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CM" sheetId="1" state="visible" r:id="rId2"/>
    <sheet name="WLV" sheetId="2" state="visible" r:id="rId3"/>
    <sheet name="DAN" sheetId="3" state="visible" r:id="rId4"/>
    <sheet name="STA" sheetId="4" state="visible" r:id="rId5"/>
    <sheet name="WTS" sheetId="5" state="visible" r:id="rId6"/>
    <sheet name="DBR " sheetId="6" state="hidden" r:id="rId7"/>
  </sheets>
  <definedNames>
    <definedName function="false" hidden="true" localSheetId="0" name="_xlnm._FilterDatabase" vbProcedure="false">ICM!$A$1:$P$56</definedName>
    <definedName function="false" hidden="false" localSheetId="0" name="_xlnm._FilterDatabase" vbProcedure="false">ICM!$A$1:$N$56</definedName>
    <definedName function="false" hidden="false" localSheetId="2" name="_xlnm._FilterDatabase" vbProcedure="false">DAN!$A$1:$Q$23</definedName>
    <definedName function="false" hidden="false" localSheetId="3" name="_xlnm._FilterDatabase" vbProcedure="false">STA!$A$1:$S$63</definedName>
    <definedName function="false" hidden="false" localSheetId="4" name="_xlnm._FilterDatabase" vbProcedure="false">WTS!$A$1:$N$8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Phil Pinsky:
</t>
        </r>
        <r>
          <rPr>
            <sz val="9"/>
            <color rgb="FF000000"/>
            <rFont val="Tahoma"/>
            <family val="0"/>
            <charset val="1"/>
          </rPr>
          <t xml:space="preserve">I'm assuming another typo, as we have .352 in Odoo, not .354</t>
        </r>
      </text>
    </comment>
    <comment ref="C43" authorId="0">
      <text>
        <r>
          <rPr>
            <sz val="11"/>
            <color rgb="FF000000"/>
            <rFont val="Calibri"/>
            <family val="2"/>
            <charset val="1"/>
          </rPr>
          <t xml:space="preserve">Phil Pinsky:
</t>
        </r>
        <r>
          <rPr>
            <sz val="9"/>
            <color rgb="FF000000"/>
            <rFont val="Tahoma"/>
            <family val="2"/>
            <charset val="1"/>
          </rPr>
          <t xml:space="preserve">Assuming another typo</t>
        </r>
      </text>
    </comment>
    <comment ref="C51" authorId="0">
      <text>
        <r>
          <rPr>
            <sz val="11"/>
            <color rgb="FF000000"/>
            <rFont val="Calibri"/>
            <family val="2"/>
            <charset val="1"/>
          </rPr>
          <t xml:space="preserve">Phil Pinsky:
</t>
        </r>
        <r>
          <rPr>
            <sz val="9"/>
            <color rgb="FF000000"/>
            <rFont val="Tahoma"/>
            <family val="0"/>
            <charset val="1"/>
          </rPr>
          <t xml:space="preserve">I'm assuming a typo and considering them as the same product</t>
        </r>
      </text>
    </comment>
    <comment ref="D25" authorId="0">
      <text>
        <r>
          <rPr>
            <sz val="11"/>
            <color rgb="FF000000"/>
            <rFont val="Calibri"/>
            <family val="2"/>
            <charset val="1"/>
          </rPr>
          <t xml:space="preserve">Phil Pinsky:
</t>
        </r>
        <r>
          <rPr>
            <sz val="9"/>
            <color rgb="FF000000"/>
            <rFont val="Tahoma"/>
            <family val="0"/>
            <charset val="1"/>
          </rPr>
          <t xml:space="preserve">Piece count was initially 1.  Needed to make a guess to move forward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Phil Pinsky:
</t>
        </r>
        <r>
          <rPr>
            <sz val="9"/>
            <color rgb="FF000000"/>
            <rFont val="Tahoma"/>
            <family val="2"/>
            <charset val="1"/>
          </rPr>
          <t xml:space="preserve">No cost listed.  Used an estimate basd on next size</t>
        </r>
      </text>
    </comment>
  </commentList>
</comments>
</file>

<file path=xl/sharedStrings.xml><?xml version="1.0" encoding="utf-8"?>
<sst xmlns="http://schemas.openxmlformats.org/spreadsheetml/2006/main" count="951" uniqueCount="291">
  <si>
    <t xml:space="preserve">External ID</t>
  </si>
  <si>
    <t xml:space="preserve">Internal Reference</t>
  </si>
  <si>
    <t xml:space="preserve">Size</t>
  </si>
  <si>
    <t xml:space="preserve">Length</t>
  </si>
  <si>
    <t xml:space="preserve">Pieces </t>
  </si>
  <si>
    <t xml:space="preserve">Total Footage</t>
  </si>
  <si>
    <t xml:space="preserve">Grade</t>
  </si>
  <si>
    <t xml:space="preserve">Cost /Foot</t>
  </si>
  <si>
    <t xml:space="preserve">Cad Cost / FT</t>
  </si>
  <si>
    <t xml:space="preserve">Freight Cost/FT</t>
  </si>
  <si>
    <t xml:space="preserve">Cad Freight Cost / FT</t>
  </si>
  <si>
    <t xml:space="preserve">ICM Charges /per foot</t>
  </si>
  <si>
    <t xml:space="preserve">Total Costs</t>
  </si>
  <si>
    <t xml:space="preserve">Supplier</t>
  </si>
  <si>
    <t xml:space="preserve">__export__.product_template_3559_80587853</t>
  </si>
  <si>
    <t xml:space="preserve">Steel Pipe: 4" X .286 Grade:Structural &amp; Range: R2 – 25’ / 34’</t>
  </si>
  <si>
    <t xml:space="preserve">4x.286</t>
  </si>
  <si>
    <t xml:space="preserve">Structural</t>
  </si>
  <si>
    <t xml:space="preserve">River City Steel</t>
  </si>
  <si>
    <t xml:space="preserve">__export__.product_template_3486_69573c55</t>
  </si>
  <si>
    <t xml:space="preserve">Steel Pipe: 4.5" X .290 Grade:Structural &amp; Range: R1 – 16’ / 24’</t>
  </si>
  <si>
    <t xml:space="preserve">4.5x.290</t>
  </si>
  <si>
    <t xml:space="preserve">Welded</t>
  </si>
  <si>
    <t xml:space="preserve">__export__.product_template_3649_beb55a6e</t>
  </si>
  <si>
    <t xml:space="preserve">Steel Pipe: 5.5" X .415 Grade:Structural &amp; Range: R2 – 25’ / 34’</t>
  </si>
  <si>
    <t xml:space="preserve">5.5 x .415</t>
  </si>
  <si>
    <t xml:space="preserve">Scrap Trading</t>
  </si>
  <si>
    <t xml:space="preserve">__export__.product_template_3650_95bda044</t>
  </si>
  <si>
    <t xml:space="preserve">Steel Pipe: 5.5" X .415 Grade:Structural &amp; Range: R3 – 35’ / 48’</t>
  </si>
  <si>
    <t xml:space="preserve">5.5x.415</t>
  </si>
  <si>
    <t xml:space="preserve">__export__.product_template_3632_d2f7dbee</t>
  </si>
  <si>
    <t xml:space="preserve">Steel Pipe: 5.5" X .361 Grade:Structural &amp; Range: R3 – 35’ / 48’</t>
  </si>
  <si>
    <t xml:space="preserve">5.5X.361</t>
  </si>
  <si>
    <t xml:space="preserve">Scrap Trading/Paragon</t>
  </si>
  <si>
    <t xml:space="preserve">5.5x.361</t>
  </si>
  <si>
    <t xml:space="preserve">__export__.product_template_3672_27df683f</t>
  </si>
  <si>
    <t xml:space="preserve">Steel Pipe: 6.625" X .188 Grade:A-53 &amp; Range: R1 – 16’ / 24’</t>
  </si>
  <si>
    <t xml:space="preserve">6.625 X .188</t>
  </si>
  <si>
    <t xml:space="preserve">A53</t>
  </si>
  <si>
    <t xml:space="preserve">Nova Steel</t>
  </si>
  <si>
    <t xml:space="preserve">6.625x.188</t>
  </si>
  <si>
    <t xml:space="preserve">__export__.product_template_3690_ef3f3802</t>
  </si>
  <si>
    <t xml:space="preserve">Steel Pipe: 6.625" X .250 Grade:A-53 &amp; Range: R1 – 16’ / 24’</t>
  </si>
  <si>
    <t xml:space="preserve">6.625x.250</t>
  </si>
  <si>
    <t xml:space="preserve">Olympia</t>
  </si>
  <si>
    <t xml:space="preserve">__export__.product_template_3702_8715e06f</t>
  </si>
  <si>
    <t xml:space="preserve">Steel Pipe: 6.625" X .280 Grade:Structural &amp; Range: R1 – 16’ / 24’</t>
  </si>
  <si>
    <t xml:space="preserve">6.625X.280</t>
  </si>
  <si>
    <t xml:space="preserve">__export__.product_template_3848_242ad0a4</t>
  </si>
  <si>
    <t xml:space="preserve">Steel Pipe: 7" X .317 Grade:Structural &amp; Range: R3 – 35’ / 48’</t>
  </si>
  <si>
    <t xml:space="preserve">7 X .317</t>
  </si>
  <si>
    <t xml:space="preserve">Welded Lackawanna</t>
  </si>
  <si>
    <t xml:space="preserve">__export__.product_template_3865_435ebc02</t>
  </si>
  <si>
    <t xml:space="preserve">Steel Pipe: 7" X .362 Grade:Structural &amp; Range: R2 – 25’ / 34’</t>
  </si>
  <si>
    <t xml:space="preserve">7 X .362</t>
  </si>
  <si>
    <t xml:space="preserve">Atlas</t>
  </si>
  <si>
    <t xml:space="preserve">__export__.product_template_3885_07b31e85</t>
  </si>
  <si>
    <t xml:space="preserve">Steel Pipe: 7" X .408 Grade:Structural &amp; Range: R4 – 49’ / 62’</t>
  </si>
  <si>
    <t xml:space="preserve">7x.408</t>
  </si>
  <si>
    <t xml:space="preserve">__export__.product_template_3902_9830058b</t>
  </si>
  <si>
    <t xml:space="preserve">Steel Pipe: 7" X .453 Grade:Structural &amp; Range: R3 – 35’ / 48’</t>
  </si>
  <si>
    <t xml:space="preserve">7x.453</t>
  </si>
  <si>
    <t xml:space="preserve">__export__.product_template_3920_98a5b646</t>
  </si>
  <si>
    <t xml:space="preserve">Steel Pipe: 7" X .540 Grade:Structural &amp; Range: R3 – 35’ / 48’</t>
  </si>
  <si>
    <t xml:space="preserve">7x.540</t>
  </si>
  <si>
    <t xml:space="preserve">Tadlock </t>
  </si>
  <si>
    <t xml:space="preserve">__export__.product_template_3776_4ab1d354</t>
  </si>
  <si>
    <t xml:space="preserve">Steel Pipe: 7.625" X .430 Grade:Structural &amp; Range: R3 – 35’ / 48’</t>
  </si>
  <si>
    <t xml:space="preserve">7.625x.430</t>
  </si>
  <si>
    <t xml:space="preserve">__export__.product_template_3794_cc980e00</t>
  </si>
  <si>
    <t xml:space="preserve">Steel Pipe: 7.625" X .500 Grade:Structural &amp; Range: R3 – 35’ / 48’</t>
  </si>
  <si>
    <t xml:space="preserve">7.625x.500</t>
  </si>
  <si>
    <t xml:space="preserve">__export__.product_template_3990_cbbb34e9</t>
  </si>
  <si>
    <t xml:space="preserve">Steel Pipe: 8.625" X .322 Grade:Structural &amp; Range: R1 – 16’ / 24’</t>
  </si>
  <si>
    <t xml:space="preserve">8.625x.322</t>
  </si>
  <si>
    <t xml:space="preserve">__export__.product_template_4386_4d5b1c81</t>
  </si>
  <si>
    <t xml:space="preserve">Steel Pipe: 9.625" X .354 Grade:A-252 &amp; Range: R3 – 35’ / 48’</t>
  </si>
  <si>
    <t xml:space="preserve">9.625 x .354</t>
  </si>
  <si>
    <t xml:space="preserve">A252</t>
  </si>
  <si>
    <t xml:space="preserve">AJ Steel </t>
  </si>
  <si>
    <t xml:space="preserve">__export__.product_template_4100_e3ceca79</t>
  </si>
  <si>
    <t xml:space="preserve">Steel Pipe: 9.625" X .395 Grade:Structural &amp; Range: R3 – 35’ / 48’</t>
  </si>
  <si>
    <t xml:space="preserve">9.625X.395</t>
  </si>
  <si>
    <t xml:space="preserve">White Star</t>
  </si>
  <si>
    <t xml:space="preserve">__export__.product_template_4118_5e21b6d6</t>
  </si>
  <si>
    <t xml:space="preserve">Steel Pipe: 9.625" X .545 Grade:Structural &amp; Range: R3 – 35’ / 48’</t>
  </si>
  <si>
    <t xml:space="preserve">9.625x.545</t>
  </si>
  <si>
    <t xml:space="preserve">Platinum</t>
  </si>
  <si>
    <t xml:space="preserve">__export__.product_template_4415_d7f66b28</t>
  </si>
  <si>
    <t xml:space="preserve">Steel Pipe: 9.625" X .630 Grade:A-252 &amp; Range: R2 – 25’ / 34’</t>
  </si>
  <si>
    <t xml:space="preserve">9.625x.630</t>
  </si>
  <si>
    <t xml:space="preserve">Zeckelman</t>
  </si>
  <si>
    <t xml:space="preserve">__export__.product_template_4416_231fe707</t>
  </si>
  <si>
    <t xml:space="preserve">Steel Pipe: 9.625" X .630 Grade:A-252 &amp; Range: R3 – 35’ / 48’</t>
  </si>
  <si>
    <t xml:space="preserve">9.625X.630</t>
  </si>
  <si>
    <t xml:space="preserve">__export__.product_template_2732_6614f343</t>
  </si>
  <si>
    <t xml:space="preserve">Steel Pipe: 10.75" X .400 Grade:Structural &amp; Range: R3 – 35’ / 48’</t>
  </si>
  <si>
    <t xml:space="preserve">10.75x.400</t>
  </si>
  <si>
    <t xml:space="preserve">__export__.product_template_4183_6ee7f022</t>
  </si>
  <si>
    <t xml:space="preserve">Steel Pipe: 11.75" X .333 Grade:A-252 &amp; Range: R3 – 35’ / 48’</t>
  </si>
  <si>
    <t xml:space="preserve">11.75x.333</t>
  </si>
  <si>
    <t xml:space="preserve">__export__.product_template_4182_dcef835e</t>
  </si>
  <si>
    <t xml:space="preserve">Steel Pipe: 11.75" X .333 Grade:A-252 &amp; Range: R2 – 25’ / 34’</t>
  </si>
  <si>
    <t xml:space="preserve">__export__.product_template_2840_ad99f7b2</t>
  </si>
  <si>
    <t xml:space="preserve">Steel Pipe: 12.75" X .406 Grade:Structural &amp; Range: R3 – 35’ / 48’</t>
  </si>
  <si>
    <t xml:space="preserve">12.75x.406</t>
  </si>
  <si>
    <t xml:space="preserve">__export__.product_template_2888_d336af3e</t>
  </si>
  <si>
    <t xml:space="preserve">Steel Pipe: 13.375" X .380 Grade:A-252 &amp; Range: R3 – 35’ / 48’</t>
  </si>
  <si>
    <t xml:space="preserve">13.375x.380</t>
  </si>
  <si>
    <t xml:space="preserve">13.375X.380</t>
  </si>
  <si>
    <t xml:space="preserve">Coastal</t>
  </si>
  <si>
    <t xml:space="preserve">__export__.product_template_2906_78bdb9d0</t>
  </si>
  <si>
    <t xml:space="preserve">Steel Pipe: 13.375" X .430 Grade:A-252 &amp; Range: R3 – 35’ / 48’</t>
  </si>
  <si>
    <t xml:space="preserve">13.375x.430</t>
  </si>
  <si>
    <t xml:space="preserve">Atlas Canada</t>
  </si>
  <si>
    <t xml:space="preserve">__export__.product_template_2908_cd8ca73b</t>
  </si>
  <si>
    <t xml:space="preserve">Steel Pipe: 13.375" X .430 Grade:A-252 &amp; Range: Shorts – 2’ / 15’</t>
  </si>
  <si>
    <t xml:space="preserve">__export__.product_template_3031_4745d672</t>
  </si>
  <si>
    <t xml:space="preserve">Steel Pipe: 16" X .311 Grade:A-252 &amp; Range: R2 – 25’ / 34’</t>
  </si>
  <si>
    <t xml:space="preserve">16 x .311</t>
  </si>
  <si>
    <t xml:space="preserve">Varsteel</t>
  </si>
  <si>
    <t xml:space="preserve">__export__.product_template_3032_832ba44a</t>
  </si>
  <si>
    <t xml:space="preserve">Steel Pipe: 16" X .311 Grade:A-252 &amp; Range: R3 – 35’ / 48’</t>
  </si>
  <si>
    <t xml:space="preserve">16x.313</t>
  </si>
  <si>
    <t xml:space="preserve">__export__.product_template_3050_ec9711f1</t>
  </si>
  <si>
    <t xml:space="preserve">Steel Pipe: 16" X .375 Grade:A-252 &amp; Range: R3 – 35’ / 48’</t>
  </si>
  <si>
    <t xml:space="preserve">16 x .375</t>
  </si>
  <si>
    <t xml:space="preserve">Surya</t>
  </si>
  <si>
    <t xml:space="preserve">16x.375</t>
  </si>
  <si>
    <t xml:space="preserve">__export__.product_template_3092_b8518fdb</t>
  </si>
  <si>
    <t xml:space="preserve">Steel Pipe: 16" X .498 Grade:Structural &amp; Range: R3 – 35’ / 48’</t>
  </si>
  <si>
    <t xml:space="preserve">16x.498</t>
  </si>
  <si>
    <t xml:space="preserve">John Lawrie</t>
  </si>
  <si>
    <t xml:space="preserve">16X.495</t>
  </si>
  <si>
    <t xml:space="preserve">__export__.product_template_3109_cf1343ae</t>
  </si>
  <si>
    <t xml:space="preserve">Steel Pipe: 16" X .500 Grade:Structural &amp; Range: R2 – 25’ / 34’</t>
  </si>
  <si>
    <t xml:space="preserve">16 x .500</t>
  </si>
  <si>
    <t xml:space="preserve">Scrap Trading </t>
  </si>
  <si>
    <t xml:space="preserve">__export__.product_template_3325_2ed32a3d</t>
  </si>
  <si>
    <t xml:space="preserve">Steel Pipe: 24" X .375 Grade:Structural &amp; Range: R2 – 25’ / 34’</t>
  </si>
  <si>
    <t xml:space="preserve">24x.375</t>
  </si>
  <si>
    <t xml:space="preserve">OPS</t>
  </si>
  <si>
    <t xml:space="preserve">__export__.product_template_3337_e10cd7dc</t>
  </si>
  <si>
    <t xml:space="preserve">Steel Pipe: 24" X .500 Grade:A-252 &amp; Range: R2 – 25’ / 34’</t>
  </si>
  <si>
    <t xml:space="preserve">24x.500</t>
  </si>
  <si>
    <t xml:space="preserve">__export__.product_template_3380_1863024d</t>
  </si>
  <si>
    <t xml:space="preserve">Steel Pipe: 30" X .500 Grade:Structural &amp; Range: R3 – 35’ / 48’</t>
  </si>
  <si>
    <t xml:space="preserve">30x.500</t>
  </si>
  <si>
    <t xml:space="preserve">__export__.product_template_3398_3d62d99e</t>
  </si>
  <si>
    <t xml:space="preserve">Steel Pipe: 36" X .515 Grade:Structural &amp; Range: R3 – 35’ / 48’</t>
  </si>
  <si>
    <t xml:space="preserve">36x.515</t>
  </si>
  <si>
    <t xml:space="preserve"> Charges /per foot</t>
  </si>
  <si>
    <t xml:space="preserve">Supplier </t>
  </si>
  <si>
    <t xml:space="preserve">__export__.product_template_3506_fd172142</t>
  </si>
  <si>
    <t xml:space="preserve">Steel Pipe: 4.5" X .337 Grade:Structural &amp; Range: R3 – 35’ / 48’</t>
  </si>
  <si>
    <t xml:space="preserve">4.5X.337</t>
  </si>
  <si>
    <t xml:space="preserve">Welded Lackawanna </t>
  </si>
  <si>
    <t xml:space="preserve">5.5 x .361</t>
  </si>
  <si>
    <t xml:space="preserve">Welded Welland </t>
  </si>
  <si>
    <t xml:space="preserve">5.5X.415</t>
  </si>
  <si>
    <t xml:space="preserve">Welded via ICM </t>
  </si>
  <si>
    <t xml:space="preserve">7 x .317</t>
  </si>
  <si>
    <t xml:space="preserve">__export__.product_template_3866_08094b45</t>
  </si>
  <si>
    <t xml:space="preserve">Steel Pipe: 7" X .362 Grade:Structural &amp; Range: R3 – 35’ / 48’</t>
  </si>
  <si>
    <t xml:space="preserve">7 x .362</t>
  </si>
  <si>
    <t xml:space="preserve">__export__.product_template_3884_9f7e063f</t>
  </si>
  <si>
    <t xml:space="preserve">Steel Pipe: 7" X .408 Grade:Structural &amp; Range: R3 – 35’ / 48’</t>
  </si>
  <si>
    <t xml:space="preserve">Welded Welland</t>
  </si>
  <si>
    <t xml:space="preserve">__export__.product_template_3903_02918655</t>
  </si>
  <si>
    <t xml:space="preserve">Steel Pipe: 7" X .453 Grade:Structural &amp; Range: R4 – 49’ / 62’</t>
  </si>
  <si>
    <t xml:space="preserve">Length </t>
  </si>
  <si>
    <t xml:space="preserve">Pipe Work/Other/ Per Ft</t>
  </si>
  <si>
    <t xml:space="preserve">Arrived </t>
  </si>
  <si>
    <t xml:space="preserve">__export__.product_template_3942_646baaf9</t>
  </si>
  <si>
    <t xml:space="preserve">Steel Pipe: 8.625" X .188 Grade:A-53 &amp; Range: R1 – 16’ / 24’</t>
  </si>
  <si>
    <t xml:space="preserve">8.625x.188</t>
  </si>
  <si>
    <t xml:space="preserve">__export__.product_template_3960_1134fb3a</t>
  </si>
  <si>
    <t xml:space="preserve">Steel Pipe: 8.625" X .250 Grade:A-53 &amp; Range: R1 – 16’ / 24’</t>
  </si>
  <si>
    <t xml:space="preserve">8.625x.250</t>
  </si>
  <si>
    <t xml:space="preserve">__export__.product_template_3996_ec502b1e</t>
  </si>
  <si>
    <t xml:space="preserve">Steel Pipe: 8.625" X .322 Grade:A-53 &amp; Range: R1 – 16’ / 24’</t>
  </si>
  <si>
    <t xml:space="preserve">AJ Steel</t>
  </si>
  <si>
    <t xml:space="preserve">Jul 18/23</t>
  </si>
  <si>
    <t xml:space="preserve">36-38'</t>
  </si>
  <si>
    <t xml:space="preserve">__export__.product_template_4094_6101f707</t>
  </si>
  <si>
    <t xml:space="preserve">Steel Pipe: 9.625" X .395 Grade:A-252 &amp; Range: R3 – 35’ / 48’</t>
  </si>
  <si>
    <t xml:space="preserve">9.625 x .394</t>
  </si>
  <si>
    <t xml:space="preserve">Jul 4/23</t>
  </si>
  <si>
    <t xml:space="preserve">9.625 x.354</t>
  </si>
  <si>
    <t xml:space="preserve">__export__.product_template_4355_37e07deb</t>
  </si>
  <si>
    <t xml:space="preserve">Steel Pipe: 12.75" X .312 Grade:A-252 &amp; Range: R3 – 35’ / 48’</t>
  </si>
  <si>
    <t xml:space="preserve">12.75 x .312</t>
  </si>
  <si>
    <t xml:space="preserve">Jul 25/23</t>
  </si>
  <si>
    <t xml:space="preserve">__export__.product_template_2826_663d9249</t>
  </si>
  <si>
    <t xml:space="preserve">Steel Pipe: 12.75" X .375 Grade:A-53 &amp; Range: R1 – 16’ / 24’</t>
  </si>
  <si>
    <t xml:space="preserve">12.75 x .375</t>
  </si>
  <si>
    <t xml:space="preserve">__export__.product_template_2816_3d819897</t>
  </si>
  <si>
    <t xml:space="preserve">Steel Pipe: 12.75" X .375 Grade:A-252 &amp; Range: R3 – 35’ / 48’</t>
  </si>
  <si>
    <t xml:space="preserve">12.75x.375</t>
  </si>
  <si>
    <t xml:space="preserve">Jun 21/23</t>
  </si>
  <si>
    <t xml:space="preserve">__export__.product_template_2862_a56be66d</t>
  </si>
  <si>
    <t xml:space="preserve">Steel Pipe: 12.75" X .500 Grade:A-53 &amp; Range: R1 – 16’ / 24’</t>
  </si>
  <si>
    <t xml:space="preserve">12.75x.500</t>
  </si>
  <si>
    <t xml:space="preserve">__export__.product_template_2970_5801cbea</t>
  </si>
  <si>
    <t xml:space="preserve">Steel Pipe: 14" X .375 Grade:A-53 &amp; Range: R1 – 16’ / 24’</t>
  </si>
  <si>
    <t xml:space="preserve">14x.375</t>
  </si>
  <si>
    <t xml:space="preserve">16x.312</t>
  </si>
  <si>
    <t xml:space="preserve">May 28 /23</t>
  </si>
  <si>
    <t xml:space="preserve">__export__.product_template_3060_887fea58</t>
  </si>
  <si>
    <t xml:space="preserve">Steel Pipe: 16" X .375 Grade:A-53 &amp; Range: R1 – 16’ / 24’</t>
  </si>
  <si>
    <t xml:space="preserve">May 30/23</t>
  </si>
  <si>
    <t xml:space="preserve">Stauffer Storage Fees</t>
  </si>
  <si>
    <t xml:space="preserve">Load In / Out Fees </t>
  </si>
  <si>
    <t xml:space="preserve">Total Costs USD</t>
  </si>
  <si>
    <t xml:space="preserve">Date of Arrival </t>
  </si>
  <si>
    <t xml:space="preserve">Notes </t>
  </si>
  <si>
    <t xml:space="preserve">River City</t>
  </si>
  <si>
    <t xml:space="preserve">Reject from Pileworks </t>
  </si>
  <si>
    <t xml:space="preserve">__export__.product_template_3757_fea4d960</t>
  </si>
  <si>
    <t xml:space="preserve">Steel Pipe: 7.625" X .375 Grade:Structural &amp; Range: R2 – 25’ / 34’</t>
  </si>
  <si>
    <t xml:space="preserve">7.625x.375</t>
  </si>
  <si>
    <t xml:space="preserve">__export__.product_template_4099_122c7ffd</t>
  </si>
  <si>
    <t xml:space="preserve">Steel Pipe: 9.625" X .395 Grade:Structural &amp; Range: R2 – 25’ / 34’</t>
  </si>
  <si>
    <t xml:space="preserve">Excahnge </t>
  </si>
  <si>
    <t xml:space="preserve">Jun 1/23</t>
  </si>
  <si>
    <t xml:space="preserve">9.625x.395</t>
  </si>
  <si>
    <t xml:space="preserve">Jun 6/23</t>
  </si>
  <si>
    <t xml:space="preserve">__export__.product_template_2750_66543dca</t>
  </si>
  <si>
    <t xml:space="preserve">Steel Pipe: 10.75" X .797 Grade:Structural &amp; Range: R3 – 35’ / 48’</t>
  </si>
  <si>
    <t xml:space="preserve">10.75X.797</t>
  </si>
  <si>
    <t xml:space="preserve">Tadlock</t>
  </si>
  <si>
    <t xml:space="preserve">__export__.product_template_2893_9c2b2375</t>
  </si>
  <si>
    <t xml:space="preserve">Steel Pipe: 13.375" X .380 Grade:Structural &amp; Range: R2 – 25’ / 34’</t>
  </si>
  <si>
    <t xml:space="preserve">__export__.product_template_3002_65ecd524</t>
  </si>
  <si>
    <t xml:space="preserve">Steel Pipe: 16" X .219 Grade:Structural &amp; Range: R3 – 35’ / 48’</t>
  </si>
  <si>
    <t xml:space="preserve">16x.219</t>
  </si>
  <si>
    <t xml:space="preserve">__export__.product_template_3058_880d95cf</t>
  </si>
  <si>
    <t xml:space="preserve">Steel Pipe: 16" X .375 Grade:Structural &amp; Range: Shorts – 2’ / 15’</t>
  </si>
  <si>
    <t xml:space="preserve">__export__.product_template_3056_1e8a2511</t>
  </si>
  <si>
    <t xml:space="preserve">Steel Pipe: 16" X .375 Grade:Structural &amp; Range: R3 – 35’ / 48’</t>
  </si>
  <si>
    <t xml:space="preserve">__export__.product_template_3073_970ba216</t>
  </si>
  <si>
    <t xml:space="preserve">Steel Pipe: 16" X .438 Grade:Structural &amp; Range: R2 – 25’ / 34’</t>
  </si>
  <si>
    <t xml:space="preserve">16x.438</t>
  </si>
  <si>
    <t xml:space="preserve">__export__.product_template_3074_c909564d</t>
  </si>
  <si>
    <t xml:space="preserve">Steel Pipe: 16" X .438 Grade:Structural &amp; Range: R3 – 35’ / 48’</t>
  </si>
  <si>
    <t xml:space="preserve">__export__.product_template_4485_9bd0c0b7</t>
  </si>
  <si>
    <t xml:space="preserve">Steel Pipe: 16" X .495 Grade:Structural &amp; Range: R2 – 25’ / 34’</t>
  </si>
  <si>
    <t xml:space="preserve">16x.495</t>
  </si>
  <si>
    <t xml:space="preserve">__export__.product_template_4486_446e8646</t>
  </si>
  <si>
    <t xml:space="preserve">Steel Pipe: 16" X .495 Grade:Structural &amp; Range: R3 – 35’ / 48’</t>
  </si>
  <si>
    <t xml:space="preserve">__export__.product_template_3128_49e0b12e</t>
  </si>
  <si>
    <t xml:space="preserve">Steel Pipe: 16" X .562 Grade:Structural &amp; Range: R3 – 35’ / 48’</t>
  </si>
  <si>
    <t xml:space="preserve">16x.562</t>
  </si>
  <si>
    <t xml:space="preserve">__export__.product_template_3146_2651fde8</t>
  </si>
  <si>
    <t xml:space="preserve">Steel Pipe: 16" X .575 Grade:Structural &amp; Range: R3 – 35’ / 48’</t>
  </si>
  <si>
    <t xml:space="preserve">16x.575</t>
  </si>
  <si>
    <t xml:space="preserve">__export__.product_template_3145_dd24b404</t>
  </si>
  <si>
    <t xml:space="preserve">Steel Pipe: 16" X .575 Grade:Structural &amp; Range: R2 – 25’ / 34’</t>
  </si>
  <si>
    <t xml:space="preserve">__export__.product_template_3164_165edf82</t>
  </si>
  <si>
    <t xml:space="preserve">Steel Pipe: 16" X .656 Grade:Structural &amp; Range: R3 – 35’ / 48’</t>
  </si>
  <si>
    <t xml:space="preserve">16x.656</t>
  </si>
  <si>
    <t xml:space="preserve">__export__.product_template_3396_16037f35</t>
  </si>
  <si>
    <t xml:space="preserve">Steel Pipe: 36" X .515 Grade:Structural &amp; Range: R1 – 16’ / 24’</t>
  </si>
  <si>
    <t xml:space="preserve">Central City Group</t>
  </si>
  <si>
    <t xml:space="preserve">__export__.product_template_3434_90f29532</t>
  </si>
  <si>
    <t xml:space="preserve">Steel Pipe: 36" X .750 Grade:Structural &amp; Range: R3 – 35’ / 48’</t>
  </si>
  <si>
    <t xml:space="preserve">36x.750</t>
  </si>
  <si>
    <t xml:space="preserve">__export__.product_template_3525_9dc2f87c</t>
  </si>
  <si>
    <t xml:space="preserve">Steel Pipe: 48" X .688 Grade:Structural &amp; Range: R4 – 49’ / 62’</t>
  </si>
  <si>
    <t xml:space="preserve">48x.688</t>
  </si>
  <si>
    <t xml:space="preserve">Range</t>
  </si>
  <si>
    <t xml:space="preserve">Date </t>
  </si>
  <si>
    <t xml:space="preserve">Status</t>
  </si>
  <si>
    <t xml:space="preserve">4.5x.337</t>
  </si>
  <si>
    <t xml:space="preserve">Structural </t>
  </si>
  <si>
    <t xml:space="preserve">Range 3</t>
  </si>
  <si>
    <t xml:space="preserve">White Star </t>
  </si>
  <si>
    <t xml:space="preserve">7x.317</t>
  </si>
  <si>
    <t xml:space="preserve">__export__.product_template_4064_4c5c968b</t>
  </si>
  <si>
    <t xml:space="preserve">Steel Pipe: 9.625" X .313 Grade:Structural &amp; Range: R3 – 35’ / 48’</t>
  </si>
  <si>
    <t xml:space="preserve">9.625x.312</t>
  </si>
  <si>
    <t xml:space="preserve">__export__.product_template_4082_4c52f55d</t>
  </si>
  <si>
    <t xml:space="preserve">Steel Pipe: 9.625" X .352 Grade:Structural &amp; Range: R3 – 35’ / 48’</t>
  </si>
  <si>
    <t xml:space="preserve">9.625x.352</t>
  </si>
  <si>
    <t xml:space="preserve">__export__.product_template_4456_a9534509</t>
  </si>
  <si>
    <t xml:space="preserve">Steel Pipe: 9.625" X .435 Grade:Structural &amp; Range: R3 – 35’ / 48’</t>
  </si>
  <si>
    <t xml:space="preserve">9.625x.435</t>
  </si>
  <si>
    <t xml:space="preserve">__export__.product_template_2894_ebda2017</t>
  </si>
  <si>
    <t xml:space="preserve">Steel Pipe: 13.375" X .380 Grade:Structural &amp; Range: R3 – 35’ / 48’</t>
  </si>
  <si>
    <t xml:space="preserve">5 X .500</t>
  </si>
  <si>
    <t xml:space="preserve">Wellmaster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</si>
</sst>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#,##0.00"/>
    <numFmt numFmtId="167" formatCode="General"/>
    <numFmt numFmtId="168" formatCode="\$#,##0.00;&quot;-$&quot;#,##0.00"/>
    <numFmt numFmtId="169" formatCode="\$#,##0.00;[RED]&quot;-$&quot;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92D050"/>
        <bgColor rgb="FF70AD47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4.21"/>
    <col collapsed="false" customWidth="true" hidden="false" outlineLevel="0" max="2" min="2" style="0" width="57.04"/>
    <col collapsed="false" customWidth="true" hidden="true" outlineLevel="0" max="3" min="3" style="1" width="11.28"/>
    <col collapsed="false" customWidth="true" hidden="true" outlineLevel="0" max="4" min="4" style="1" width="7"/>
    <col collapsed="false" customWidth="true" hidden="false" outlineLevel="0" max="5" min="5" style="1" width="7.75"/>
    <col collapsed="false" customWidth="true" hidden="false" outlineLevel="0" max="6" min="6" style="1" width="18.33"/>
    <col collapsed="false" customWidth="true" hidden="false" outlineLevel="0" max="7" min="7" style="1" width="9.51"/>
    <col collapsed="false" customWidth="true" hidden="false" outlineLevel="0" max="12" min="8" style="2" width="0.41"/>
    <col collapsed="false" customWidth="true" hidden="false" outlineLevel="0" max="13" min="13" style="2" width="33.83"/>
    <col collapsed="false" customWidth="true" hidden="false" outlineLevel="0" max="14" min="14" style="1" width="19.99"/>
    <col collapsed="false" customWidth="true" hidden="false" outlineLevel="0" max="16" min="16" style="0" width="5.85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</row>
    <row r="2" customFormat="false" ht="15" hidden="false" customHeight="false" outlineLevel="0" collapsed="false">
      <c r="A2" s="6" t="s">
        <v>14</v>
      </c>
      <c r="B2" s="6" t="s">
        <v>15</v>
      </c>
      <c r="C2" s="7" t="s">
        <v>16</v>
      </c>
      <c r="D2" s="7" t="n">
        <f aca="false">ROUNDUP(F2/E2,0)</f>
        <v>33</v>
      </c>
      <c r="E2" s="8" t="n">
        <f aca="false">125-12-9</f>
        <v>104</v>
      </c>
      <c r="F2" s="7" t="n">
        <f aca="false">4183.99-399.01-356.74</f>
        <v>3428.24</v>
      </c>
      <c r="G2" s="8" t="s">
        <v>17</v>
      </c>
      <c r="H2" s="2" t="n">
        <v>6.29</v>
      </c>
      <c r="I2" s="2" t="n">
        <f aca="false">H2*1.28</f>
        <v>8.0512</v>
      </c>
      <c r="J2" s="2" t="n">
        <f aca="false">5900/F2</f>
        <v>1.72099969663734</v>
      </c>
      <c r="K2" s="2" t="n">
        <v>1.41</v>
      </c>
      <c r="L2" s="2" t="n">
        <f aca="false">550/F2</f>
        <v>0.160432175110261</v>
      </c>
      <c r="M2" s="9" t="n">
        <v>9.59</v>
      </c>
      <c r="N2" s="1" t="s">
        <v>18</v>
      </c>
    </row>
    <row r="3" customFormat="false" ht="15" hidden="false" customHeight="false" outlineLevel="0" collapsed="false">
      <c r="A3" s="6" t="s">
        <v>19</v>
      </c>
      <c r="B3" s="6" t="s">
        <v>20</v>
      </c>
      <c r="C3" s="7" t="s">
        <v>21</v>
      </c>
      <c r="D3" s="7" t="n">
        <f aca="false">ROUNDUP(F3/E3,0)</f>
        <v>20</v>
      </c>
      <c r="E3" s="8" t="n">
        <v>2</v>
      </c>
      <c r="F3" s="7" t="n">
        <f aca="false">1687.5-43.4-1605</f>
        <v>39.0999999999999</v>
      </c>
      <c r="G3" s="8" t="s">
        <v>17</v>
      </c>
      <c r="H3" s="2" t="n">
        <v>7.08</v>
      </c>
      <c r="I3" s="2" t="n">
        <v>7.08</v>
      </c>
      <c r="J3" s="2" t="n">
        <f aca="false">3000/3148</f>
        <v>0.952986022871665</v>
      </c>
      <c r="K3" s="2" t="n">
        <v>0.97</v>
      </c>
      <c r="L3" s="2" t="n">
        <f aca="false">550/3148</f>
        <v>0.174714104193139</v>
      </c>
      <c r="M3" s="9" t="n">
        <v>8.22</v>
      </c>
      <c r="N3" s="1" t="s">
        <v>22</v>
      </c>
    </row>
    <row r="4" customFormat="false" ht="15" hidden="false" customHeight="false" outlineLevel="0" collapsed="false">
      <c r="A4" s="6" t="s">
        <v>23</v>
      </c>
      <c r="B4" s="6" t="s">
        <v>24</v>
      </c>
      <c r="C4" s="7" t="s">
        <v>25</v>
      </c>
      <c r="D4" s="7" t="n">
        <f aca="false">ROUNDUP(F4/E4,0)</f>
        <v>32</v>
      </c>
      <c r="E4" s="8" t="n">
        <v>47</v>
      </c>
      <c r="F4" s="7" t="n">
        <f aca="false">2029.3-548.89</f>
        <v>1480.41</v>
      </c>
      <c r="G4" s="8" t="s">
        <v>17</v>
      </c>
      <c r="H4" s="2" t="n">
        <v>6.2</v>
      </c>
      <c r="I4" s="2" t="n">
        <v>7.56</v>
      </c>
      <c r="J4" s="2" t="n">
        <v>2.14</v>
      </c>
      <c r="K4" s="2" t="n">
        <v>2.14</v>
      </c>
      <c r="L4" s="2" t="n">
        <v>0.27</v>
      </c>
      <c r="M4" s="9" t="n">
        <v>9.97</v>
      </c>
      <c r="N4" s="1" t="s">
        <v>26</v>
      </c>
    </row>
    <row r="5" customFormat="false" ht="15" hidden="false" customHeight="false" outlineLevel="0" collapsed="false">
      <c r="A5" s="6" t="s">
        <v>27</v>
      </c>
      <c r="B5" s="6" t="s">
        <v>28</v>
      </c>
      <c r="C5" s="7" t="s">
        <v>29</v>
      </c>
      <c r="D5" s="7" t="n">
        <f aca="false">ROUNDUP(F5/E5,0)</f>
        <v>47</v>
      </c>
      <c r="E5" s="8" t="n">
        <f aca="false">78-4-59</f>
        <v>15</v>
      </c>
      <c r="F5" s="7" t="n">
        <f aca="false">3375.6-137-2546.7</f>
        <v>691.9</v>
      </c>
      <c r="G5" s="8" t="s">
        <v>17</v>
      </c>
      <c r="H5" s="2" t="n">
        <v>12.97</v>
      </c>
      <c r="I5" s="2" t="n">
        <v>12.97</v>
      </c>
      <c r="J5" s="2" t="n">
        <v>0.89</v>
      </c>
      <c r="K5" s="2" t="n">
        <v>0.89</v>
      </c>
      <c r="L5" s="2" t="n">
        <v>0.16</v>
      </c>
      <c r="M5" s="9" t="n">
        <v>14.02</v>
      </c>
      <c r="N5" s="1" t="s">
        <v>22</v>
      </c>
    </row>
    <row r="6" customFormat="false" ht="15" hidden="false" customHeight="false" outlineLevel="0" collapsed="false">
      <c r="A6" s="6" t="s">
        <v>23</v>
      </c>
      <c r="B6" s="6" t="s">
        <v>24</v>
      </c>
      <c r="C6" s="7" t="s">
        <v>29</v>
      </c>
      <c r="D6" s="7" t="n">
        <f aca="false">ROUNDUP(F6/E6,0)</f>
        <v>34</v>
      </c>
      <c r="E6" s="8" t="n">
        <v>78</v>
      </c>
      <c r="F6" s="7" t="n">
        <f aca="false">3380-801.72</f>
        <v>2578.28</v>
      </c>
      <c r="G6" s="8" t="s">
        <v>17</v>
      </c>
      <c r="H6" s="2" t="n">
        <v>14.66</v>
      </c>
      <c r="I6" s="2" t="n">
        <v>14.66</v>
      </c>
      <c r="J6" s="2" t="n">
        <f aca="false">3000/F6</f>
        <v>1.16356640861349</v>
      </c>
      <c r="K6" s="2" t="n">
        <v>0.89</v>
      </c>
      <c r="L6" s="2" t="n">
        <f aca="false">550/F6</f>
        <v>0.213320508245807</v>
      </c>
      <c r="M6" s="9" t="n">
        <v>15.71</v>
      </c>
      <c r="N6" s="1" t="s">
        <v>22</v>
      </c>
    </row>
    <row r="7" customFormat="false" ht="15" hidden="false" customHeight="false" outlineLevel="0" collapsed="false">
      <c r="A7" s="6" t="s">
        <v>30</v>
      </c>
      <c r="B7" s="6" t="s">
        <v>31</v>
      </c>
      <c r="C7" s="7" t="s">
        <v>32</v>
      </c>
      <c r="D7" s="7" t="n">
        <f aca="false">ROUNDUP(F7/E7,0)</f>
        <v>45</v>
      </c>
      <c r="E7" s="8" t="n">
        <v>42</v>
      </c>
      <c r="F7" s="7" t="n">
        <f aca="false">2331.1-267.06-215.92</f>
        <v>1848.12</v>
      </c>
      <c r="G7" s="8" t="s">
        <v>17</v>
      </c>
      <c r="H7" s="2" t="n">
        <v>6.29</v>
      </c>
      <c r="I7" s="2" t="n">
        <f aca="false">H7*1.272</f>
        <v>8.00088</v>
      </c>
      <c r="M7" s="9" t="n">
        <v>15.28</v>
      </c>
      <c r="N7" s="1" t="s">
        <v>33</v>
      </c>
    </row>
    <row r="8" customFormat="false" ht="15" hidden="false" customHeight="false" outlineLevel="0" collapsed="false">
      <c r="A8" s="6" t="s">
        <v>30</v>
      </c>
      <c r="B8" s="6" t="s">
        <v>31</v>
      </c>
      <c r="C8" s="7" t="s">
        <v>34</v>
      </c>
      <c r="D8" s="7" t="n">
        <f aca="false">ROUNDUP(F8/E8,0)</f>
        <v>45</v>
      </c>
      <c r="E8" s="8" t="n">
        <v>35</v>
      </c>
      <c r="F8" s="7" t="n">
        <v>1563.6</v>
      </c>
      <c r="G8" s="8" t="s">
        <v>17</v>
      </c>
      <c r="H8" s="2" t="n">
        <v>14.83</v>
      </c>
      <c r="I8" s="2" t="n">
        <f aca="false">H8*1.35</f>
        <v>20.0205</v>
      </c>
      <c r="K8" s="2" t="n">
        <v>2.45</v>
      </c>
      <c r="L8" s="2" t="n">
        <v>0.32</v>
      </c>
      <c r="M8" s="9" t="n">
        <v>15.28</v>
      </c>
      <c r="N8" s="1" t="s">
        <v>18</v>
      </c>
    </row>
    <row r="9" customFormat="false" ht="15" hidden="false" customHeight="false" outlineLevel="0" collapsed="false">
      <c r="A9" s="6" t="s">
        <v>35</v>
      </c>
      <c r="B9" s="6" t="s">
        <v>36</v>
      </c>
      <c r="C9" s="7" t="s">
        <v>37</v>
      </c>
      <c r="D9" s="7" t="n">
        <f aca="false">ROUNDUP(F9/E9,0)</f>
        <v>20</v>
      </c>
      <c r="E9" s="8" t="n">
        <f aca="false">240-40</f>
        <v>200</v>
      </c>
      <c r="F9" s="7" t="n">
        <f aca="false">4800-800</f>
        <v>4000</v>
      </c>
      <c r="G9" s="8" t="s">
        <v>38</v>
      </c>
      <c r="H9" s="2" t="n">
        <v>13.57</v>
      </c>
      <c r="I9" s="2" t="n">
        <v>13.57</v>
      </c>
      <c r="L9" s="2" t="n">
        <v>0.11</v>
      </c>
      <c r="M9" s="9" t="n">
        <v>13.68</v>
      </c>
      <c r="N9" s="1" t="s">
        <v>39</v>
      </c>
    </row>
    <row r="10" customFormat="false" ht="15" hidden="false" customHeight="false" outlineLevel="0" collapsed="false">
      <c r="A10" s="6" t="s">
        <v>35</v>
      </c>
      <c r="B10" s="6" t="s">
        <v>36</v>
      </c>
      <c r="C10" s="7" t="s">
        <v>40</v>
      </c>
      <c r="D10" s="7" t="n">
        <f aca="false">ROUNDUP(F10/E10,0)</f>
        <v>20</v>
      </c>
      <c r="E10" s="8" t="n">
        <v>190</v>
      </c>
      <c r="F10" s="7" t="n">
        <v>3800</v>
      </c>
      <c r="G10" s="8" t="s">
        <v>38</v>
      </c>
      <c r="H10" s="2" t="n">
        <v>13.57</v>
      </c>
      <c r="I10" s="2" t="n">
        <v>13.57</v>
      </c>
      <c r="L10" s="2" t="n">
        <f aca="false">550/F10</f>
        <v>0.144736842105263</v>
      </c>
      <c r="M10" s="9" t="n">
        <f aca="false">L10+I10</f>
        <v>13.7147368421053</v>
      </c>
      <c r="N10" s="1" t="s">
        <v>39</v>
      </c>
    </row>
    <row r="11" customFormat="false" ht="15" hidden="false" customHeight="false" outlineLevel="0" collapsed="false">
      <c r="A11" s="6" t="s">
        <v>41</v>
      </c>
      <c r="B11" s="6" t="s">
        <v>42</v>
      </c>
      <c r="C11" s="7" t="s">
        <v>43</v>
      </c>
      <c r="D11" s="7" t="n">
        <f aca="false">ROUNDUP(F11/E11,0)</f>
        <v>20</v>
      </c>
      <c r="E11" s="8" t="n">
        <v>21</v>
      </c>
      <c r="F11" s="7" t="n">
        <v>420</v>
      </c>
      <c r="G11" s="8" t="s">
        <v>38</v>
      </c>
      <c r="H11" s="2" t="n">
        <v>16.7</v>
      </c>
      <c r="I11" s="2" t="n">
        <v>16.7</v>
      </c>
      <c r="L11" s="2" t="n">
        <f aca="false">550/F11</f>
        <v>1.30952380952381</v>
      </c>
      <c r="M11" s="9" t="n">
        <f aca="false">L11+I11</f>
        <v>18.0095238095238</v>
      </c>
      <c r="N11" s="1" t="s">
        <v>44</v>
      </c>
    </row>
    <row r="12" customFormat="false" ht="15" hidden="false" customHeight="false" outlineLevel="0" collapsed="false">
      <c r="A12" s="6" t="s">
        <v>45</v>
      </c>
      <c r="B12" s="6" t="s">
        <v>46</v>
      </c>
      <c r="C12" s="7" t="s">
        <v>47</v>
      </c>
      <c r="D12" s="7" t="n">
        <f aca="false">ROUNDUP(F12/E12,0)</f>
        <v>20</v>
      </c>
      <c r="E12" s="8" t="n">
        <v>16</v>
      </c>
      <c r="F12" s="7" t="n">
        <f aca="false">503-183.17</f>
        <v>319.83</v>
      </c>
      <c r="G12" s="8" t="s">
        <v>17</v>
      </c>
      <c r="M12" s="9" t="n">
        <v>8.67</v>
      </c>
      <c r="N12" s="1" t="s">
        <v>26</v>
      </c>
    </row>
    <row r="13" customFormat="false" ht="15" hidden="false" customHeight="false" outlineLevel="0" collapsed="false">
      <c r="A13" s="6" t="s">
        <v>48</v>
      </c>
      <c r="B13" s="6" t="s">
        <v>49</v>
      </c>
      <c r="C13" s="7" t="s">
        <v>50</v>
      </c>
      <c r="D13" s="7" t="n">
        <f aca="false">ROUNDUP(F13/E13,0)</f>
        <v>44</v>
      </c>
      <c r="E13" s="8" t="n">
        <v>64</v>
      </c>
      <c r="F13" s="7" t="n">
        <v>2763</v>
      </c>
      <c r="G13" s="8" t="s">
        <v>17</v>
      </c>
      <c r="H13" s="2" t="n">
        <v>15</v>
      </c>
      <c r="I13" s="2" t="n">
        <v>15</v>
      </c>
      <c r="J13" s="2" t="n">
        <f aca="false">2106/2763</f>
        <v>0.762214983713355</v>
      </c>
      <c r="K13" s="2" t="n">
        <v>0.76</v>
      </c>
      <c r="L13" s="2" t="n">
        <f aca="false">550/2763</f>
        <v>0.199058993847267</v>
      </c>
      <c r="M13" s="9" t="n">
        <f aca="false">L13+K13+I13</f>
        <v>15.9590589938473</v>
      </c>
      <c r="N13" s="1" t="s">
        <v>51</v>
      </c>
    </row>
    <row r="14" customFormat="false" ht="15" hidden="false" customHeight="false" outlineLevel="0" collapsed="false">
      <c r="A14" s="6" t="s">
        <v>52</v>
      </c>
      <c r="B14" s="6" t="s">
        <v>53</v>
      </c>
      <c r="C14" s="7" t="s">
        <v>54</v>
      </c>
      <c r="D14" s="7" t="n">
        <f aca="false">ROUNDUP(F14/E14,0)</f>
        <v>34</v>
      </c>
      <c r="E14" s="8" t="n">
        <f aca="false">55-2-3-12</f>
        <v>38</v>
      </c>
      <c r="F14" s="7" t="n">
        <f aca="false">1798.55-69-97.5-368.48</f>
        <v>1263.57</v>
      </c>
      <c r="G14" s="8" t="s">
        <v>17</v>
      </c>
      <c r="H14" s="2" t="n">
        <v>10.4</v>
      </c>
      <c r="I14" s="2" t="n">
        <v>13.52</v>
      </c>
      <c r="J14" s="2" t="n">
        <v>3.89</v>
      </c>
      <c r="K14" s="2" t="n">
        <v>3.89</v>
      </c>
      <c r="L14" s="2" t="n">
        <v>0.31</v>
      </c>
      <c r="M14" s="9" t="n">
        <v>17.72</v>
      </c>
      <c r="N14" s="1" t="s">
        <v>55</v>
      </c>
    </row>
    <row r="15" customFormat="false" ht="15" hidden="false" customHeight="false" outlineLevel="0" collapsed="false">
      <c r="A15" s="6" t="s">
        <v>56</v>
      </c>
      <c r="B15" s="6" t="s">
        <v>57</v>
      </c>
      <c r="C15" s="7" t="s">
        <v>58</v>
      </c>
      <c r="D15" s="7" t="n">
        <f aca="false">ROUNDUP(F15/E15,0)</f>
        <v>62</v>
      </c>
      <c r="E15" s="8" t="n">
        <f aca="false">30-27</f>
        <v>3</v>
      </c>
      <c r="F15" s="7" t="n">
        <f aca="false">1308.8-1125.37</f>
        <v>183.43</v>
      </c>
      <c r="G15" s="8" t="s">
        <v>17</v>
      </c>
      <c r="H15" s="2" t="n">
        <v>18.69</v>
      </c>
      <c r="I15" s="2" t="n">
        <v>18.69</v>
      </c>
      <c r="J15" s="2" t="n">
        <v>0.76</v>
      </c>
      <c r="K15" s="2" t="n">
        <v>0.76</v>
      </c>
      <c r="L15" s="2" t="n">
        <v>0.21</v>
      </c>
      <c r="M15" s="9" t="n">
        <v>19.66</v>
      </c>
      <c r="N15" s="1" t="s">
        <v>22</v>
      </c>
    </row>
    <row r="16" customFormat="false" ht="15" hidden="false" customHeight="false" outlineLevel="0" collapsed="false">
      <c r="A16" s="6" t="s">
        <v>59</v>
      </c>
      <c r="B16" s="6" t="s">
        <v>60</v>
      </c>
      <c r="C16" s="7" t="s">
        <v>61</v>
      </c>
      <c r="D16" s="7" t="n">
        <f aca="false">ROUNDUP(F16/E16,0)</f>
        <v>44</v>
      </c>
      <c r="E16" s="8" t="n">
        <f aca="false">57-11</f>
        <v>46</v>
      </c>
      <c r="F16" s="7" t="n">
        <f aca="false">2435.3-426</f>
        <v>2009.3</v>
      </c>
      <c r="G16" s="8" t="s">
        <v>17</v>
      </c>
      <c r="H16" s="2" t="n">
        <v>22.59</v>
      </c>
      <c r="I16" s="2" t="n">
        <v>22.59</v>
      </c>
      <c r="J16" s="2" t="n">
        <v>1.23</v>
      </c>
      <c r="K16" s="2" t="n">
        <v>1.23</v>
      </c>
      <c r="L16" s="2" t="n">
        <v>0.23</v>
      </c>
      <c r="M16" s="9" t="n">
        <v>24.05</v>
      </c>
      <c r="N16" s="1" t="s">
        <v>51</v>
      </c>
    </row>
    <row r="17" customFormat="false" ht="13.8" hidden="false" customHeight="false" outlineLevel="0" collapsed="false">
      <c r="A17" s="6" t="s">
        <v>62</v>
      </c>
      <c r="B17" s="6" t="s">
        <v>63</v>
      </c>
      <c r="C17" s="7" t="s">
        <v>64</v>
      </c>
      <c r="D17" s="7" t="n">
        <f aca="false">ROUNDUP(F17/E17,0)</f>
        <v>43</v>
      </c>
      <c r="E17" s="8" t="n">
        <f aca="false">6-4</f>
        <v>2</v>
      </c>
      <c r="F17" s="7" t="n">
        <f aca="false">240.77-156.51</f>
        <v>84.26</v>
      </c>
      <c r="G17" s="8" t="s">
        <v>17</v>
      </c>
      <c r="H17" s="2" t="n">
        <v>11.4</v>
      </c>
      <c r="I17" s="2" t="n">
        <v>14.71</v>
      </c>
      <c r="J17" s="2" t="n">
        <v>5.5</v>
      </c>
      <c r="K17" s="2" t="n">
        <v>5.5</v>
      </c>
      <c r="L17" s="2" t="n">
        <v>0.4</v>
      </c>
      <c r="M17" s="9" t="n">
        <v>20.61</v>
      </c>
      <c r="N17" s="1" t="s">
        <v>65</v>
      </c>
    </row>
    <row r="18" customFormat="false" ht="15" hidden="false" customHeight="false" outlineLevel="0" collapsed="false">
      <c r="A18" s="6" t="s">
        <v>66</v>
      </c>
      <c r="B18" s="6" t="s">
        <v>67</v>
      </c>
      <c r="C18" s="7" t="s">
        <v>68</v>
      </c>
      <c r="D18" s="7" t="n">
        <f aca="false">ROUNDUP(F18/E18,0)</f>
        <v>37</v>
      </c>
      <c r="E18" s="8" t="n">
        <v>9</v>
      </c>
      <c r="F18" s="7" t="n">
        <v>332.22</v>
      </c>
      <c r="G18" s="8" t="s">
        <v>17</v>
      </c>
      <c r="H18" s="2" t="n">
        <v>10.11</v>
      </c>
      <c r="I18" s="2" t="n">
        <f aca="false">H18*1.29</f>
        <v>13.0419</v>
      </c>
      <c r="J18" s="2" t="n">
        <v>4.87</v>
      </c>
      <c r="K18" s="2" t="n">
        <v>4.87</v>
      </c>
      <c r="L18" s="2" t="n">
        <f aca="false">550/1373</f>
        <v>0.400582665695557</v>
      </c>
      <c r="M18" s="9" t="n">
        <f aca="false">L18+K18+I18</f>
        <v>18.3124826656956</v>
      </c>
      <c r="N18" s="1" t="s">
        <v>65</v>
      </c>
    </row>
    <row r="19" customFormat="false" ht="15" hidden="false" customHeight="false" outlineLevel="0" collapsed="false">
      <c r="A19" s="6" t="s">
        <v>69</v>
      </c>
      <c r="B19" s="6" t="s">
        <v>70</v>
      </c>
      <c r="C19" s="7" t="s">
        <v>71</v>
      </c>
      <c r="D19" s="7" t="n">
        <f aca="false">ROUNDUP(F19/E19,0)</f>
        <v>39</v>
      </c>
      <c r="E19" s="8" t="n">
        <f aca="false">12-2</f>
        <v>10</v>
      </c>
      <c r="F19" s="7" t="n">
        <f aca="false">473.33-84.8</f>
        <v>388.53</v>
      </c>
      <c r="G19" s="8" t="s">
        <v>17</v>
      </c>
      <c r="H19" s="2" t="n">
        <v>11.7</v>
      </c>
      <c r="I19" s="2" t="n">
        <v>15.09</v>
      </c>
      <c r="J19" s="2" t="n">
        <v>5.64</v>
      </c>
      <c r="K19" s="2" t="n">
        <v>5.64</v>
      </c>
      <c r="L19" s="2" t="n">
        <v>0.4</v>
      </c>
      <c r="M19" s="9" t="n">
        <v>21.13</v>
      </c>
      <c r="N19" s="1" t="s">
        <v>65</v>
      </c>
    </row>
    <row r="20" customFormat="false" ht="15" hidden="false" customHeight="false" outlineLevel="0" collapsed="false">
      <c r="A20" s="6" t="s">
        <v>72</v>
      </c>
      <c r="B20" s="6" t="s">
        <v>73</v>
      </c>
      <c r="C20" s="7" t="s">
        <v>74</v>
      </c>
      <c r="D20" s="7" t="n">
        <f aca="false">ROUNDUP(F20/E20,0)</f>
        <v>21</v>
      </c>
      <c r="E20" s="8" t="n">
        <f aca="false">8-2-2</f>
        <v>4</v>
      </c>
      <c r="F20" s="7" t="n">
        <f aca="false">170.41-44.4-42.25</f>
        <v>83.76</v>
      </c>
      <c r="G20" s="8" t="s">
        <v>17</v>
      </c>
      <c r="H20" s="2" t="n">
        <v>15.7</v>
      </c>
      <c r="I20" s="2" t="n">
        <f aca="false">H20*1.287</f>
        <v>20.2059</v>
      </c>
      <c r="J20" s="2" t="n">
        <f aca="false">3500/931.07</f>
        <v>3.75911585595068</v>
      </c>
      <c r="K20" s="2" t="n">
        <v>3.76</v>
      </c>
      <c r="L20" s="2" t="n">
        <f aca="false">550/931.07</f>
        <v>0.590718205935107</v>
      </c>
      <c r="M20" s="9" t="n">
        <v>24.56</v>
      </c>
      <c r="N20" s="1" t="s">
        <v>18</v>
      </c>
    </row>
    <row r="21" customFormat="false" ht="15" hidden="false" customHeight="false" outlineLevel="0" collapsed="false">
      <c r="A21" s="6" t="s">
        <v>75</v>
      </c>
      <c r="B21" s="6" t="s">
        <v>76</v>
      </c>
      <c r="C21" s="10" t="s">
        <v>77</v>
      </c>
      <c r="D21" s="7" t="n">
        <f aca="false">ROUNDUP(F21/E21,0)</f>
        <v>40</v>
      </c>
      <c r="E21" s="8" t="n">
        <v>60</v>
      </c>
      <c r="F21" s="7" t="n">
        <v>2352</v>
      </c>
      <c r="G21" s="8" t="s">
        <v>78</v>
      </c>
      <c r="H21" s="2" t="n">
        <v>22.12</v>
      </c>
      <c r="I21" s="2" t="n">
        <v>22.12</v>
      </c>
      <c r="J21" s="2" t="n">
        <f aca="false">900/F21</f>
        <v>0.38265306122449</v>
      </c>
      <c r="K21" s="2" t="n">
        <v>0.38</v>
      </c>
      <c r="L21" s="2" t="n">
        <f aca="false">550/F21</f>
        <v>0.233843537414966</v>
      </c>
      <c r="M21" s="9" t="n">
        <f aca="false">L21+K21+I21</f>
        <v>22.733843537415</v>
      </c>
      <c r="N21" s="1" t="s">
        <v>79</v>
      </c>
    </row>
    <row r="22" customFormat="false" ht="15" hidden="false" customHeight="false" outlineLevel="0" collapsed="false">
      <c r="A22" s="6" t="s">
        <v>75</v>
      </c>
      <c r="B22" s="6" t="s">
        <v>76</v>
      </c>
      <c r="C22" s="10" t="s">
        <v>77</v>
      </c>
      <c r="D22" s="7" t="n">
        <f aca="false">ROUNDUP(F22/E22,0)</f>
        <v>39</v>
      </c>
      <c r="E22" s="8" t="n">
        <v>57</v>
      </c>
      <c r="F22" s="7" t="n">
        <v>2223</v>
      </c>
      <c r="G22" s="8" t="s">
        <v>78</v>
      </c>
      <c r="H22" s="2" t="n">
        <v>22.12</v>
      </c>
      <c r="I22" s="2" t="n">
        <v>22.12</v>
      </c>
      <c r="J22" s="2" t="n">
        <v>0.38</v>
      </c>
      <c r="K22" s="2" t="n">
        <v>0.38</v>
      </c>
      <c r="L22" s="2" t="n">
        <v>0.23</v>
      </c>
      <c r="M22" s="9" t="n">
        <v>22.73</v>
      </c>
      <c r="N22" s="1" t="s">
        <v>79</v>
      </c>
    </row>
    <row r="23" customFormat="false" ht="15" hidden="false" customHeight="false" outlineLevel="0" collapsed="false">
      <c r="A23" s="6" t="s">
        <v>75</v>
      </c>
      <c r="B23" s="6" t="s">
        <v>76</v>
      </c>
      <c r="C23" s="10" t="s">
        <v>77</v>
      </c>
      <c r="D23" s="7" t="n">
        <f aca="false">ROUNDUP(F23/E23,0)</f>
        <v>39</v>
      </c>
      <c r="E23" s="8" t="n">
        <v>60</v>
      </c>
      <c r="F23" s="7" t="n">
        <v>2340</v>
      </c>
      <c r="G23" s="8" t="s">
        <v>78</v>
      </c>
      <c r="H23" s="2" t="n">
        <v>22.12</v>
      </c>
      <c r="I23" s="2" t="n">
        <v>22.12</v>
      </c>
      <c r="J23" s="2" t="n">
        <v>0.38</v>
      </c>
      <c r="K23" s="2" t="n">
        <v>0.38</v>
      </c>
      <c r="L23" s="2" t="n">
        <v>0.23</v>
      </c>
      <c r="M23" s="9" t="n">
        <v>22.73</v>
      </c>
      <c r="N23" s="1" t="s">
        <v>79</v>
      </c>
    </row>
    <row r="24" customFormat="false" ht="15" hidden="false" customHeight="false" outlineLevel="0" collapsed="false">
      <c r="A24" s="6" t="s">
        <v>75</v>
      </c>
      <c r="B24" s="6" t="s">
        <v>76</v>
      </c>
      <c r="C24" s="10" t="s">
        <v>77</v>
      </c>
      <c r="D24" s="7" t="n">
        <f aca="false">ROUNDUP(F24/E24,0)</f>
        <v>39</v>
      </c>
      <c r="E24" s="8" t="n">
        <v>60</v>
      </c>
      <c r="F24" s="7" t="n">
        <v>2340</v>
      </c>
      <c r="G24" s="8" t="s">
        <v>78</v>
      </c>
      <c r="H24" s="2" t="n">
        <v>22.12</v>
      </c>
      <c r="I24" s="2" t="n">
        <v>22.12</v>
      </c>
      <c r="J24" s="2" t="n">
        <v>0.38</v>
      </c>
      <c r="K24" s="2" t="n">
        <v>0.38</v>
      </c>
      <c r="L24" s="2" t="n">
        <v>0.23</v>
      </c>
      <c r="M24" s="9" t="n">
        <v>22.73</v>
      </c>
      <c r="N24" s="1" t="s">
        <v>79</v>
      </c>
    </row>
    <row r="25" customFormat="false" ht="15" hidden="false" customHeight="false" outlineLevel="0" collapsed="false">
      <c r="A25" s="6" t="s">
        <v>80</v>
      </c>
      <c r="B25" s="6" t="s">
        <v>81</v>
      </c>
      <c r="C25" s="7" t="s">
        <v>82</v>
      </c>
      <c r="D25" s="10" t="n">
        <f aca="false">ROUNDUP(F25/E25,0)</f>
        <v>37</v>
      </c>
      <c r="E25" s="10" t="n">
        <v>25</v>
      </c>
      <c r="F25" s="7" t="n">
        <f aca="false">934.31-21</f>
        <v>913.31</v>
      </c>
      <c r="G25" s="8" t="s">
        <v>17</v>
      </c>
      <c r="H25" s="2" t="n">
        <v>21.44</v>
      </c>
      <c r="I25" s="2" t="n">
        <v>21.44</v>
      </c>
      <c r="J25" s="2" t="n">
        <v>4.14</v>
      </c>
      <c r="K25" s="2" t="n">
        <v>4.14</v>
      </c>
      <c r="L25" s="2" t="n">
        <v>0.36</v>
      </c>
      <c r="M25" s="9" t="n">
        <v>25.94</v>
      </c>
      <c r="N25" s="1" t="s">
        <v>83</v>
      </c>
    </row>
    <row r="26" customFormat="false" ht="13.8" hidden="false" customHeight="false" outlineLevel="0" collapsed="false">
      <c r="A26" s="6" t="s">
        <v>84</v>
      </c>
      <c r="B26" s="6" t="s">
        <v>85</v>
      </c>
      <c r="C26" s="7" t="s">
        <v>86</v>
      </c>
      <c r="D26" s="7" t="n">
        <f aca="false">ROUNDUP(F26/E26,0)</f>
        <v>46</v>
      </c>
      <c r="E26" s="8" t="n">
        <v>14</v>
      </c>
      <c r="F26" s="7" t="n">
        <v>643.23</v>
      </c>
      <c r="G26" s="8" t="s">
        <v>17</v>
      </c>
      <c r="H26" s="2" t="n">
        <v>42.8</v>
      </c>
      <c r="I26" s="2" t="n">
        <v>42.8</v>
      </c>
      <c r="J26" s="2" t="n">
        <v>11.2</v>
      </c>
      <c r="K26" s="2" t="n">
        <v>11.2</v>
      </c>
      <c r="L26" s="2" t="n">
        <f aca="false">550/1038</f>
        <v>0.529865125240848</v>
      </c>
      <c r="M26" s="9" t="n">
        <f aca="false">L26+K26+I26</f>
        <v>54.5298651252408</v>
      </c>
      <c r="N26" s="1" t="s">
        <v>87</v>
      </c>
    </row>
    <row r="27" customFormat="false" ht="15" hidden="false" customHeight="false" outlineLevel="0" collapsed="false">
      <c r="A27" s="6" t="s">
        <v>88</v>
      </c>
      <c r="B27" s="6" t="s">
        <v>89</v>
      </c>
      <c r="C27" s="7" t="s">
        <v>90</v>
      </c>
      <c r="D27" s="7" t="n">
        <f aca="false">ROUNDUP(F27/E27,0)</f>
        <v>27</v>
      </c>
      <c r="E27" s="8" t="n">
        <f aca="false">11-2</f>
        <v>9</v>
      </c>
      <c r="F27" s="7" t="n">
        <f aca="false">304-61.7</f>
        <v>242.3</v>
      </c>
      <c r="G27" s="8" t="s">
        <v>78</v>
      </c>
      <c r="H27" s="2" t="n">
        <v>37.38</v>
      </c>
      <c r="I27" s="2" t="n">
        <v>37.38</v>
      </c>
      <c r="M27" s="9" t="n">
        <v>37.45</v>
      </c>
      <c r="N27" s="1" t="s">
        <v>91</v>
      </c>
    </row>
    <row r="28" customFormat="false" ht="15" hidden="false" customHeight="false" outlineLevel="0" collapsed="false">
      <c r="A28" s="6" t="s">
        <v>92</v>
      </c>
      <c r="B28" s="6" t="s">
        <v>93</v>
      </c>
      <c r="C28" s="7" t="s">
        <v>94</v>
      </c>
      <c r="D28" s="7" t="n">
        <f aca="false">ROUNDUP(F28/E28,0)</f>
        <v>36</v>
      </c>
      <c r="E28" s="8" t="n">
        <v>1</v>
      </c>
      <c r="F28" s="7" t="n">
        <v>36</v>
      </c>
      <c r="G28" s="8" t="s">
        <v>78</v>
      </c>
      <c r="H28" s="2" t="n">
        <v>37.38</v>
      </c>
      <c r="I28" s="2" t="n">
        <v>37.38</v>
      </c>
      <c r="M28" s="9" t="n">
        <v>37.45</v>
      </c>
      <c r="N28" s="1" t="s">
        <v>91</v>
      </c>
    </row>
    <row r="29" customFormat="false" ht="15" hidden="false" customHeight="false" outlineLevel="0" collapsed="false">
      <c r="A29" s="6" t="s">
        <v>95</v>
      </c>
      <c r="B29" s="6" t="s">
        <v>96</v>
      </c>
      <c r="C29" s="7" t="s">
        <v>97</v>
      </c>
      <c r="D29" s="7" t="n">
        <f aca="false">ROUNDUP(F29/E29,0)</f>
        <v>42</v>
      </c>
      <c r="E29" s="8" t="n">
        <f aca="false">16-9</f>
        <v>7</v>
      </c>
      <c r="F29" s="7" t="n">
        <f aca="false">661.9-370.01</f>
        <v>291.89</v>
      </c>
      <c r="G29" s="8" t="s">
        <v>17</v>
      </c>
      <c r="H29" s="2" t="n">
        <v>13.65</v>
      </c>
      <c r="I29" s="2" t="n">
        <v>18.43</v>
      </c>
      <c r="J29" s="2" t="n">
        <v>5.28</v>
      </c>
      <c r="K29" s="2" t="n">
        <v>5.28</v>
      </c>
      <c r="L29" s="2" t="n">
        <v>0.52</v>
      </c>
      <c r="M29" s="9" t="n">
        <v>24.23</v>
      </c>
      <c r="N29" s="1" t="s">
        <v>65</v>
      </c>
    </row>
    <row r="30" customFormat="false" ht="15" hidden="false" customHeight="false" outlineLevel="0" collapsed="false">
      <c r="A30" s="6" t="s">
        <v>98</v>
      </c>
      <c r="B30" s="6" t="s">
        <v>99</v>
      </c>
      <c r="C30" s="7" t="s">
        <v>100</v>
      </c>
      <c r="D30" s="7" t="n">
        <f aca="false">ROUNDUP(F30/E30,0)</f>
        <v>38</v>
      </c>
      <c r="E30" s="8" t="n">
        <f aca="false">43-2</f>
        <v>41</v>
      </c>
      <c r="F30" s="7" t="n">
        <f aca="false">1616-73</f>
        <v>1543</v>
      </c>
      <c r="G30" s="8" t="s">
        <v>78</v>
      </c>
      <c r="H30" s="2" t="n">
        <v>25.12</v>
      </c>
      <c r="I30" s="2" t="n">
        <v>25.12</v>
      </c>
      <c r="L30" s="2" t="n">
        <v>0.34</v>
      </c>
      <c r="M30" s="9" t="n">
        <v>25.46</v>
      </c>
      <c r="N30" s="1" t="s">
        <v>91</v>
      </c>
    </row>
    <row r="31" customFormat="false" ht="15" hidden="false" customHeight="false" outlineLevel="0" collapsed="false">
      <c r="A31" s="6" t="s">
        <v>98</v>
      </c>
      <c r="B31" s="6" t="s">
        <v>99</v>
      </c>
      <c r="C31" s="7" t="s">
        <v>100</v>
      </c>
      <c r="D31" s="7" t="n">
        <f aca="false">ROUNDUP(F31/E31,0)</f>
        <v>38</v>
      </c>
      <c r="E31" s="8" t="n">
        <v>33</v>
      </c>
      <c r="F31" s="7" t="n">
        <v>1251</v>
      </c>
      <c r="G31" s="8" t="s">
        <v>78</v>
      </c>
      <c r="H31" s="2" t="n">
        <v>25.12</v>
      </c>
      <c r="I31" s="2" t="n">
        <v>25.12</v>
      </c>
      <c r="L31" s="2" t="n">
        <f aca="false">550/F31</f>
        <v>0.4396482813749</v>
      </c>
      <c r="M31" s="9" t="n">
        <f aca="false">L31+I31</f>
        <v>25.5596482813749</v>
      </c>
      <c r="N31" s="1" t="s">
        <v>91</v>
      </c>
    </row>
    <row r="32" customFormat="false" ht="15" hidden="false" customHeight="false" outlineLevel="0" collapsed="false">
      <c r="A32" s="6" t="s">
        <v>98</v>
      </c>
      <c r="B32" s="6" t="s">
        <v>99</v>
      </c>
      <c r="C32" s="7" t="s">
        <v>100</v>
      </c>
      <c r="D32" s="7" t="n">
        <f aca="false">ROUNDUP(F32/E32,0)</f>
        <v>41</v>
      </c>
      <c r="E32" s="8" t="n">
        <f aca="false">47-45</f>
        <v>2</v>
      </c>
      <c r="F32" s="7" t="n">
        <f aca="false">1399.16-1318.92</f>
        <v>80.24</v>
      </c>
      <c r="G32" s="8" t="s">
        <v>78</v>
      </c>
      <c r="H32" s="2" t="n">
        <v>25.09</v>
      </c>
      <c r="I32" s="2" t="n">
        <v>25.09</v>
      </c>
      <c r="L32" s="2" t="n">
        <v>0.38</v>
      </c>
      <c r="M32" s="9" t="n">
        <v>25.47</v>
      </c>
      <c r="N32" s="1" t="s">
        <v>91</v>
      </c>
    </row>
    <row r="33" customFormat="false" ht="15" hidden="false" customHeight="false" outlineLevel="0" collapsed="false">
      <c r="A33" s="6" t="s">
        <v>98</v>
      </c>
      <c r="B33" s="6" t="s">
        <v>99</v>
      </c>
      <c r="C33" s="7" t="s">
        <v>100</v>
      </c>
      <c r="D33" s="7" t="n">
        <f aca="false">ROUNDUP(F33/E33,0)</f>
        <v>40</v>
      </c>
      <c r="E33" s="8" t="n">
        <v>42</v>
      </c>
      <c r="F33" s="7" t="n">
        <v>1674</v>
      </c>
      <c r="G33" s="8" t="s">
        <v>78</v>
      </c>
      <c r="H33" s="2" t="n">
        <v>25.12</v>
      </c>
      <c r="I33" s="2" t="n">
        <v>25.12</v>
      </c>
      <c r="L33" s="2" t="n">
        <f aca="false">550/F33</f>
        <v>0.328554360812425</v>
      </c>
      <c r="M33" s="9" t="n">
        <f aca="false">L33+I33</f>
        <v>25.4485543608124</v>
      </c>
      <c r="N33" s="1" t="s">
        <v>91</v>
      </c>
    </row>
    <row r="34" customFormat="false" ht="15" hidden="false" customHeight="false" outlineLevel="0" collapsed="false">
      <c r="A34" s="6" t="s">
        <v>101</v>
      </c>
      <c r="B34" s="6" t="s">
        <v>102</v>
      </c>
      <c r="C34" s="7" t="s">
        <v>100</v>
      </c>
      <c r="D34" s="7" t="n">
        <f aca="false">ROUNDUP(F34/E34,0)</f>
        <v>33</v>
      </c>
      <c r="E34" s="8" t="n">
        <v>37</v>
      </c>
      <c r="F34" s="7" t="n">
        <v>1215</v>
      </c>
      <c r="G34" s="8" t="s">
        <v>78</v>
      </c>
      <c r="H34" s="2" t="n">
        <v>25.12</v>
      </c>
      <c r="I34" s="2" t="n">
        <v>25.12</v>
      </c>
      <c r="L34" s="2" t="n">
        <f aca="false">550/F34</f>
        <v>0.452674897119342</v>
      </c>
      <c r="M34" s="9" t="n">
        <f aca="false">L34+I34</f>
        <v>25.5726748971193</v>
      </c>
      <c r="N34" s="1" t="s">
        <v>91</v>
      </c>
    </row>
    <row r="35" customFormat="false" ht="15" hidden="false" customHeight="false" outlineLevel="0" collapsed="false">
      <c r="A35" s="6" t="s">
        <v>103</v>
      </c>
      <c r="B35" s="6" t="s">
        <v>104</v>
      </c>
      <c r="C35" s="7" t="s">
        <v>105</v>
      </c>
      <c r="D35" s="7" t="n">
        <f aca="false">ROUNDUP(F35/E35,0)</f>
        <v>42</v>
      </c>
      <c r="E35" s="8" t="n">
        <v>3</v>
      </c>
      <c r="F35" s="7" t="n">
        <v>125.91</v>
      </c>
      <c r="G35" s="8" t="s">
        <v>17</v>
      </c>
      <c r="H35" s="2" t="n">
        <v>34.72</v>
      </c>
      <c r="I35" s="2" t="n">
        <f aca="false">H35*1.29</f>
        <v>44.7888</v>
      </c>
      <c r="J35" s="2" t="n">
        <v>6.79</v>
      </c>
      <c r="K35" s="2" t="n">
        <v>6.79</v>
      </c>
      <c r="L35" s="2" t="n">
        <f aca="false">550/1030</f>
        <v>0.533980582524272</v>
      </c>
      <c r="M35" s="9" t="n">
        <f aca="false">L35+K35+I35</f>
        <v>52.1127805825243</v>
      </c>
      <c r="N35" s="1" t="s">
        <v>18</v>
      </c>
    </row>
    <row r="36" customFormat="false" ht="15" hidden="false" customHeight="false" outlineLevel="0" collapsed="false">
      <c r="A36" s="6" t="s">
        <v>106</v>
      </c>
      <c r="B36" s="6" t="s">
        <v>107</v>
      </c>
      <c r="C36" s="7" t="s">
        <v>108</v>
      </c>
      <c r="D36" s="7" t="n">
        <f aca="false">ROUNDUP(F36/E36,0)</f>
        <v>41</v>
      </c>
      <c r="E36" s="8" t="n">
        <v>5</v>
      </c>
      <c r="F36" s="7" t="n">
        <v>204</v>
      </c>
      <c r="G36" s="8" t="s">
        <v>78</v>
      </c>
      <c r="H36" s="2" t="n">
        <v>32.59</v>
      </c>
      <c r="I36" s="2" t="n">
        <v>32.59</v>
      </c>
      <c r="L36" s="2" t="n">
        <f aca="false">550/1258</f>
        <v>0.437201907790143</v>
      </c>
      <c r="M36" s="9" t="n">
        <f aca="false">L36+H36</f>
        <v>33.0272019077901</v>
      </c>
      <c r="N36" s="1" t="s">
        <v>91</v>
      </c>
    </row>
    <row r="37" customFormat="false" ht="15" hidden="false" customHeight="false" outlineLevel="0" collapsed="false">
      <c r="A37" s="6" t="s">
        <v>106</v>
      </c>
      <c r="B37" s="6" t="s">
        <v>107</v>
      </c>
      <c r="C37" s="7" t="s">
        <v>109</v>
      </c>
      <c r="D37" s="7" t="n">
        <f aca="false">ROUNDUP(F37/E37,0)</f>
        <v>41</v>
      </c>
      <c r="E37" s="8" t="n">
        <v>1</v>
      </c>
      <c r="F37" s="7" t="n">
        <v>40.9</v>
      </c>
      <c r="G37" s="8" t="s">
        <v>78</v>
      </c>
      <c r="H37" s="2" t="n">
        <v>18</v>
      </c>
      <c r="I37" s="2" t="n">
        <f aca="false">H37*1.35</f>
        <v>24.3</v>
      </c>
      <c r="K37" s="2" t="n">
        <v>5.41</v>
      </c>
      <c r="L37" s="2" t="n">
        <f aca="false">550/453.8</f>
        <v>1.21198765976201</v>
      </c>
      <c r="M37" s="9" t="n">
        <f aca="false">L37+K37+I37</f>
        <v>30.921987659762</v>
      </c>
      <c r="N37" s="1" t="s">
        <v>110</v>
      </c>
    </row>
    <row r="38" customFormat="false" ht="15" hidden="false" customHeight="false" outlineLevel="0" collapsed="false">
      <c r="A38" s="6" t="s">
        <v>106</v>
      </c>
      <c r="B38" s="6" t="s">
        <v>107</v>
      </c>
      <c r="C38" s="7" t="s">
        <v>108</v>
      </c>
      <c r="D38" s="7" t="n">
        <f aca="false">ROUNDUP(F38/E38,0)</f>
        <v>41</v>
      </c>
      <c r="E38" s="8" t="n">
        <v>2</v>
      </c>
      <c r="F38" s="7" t="n">
        <v>81.9</v>
      </c>
      <c r="G38" s="8" t="s">
        <v>78</v>
      </c>
      <c r="H38" s="2" t="n">
        <v>18</v>
      </c>
      <c r="I38" s="2" t="n">
        <v>24.3</v>
      </c>
      <c r="M38" s="9" t="n">
        <v>33.03</v>
      </c>
      <c r="N38" s="1" t="s">
        <v>110</v>
      </c>
    </row>
    <row r="39" customFormat="false" ht="15" hidden="false" customHeight="false" outlineLevel="0" collapsed="false">
      <c r="A39" s="6" t="s">
        <v>106</v>
      </c>
      <c r="B39" s="6" t="s">
        <v>107</v>
      </c>
      <c r="C39" s="7" t="s">
        <v>108</v>
      </c>
      <c r="D39" s="7" t="n">
        <f aca="false">ROUNDUP(F39/E39,0)</f>
        <v>42</v>
      </c>
      <c r="E39" s="8" t="n">
        <v>6</v>
      </c>
      <c r="F39" s="7" t="n">
        <v>252</v>
      </c>
      <c r="G39" s="8" t="s">
        <v>78</v>
      </c>
      <c r="H39" s="2" t="n">
        <v>32.59</v>
      </c>
      <c r="I39" s="2" t="n">
        <v>32.59</v>
      </c>
      <c r="L39" s="2" t="n">
        <v>0.38</v>
      </c>
      <c r="M39" s="9" t="n">
        <f aca="false">L39+I39</f>
        <v>32.97</v>
      </c>
      <c r="N39" s="1" t="s">
        <v>91</v>
      </c>
    </row>
    <row r="40" customFormat="false" ht="15" hidden="false" customHeight="false" outlineLevel="0" collapsed="false">
      <c r="A40" s="6" t="s">
        <v>111</v>
      </c>
      <c r="B40" s="6" t="s">
        <v>112</v>
      </c>
      <c r="C40" s="7" t="s">
        <v>113</v>
      </c>
      <c r="D40" s="7" t="n">
        <f aca="false">ROUNDUP(F40/E40,0)</f>
        <v>43</v>
      </c>
      <c r="E40" s="8" t="n">
        <v>7</v>
      </c>
      <c r="F40" s="7" t="n">
        <v>301</v>
      </c>
      <c r="G40" s="8" t="s">
        <v>78</v>
      </c>
      <c r="H40" s="2" t="n">
        <v>46.11</v>
      </c>
      <c r="I40" s="2" t="n">
        <v>46.11</v>
      </c>
      <c r="L40" s="2" t="n">
        <v>0.22</v>
      </c>
      <c r="M40" s="9" t="n">
        <v>46.33</v>
      </c>
      <c r="N40" s="1" t="s">
        <v>114</v>
      </c>
    </row>
    <row r="41" customFormat="false" ht="13.8" hidden="false" customHeight="false" outlineLevel="0" collapsed="false">
      <c r="A41" s="6" t="s">
        <v>115</v>
      </c>
      <c r="B41" s="6" t="s">
        <v>116</v>
      </c>
      <c r="C41" s="7" t="s">
        <v>113</v>
      </c>
      <c r="D41" s="7" t="n">
        <f aca="false">ROUNDUP(F41/E41,0)</f>
        <v>9</v>
      </c>
      <c r="E41" s="8" t="n">
        <f aca="false">27-19</f>
        <v>8</v>
      </c>
      <c r="F41" s="7" t="n">
        <f aca="false">873-805.05</f>
        <v>67.95</v>
      </c>
      <c r="G41" s="8" t="s">
        <v>78</v>
      </c>
      <c r="H41" s="2" t="n">
        <v>46.11</v>
      </c>
      <c r="I41" s="2" t="n">
        <v>46.11</v>
      </c>
      <c r="L41" s="2" t="n">
        <v>0.23</v>
      </c>
      <c r="M41" s="9" t="n">
        <v>46.34</v>
      </c>
      <c r="N41" s="1" t="s">
        <v>114</v>
      </c>
    </row>
    <row r="42" customFormat="false" ht="15" hidden="false" customHeight="false" outlineLevel="0" collapsed="false">
      <c r="A42" s="6" t="s">
        <v>117</v>
      </c>
      <c r="B42" s="6" t="s">
        <v>118</v>
      </c>
      <c r="C42" s="7" t="s">
        <v>119</v>
      </c>
      <c r="D42" s="7" t="n">
        <f aca="false">ROUNDUP(F42/E42,0)</f>
        <v>31</v>
      </c>
      <c r="E42" s="8" t="n">
        <f aca="false">44-15</f>
        <v>29</v>
      </c>
      <c r="F42" s="7" t="n">
        <f aca="false">1100.5-228.64</f>
        <v>871.86</v>
      </c>
      <c r="G42" s="8" t="s">
        <v>78</v>
      </c>
      <c r="H42" s="2" t="n">
        <v>39.12</v>
      </c>
      <c r="I42" s="2" t="n">
        <v>39.12</v>
      </c>
      <c r="J42" s="2" t="n">
        <v>6.54</v>
      </c>
      <c r="K42" s="2" t="n">
        <v>6.54</v>
      </c>
      <c r="L42" s="2" t="n">
        <v>0.5</v>
      </c>
      <c r="M42" s="9" t="n">
        <v>46.16</v>
      </c>
      <c r="N42" s="1" t="s">
        <v>120</v>
      </c>
    </row>
    <row r="43" customFormat="false" ht="15" hidden="false" customHeight="false" outlineLevel="0" collapsed="false">
      <c r="A43" s="6" t="s">
        <v>121</v>
      </c>
      <c r="B43" s="6" t="s">
        <v>122</v>
      </c>
      <c r="C43" s="10" t="s">
        <v>123</v>
      </c>
      <c r="D43" s="7" t="n">
        <f aca="false">ROUNDUP(F43/E43,0)</f>
        <v>45</v>
      </c>
      <c r="E43" s="8" t="n">
        <v>15</v>
      </c>
      <c r="F43" s="7" t="n">
        <v>668</v>
      </c>
      <c r="G43" s="8" t="s">
        <v>78</v>
      </c>
      <c r="H43" s="2" t="n">
        <v>32.38</v>
      </c>
      <c r="I43" s="2" t="n">
        <v>32.38</v>
      </c>
      <c r="L43" s="2" t="n">
        <v>0.38</v>
      </c>
      <c r="M43" s="9" t="n">
        <f aca="false">L43+I43</f>
        <v>32.76</v>
      </c>
      <c r="N43" s="1" t="s">
        <v>91</v>
      </c>
    </row>
    <row r="44" customFormat="false" ht="15" hidden="false" customHeight="false" outlineLevel="0" collapsed="false">
      <c r="A44" s="6" t="s">
        <v>124</v>
      </c>
      <c r="B44" s="6" t="s">
        <v>125</v>
      </c>
      <c r="C44" s="7" t="s">
        <v>126</v>
      </c>
      <c r="D44" s="7" t="n">
        <f aca="false">ROUNDUP(F44/E44,0)</f>
        <v>39</v>
      </c>
      <c r="E44" s="8" t="n">
        <v>25</v>
      </c>
      <c r="F44" s="7" t="n">
        <v>975</v>
      </c>
      <c r="G44" s="8" t="s">
        <v>78</v>
      </c>
      <c r="H44" s="2" t="n">
        <v>39.6</v>
      </c>
      <c r="I44" s="2" t="n">
        <v>39.6</v>
      </c>
      <c r="J44" s="2" t="n">
        <f aca="false">900/F44</f>
        <v>0.923076923076923</v>
      </c>
      <c r="K44" s="2" t="n">
        <v>0.92</v>
      </c>
      <c r="L44" s="2" t="n">
        <f aca="false">550/F44</f>
        <v>0.564102564102564</v>
      </c>
      <c r="M44" s="9" t="n">
        <f aca="false">L44+K44+I44</f>
        <v>41.0841025641026</v>
      </c>
      <c r="N44" s="1" t="s">
        <v>127</v>
      </c>
    </row>
    <row r="45" customFormat="false" ht="15" hidden="false" customHeight="false" outlineLevel="0" collapsed="false">
      <c r="A45" s="6" t="s">
        <v>124</v>
      </c>
      <c r="B45" s="6" t="s">
        <v>125</v>
      </c>
      <c r="C45" s="7" t="s">
        <v>128</v>
      </c>
      <c r="D45" s="7" t="n">
        <f aca="false">ROUNDUP(F45/E45,0)</f>
        <v>39</v>
      </c>
      <c r="E45" s="8" t="n">
        <v>25</v>
      </c>
      <c r="F45" s="7" t="n">
        <v>975</v>
      </c>
      <c r="G45" s="8" t="s">
        <v>78</v>
      </c>
      <c r="H45" s="2" t="n">
        <v>39.6</v>
      </c>
      <c r="I45" s="2" t="n">
        <v>39.6</v>
      </c>
      <c r="J45" s="2" t="n">
        <v>0.92</v>
      </c>
      <c r="K45" s="2" t="n">
        <v>0.92</v>
      </c>
      <c r="L45" s="2" t="n">
        <v>0.56</v>
      </c>
      <c r="M45" s="9" t="n">
        <v>41.08</v>
      </c>
      <c r="N45" s="1" t="s">
        <v>127</v>
      </c>
    </row>
    <row r="46" customFormat="false" ht="15" hidden="false" customHeight="false" outlineLevel="0" collapsed="false">
      <c r="A46" s="6" t="s">
        <v>124</v>
      </c>
      <c r="B46" s="6" t="s">
        <v>125</v>
      </c>
      <c r="C46" s="7" t="s">
        <v>128</v>
      </c>
      <c r="D46" s="7" t="n">
        <f aca="false">ROUNDUP(F46/E46,0)</f>
        <v>39</v>
      </c>
      <c r="E46" s="8" t="n">
        <v>10</v>
      </c>
      <c r="F46" s="7" t="n">
        <v>390</v>
      </c>
      <c r="G46" s="8" t="s">
        <v>78</v>
      </c>
      <c r="H46" s="2" t="n">
        <v>39.6</v>
      </c>
      <c r="I46" s="2" t="n">
        <v>39.6</v>
      </c>
      <c r="J46" s="2" t="n">
        <f aca="false">323.61/F46</f>
        <v>0.829769230769231</v>
      </c>
      <c r="K46" s="2" t="n">
        <v>0.83</v>
      </c>
      <c r="L46" s="2" t="n">
        <f aca="false">550/1638</f>
        <v>0.335775335775336</v>
      </c>
      <c r="M46" s="9" t="n">
        <f aca="false">L46+K46+I46</f>
        <v>40.7657753357753</v>
      </c>
      <c r="N46" s="1" t="s">
        <v>127</v>
      </c>
    </row>
    <row r="47" customFormat="false" ht="15" hidden="false" customHeight="false" outlineLevel="0" collapsed="false">
      <c r="A47" s="6" t="s">
        <v>124</v>
      </c>
      <c r="B47" s="6" t="s">
        <v>125</v>
      </c>
      <c r="C47" s="7" t="s">
        <v>128</v>
      </c>
      <c r="D47" s="7" t="n">
        <f aca="false">ROUNDUP(F47/E47,0)</f>
        <v>39</v>
      </c>
      <c r="E47" s="8" t="n">
        <v>25</v>
      </c>
      <c r="F47" s="7" t="n">
        <v>975</v>
      </c>
      <c r="G47" s="8" t="s">
        <v>78</v>
      </c>
      <c r="H47" s="2" t="n">
        <v>39.6</v>
      </c>
      <c r="I47" s="2" t="n">
        <v>39.6</v>
      </c>
      <c r="J47" s="2" t="n">
        <v>0.92</v>
      </c>
      <c r="K47" s="2" t="n">
        <v>0.92</v>
      </c>
      <c r="L47" s="2" t="n">
        <v>0.56</v>
      </c>
      <c r="M47" s="9" t="n">
        <v>41.08</v>
      </c>
      <c r="N47" s="1" t="s">
        <v>127</v>
      </c>
    </row>
    <row r="48" customFormat="false" ht="15" hidden="false" customHeight="false" outlineLevel="0" collapsed="false">
      <c r="A48" s="6" t="s">
        <v>124</v>
      </c>
      <c r="B48" s="6" t="s">
        <v>125</v>
      </c>
      <c r="C48" s="7" t="s">
        <v>126</v>
      </c>
      <c r="D48" s="7" t="n">
        <f aca="false">ROUNDUP(F48/E48,0)</f>
        <v>39</v>
      </c>
      <c r="E48" s="8" t="n">
        <v>25</v>
      </c>
      <c r="F48" s="7" t="n">
        <v>975</v>
      </c>
      <c r="G48" s="8" t="s">
        <v>78</v>
      </c>
      <c r="H48" s="2" t="n">
        <v>39.6</v>
      </c>
      <c r="I48" s="2" t="n">
        <v>39.6</v>
      </c>
      <c r="J48" s="2" t="n">
        <v>0.92</v>
      </c>
      <c r="K48" s="2" t="n">
        <v>0.92</v>
      </c>
      <c r="L48" s="2" t="n">
        <v>0.56</v>
      </c>
      <c r="M48" s="9" t="n">
        <v>41.08</v>
      </c>
      <c r="N48" s="1" t="s">
        <v>127</v>
      </c>
    </row>
    <row r="49" customFormat="false" ht="15" hidden="false" customHeight="false" outlineLevel="0" collapsed="false">
      <c r="A49" s="6" t="s">
        <v>124</v>
      </c>
      <c r="B49" s="6" t="s">
        <v>125</v>
      </c>
      <c r="C49" s="7" t="s">
        <v>126</v>
      </c>
      <c r="D49" s="7" t="n">
        <f aca="false">ROUNDUP(F49/E49,0)</f>
        <v>39</v>
      </c>
      <c r="E49" s="8" t="n">
        <v>25</v>
      </c>
      <c r="F49" s="7" t="n">
        <v>975</v>
      </c>
      <c r="G49" s="8" t="s">
        <v>78</v>
      </c>
      <c r="H49" s="2" t="n">
        <v>39.6</v>
      </c>
      <c r="I49" s="2" t="n">
        <v>39.6</v>
      </c>
      <c r="J49" s="2" t="n">
        <v>0.92</v>
      </c>
      <c r="K49" s="2" t="n">
        <v>0.92</v>
      </c>
      <c r="L49" s="2" t="n">
        <v>0.56</v>
      </c>
      <c r="M49" s="9" t="n">
        <v>41.08</v>
      </c>
      <c r="N49" s="1" t="s">
        <v>127</v>
      </c>
    </row>
    <row r="50" customFormat="false" ht="15" hidden="false" customHeight="false" outlineLevel="0" collapsed="false">
      <c r="A50" s="6" t="s">
        <v>129</v>
      </c>
      <c r="B50" s="6" t="s">
        <v>130</v>
      </c>
      <c r="C50" s="10" t="s">
        <v>131</v>
      </c>
      <c r="D50" s="7" t="n">
        <f aca="false">ROUNDUP(F50/E50,0)</f>
        <v>39</v>
      </c>
      <c r="E50" s="8" t="n">
        <v>14</v>
      </c>
      <c r="F50" s="7" t="n">
        <f aca="false">569.69-33.51</f>
        <v>536.18</v>
      </c>
      <c r="G50" s="8" t="s">
        <v>17</v>
      </c>
      <c r="H50" s="2" t="n">
        <v>40.35</v>
      </c>
      <c r="I50" s="2" t="n">
        <v>52.05</v>
      </c>
      <c r="J50" s="2" t="n">
        <v>2.28</v>
      </c>
      <c r="K50" s="2" t="n">
        <v>2.28</v>
      </c>
      <c r="L50" s="2" t="n">
        <v>0.97</v>
      </c>
      <c r="M50" s="9" t="n">
        <v>55.3</v>
      </c>
      <c r="N50" s="1" t="s">
        <v>132</v>
      </c>
    </row>
    <row r="51" customFormat="false" ht="15" hidden="false" customHeight="false" outlineLevel="0" collapsed="false">
      <c r="A51" s="6" t="s">
        <v>129</v>
      </c>
      <c r="B51" s="6" t="s">
        <v>130</v>
      </c>
      <c r="C51" s="10" t="s">
        <v>133</v>
      </c>
      <c r="D51" s="7" t="n">
        <f aca="false">ROUNDUP(F51/E51,0)</f>
        <v>43</v>
      </c>
      <c r="E51" s="8" t="n">
        <v>9</v>
      </c>
      <c r="F51" s="7" t="n">
        <v>383.2</v>
      </c>
      <c r="G51" s="8" t="s">
        <v>17</v>
      </c>
      <c r="H51" s="2" t="n">
        <v>39</v>
      </c>
      <c r="I51" s="2" t="n">
        <f aca="false">H51*1.36</f>
        <v>53.04</v>
      </c>
      <c r="J51" s="2" t="n">
        <v>9.46</v>
      </c>
      <c r="K51" s="2" t="n">
        <v>9.46</v>
      </c>
      <c r="L51" s="2" t="n">
        <f aca="false">550/F51</f>
        <v>1.43528183716075</v>
      </c>
      <c r="M51" s="9" t="n">
        <f aca="false">L51+K51+I51</f>
        <v>63.9352818371607</v>
      </c>
      <c r="N51" s="1" t="s">
        <v>55</v>
      </c>
    </row>
    <row r="52" customFormat="false" ht="15" hidden="false" customHeight="false" outlineLevel="0" collapsed="false">
      <c r="A52" s="6" t="s">
        <v>134</v>
      </c>
      <c r="B52" s="6" t="s">
        <v>135</v>
      </c>
      <c r="C52" s="7" t="s">
        <v>136</v>
      </c>
      <c r="D52" s="7" t="n">
        <f aca="false">ROUNDUP(F52/E52,0)</f>
        <v>31</v>
      </c>
      <c r="E52" s="8" t="n">
        <v>1</v>
      </c>
      <c r="F52" s="7" t="n">
        <f aca="false">577.44-536-10.59</f>
        <v>30.8500000000001</v>
      </c>
      <c r="G52" s="8" t="s">
        <v>17</v>
      </c>
      <c r="H52" s="2" t="n">
        <f aca="false">47840/2000*775/577.44</f>
        <v>32.1037683568856</v>
      </c>
      <c r="I52" s="2" t="n">
        <f aca="false">H52*1.24</f>
        <v>39.8086727625381</v>
      </c>
      <c r="J52" s="2" t="n">
        <f aca="false">5750/F52</f>
        <v>186.385737439222</v>
      </c>
      <c r="K52" s="2" t="n">
        <v>9.96</v>
      </c>
      <c r="L52" s="2" t="n">
        <f aca="false">550/F52</f>
        <v>17.8282009724473</v>
      </c>
      <c r="M52" s="9" t="n">
        <v>51.02</v>
      </c>
      <c r="N52" s="1" t="s">
        <v>137</v>
      </c>
    </row>
    <row r="53" customFormat="false" ht="15" hidden="false" customHeight="false" outlineLevel="0" collapsed="false">
      <c r="A53" s="6" t="s">
        <v>138</v>
      </c>
      <c r="B53" s="6" t="s">
        <v>139</v>
      </c>
      <c r="C53" s="7" t="s">
        <v>140</v>
      </c>
      <c r="D53" s="7" t="n">
        <f aca="false">ROUNDUP(F53/E53,0)</f>
        <v>34</v>
      </c>
      <c r="E53" s="8" t="n">
        <v>6</v>
      </c>
      <c r="F53" s="7" t="n">
        <f aca="false">489.5-1.8-172-101-12.41</f>
        <v>202.29</v>
      </c>
      <c r="G53" s="8" t="s">
        <v>17</v>
      </c>
      <c r="H53" s="2" t="n">
        <v>29.5</v>
      </c>
      <c r="I53" s="2" t="n">
        <v>37.47</v>
      </c>
      <c r="J53" s="2" t="n">
        <f aca="false">4800/F53</f>
        <v>23.728310840872</v>
      </c>
      <c r="K53" s="2" t="n">
        <v>9.81</v>
      </c>
      <c r="L53" s="2" t="n">
        <f aca="false">550/F53</f>
        <v>2.71886895051658</v>
      </c>
      <c r="M53" s="9" t="n">
        <v>48.4</v>
      </c>
      <c r="N53" s="1" t="s">
        <v>141</v>
      </c>
    </row>
    <row r="54" customFormat="false" ht="15" hidden="false" customHeight="false" outlineLevel="0" collapsed="false">
      <c r="A54" s="6" t="s">
        <v>142</v>
      </c>
      <c r="B54" s="6" t="s">
        <v>143</v>
      </c>
      <c r="C54" s="7" t="s">
        <v>144</v>
      </c>
      <c r="D54" s="7" t="n">
        <f aca="false">ROUNDUP(F54/E54,0)</f>
        <v>27</v>
      </c>
      <c r="E54" s="8" t="n">
        <f aca="false">16-8</f>
        <v>8</v>
      </c>
      <c r="F54" s="7" t="n">
        <f aca="false">432-216</f>
        <v>216</v>
      </c>
      <c r="G54" s="8" t="s">
        <v>78</v>
      </c>
      <c r="H54" s="2" t="n">
        <v>60.29</v>
      </c>
      <c r="I54" s="2" t="n">
        <v>60.29</v>
      </c>
      <c r="J54" s="2" t="n">
        <f aca="false">11373/F54</f>
        <v>52.6527777777778</v>
      </c>
      <c r="K54" s="2" t="n">
        <v>24.78</v>
      </c>
      <c r="L54" s="2" t="n">
        <f aca="false">550/F54</f>
        <v>2.5462962962963</v>
      </c>
      <c r="M54" s="9" t="n">
        <v>86.34</v>
      </c>
      <c r="N54" s="1" t="s">
        <v>120</v>
      </c>
    </row>
    <row r="55" customFormat="false" ht="15" hidden="false" customHeight="false" outlineLevel="0" collapsed="false">
      <c r="A55" s="6" t="s">
        <v>145</v>
      </c>
      <c r="B55" s="6" t="s">
        <v>146</v>
      </c>
      <c r="C55" s="7" t="s">
        <v>147</v>
      </c>
      <c r="D55" s="7" t="n">
        <f aca="false">ROUNDUP(F55/E55,0)</f>
        <v>35</v>
      </c>
      <c r="E55" s="8" t="n">
        <v>3</v>
      </c>
      <c r="F55" s="7" t="n">
        <v>104.2</v>
      </c>
      <c r="G55" s="8" t="s">
        <v>17</v>
      </c>
      <c r="H55" s="2" t="n">
        <v>55.5</v>
      </c>
      <c r="I55" s="2" t="n">
        <f aca="false">H55*1.267</f>
        <v>70.3185</v>
      </c>
      <c r="J55" s="2" t="n">
        <v>18.4615384615385</v>
      </c>
      <c r="K55" s="2" t="n">
        <v>18.46</v>
      </c>
      <c r="M55" s="9" t="n">
        <v>90.89</v>
      </c>
    </row>
    <row r="56" customFormat="false" ht="15" hidden="false" customHeight="false" outlineLevel="0" collapsed="false">
      <c r="A56" s="6" t="s">
        <v>148</v>
      </c>
      <c r="B56" s="6" t="s">
        <v>149</v>
      </c>
      <c r="C56" s="7" t="s">
        <v>150</v>
      </c>
      <c r="D56" s="7" t="n">
        <f aca="false">ROUNDUP(F56/E56,0)</f>
        <v>39</v>
      </c>
      <c r="E56" s="8" t="n">
        <f aca="false">4-2</f>
        <v>2</v>
      </c>
      <c r="F56" s="7" t="n">
        <f aca="false">155.3-77.6</f>
        <v>77.7</v>
      </c>
      <c r="G56" s="8" t="s">
        <v>17</v>
      </c>
      <c r="H56" s="2" t="n">
        <v>97.6</v>
      </c>
      <c r="I56" s="2" t="n">
        <f aca="false">H56*1.267</f>
        <v>123.6592</v>
      </c>
      <c r="J56" s="2" t="n">
        <f aca="false">4800/160</f>
        <v>30</v>
      </c>
      <c r="K56" s="2" t="n">
        <v>30</v>
      </c>
      <c r="M56" s="9" t="n">
        <v>155.77</v>
      </c>
      <c r="N56" s="1" t="s">
        <v>141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P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3"/>
    <col collapsed="false" customWidth="true" hidden="false" outlineLevel="0" max="2" min="2" style="0" width="54.83"/>
    <col collapsed="false" customWidth="true" hidden="false" outlineLevel="0" max="3" min="3" style="1" width="9.96"/>
    <col collapsed="false" customWidth="true" hidden="false" outlineLevel="0" max="4" min="4" style="1" width="7.85"/>
    <col collapsed="false" customWidth="true" hidden="false" outlineLevel="0" max="5" min="5" style="1" width="7.75"/>
    <col collapsed="false" customWidth="true" hidden="false" outlineLevel="0" max="6" min="6" style="1" width="13.7"/>
    <col collapsed="false" customWidth="true" hidden="false" outlineLevel="0" max="7" min="7" style="1" width="1.01"/>
    <col collapsed="false" customWidth="true" hidden="false" outlineLevel="0" max="12" min="8" style="2" width="1.01"/>
    <col collapsed="false" customWidth="true" hidden="false" outlineLevel="0" max="13" min="13" style="2" width="31.2"/>
    <col collapsed="false" customWidth="true" hidden="false" outlineLevel="0" max="14" min="14" style="1" width="18.08"/>
    <col collapsed="false" customWidth="true" hidden="false" outlineLevel="0" max="15" min="15" style="0" width="11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151</v>
      </c>
      <c r="M1" s="5" t="s">
        <v>12</v>
      </c>
      <c r="N1" s="4" t="s">
        <v>152</v>
      </c>
    </row>
    <row r="2" customFormat="false" ht="15" hidden="false" customHeight="false" outlineLevel="0" collapsed="false">
      <c r="A2" s="6" t="s">
        <v>153</v>
      </c>
      <c r="B2" s="6" t="s">
        <v>154</v>
      </c>
      <c r="C2" s="7" t="s">
        <v>155</v>
      </c>
      <c r="D2" s="7" t="n">
        <f aca="false">ROUNDUP(F2/E2,0)</f>
        <v>45</v>
      </c>
      <c r="E2" s="8" t="n">
        <v>40</v>
      </c>
      <c r="F2" s="7" t="n">
        <v>1798.06</v>
      </c>
      <c r="G2" s="8" t="s">
        <v>17</v>
      </c>
      <c r="H2" s="2" t="n">
        <v>8.25</v>
      </c>
      <c r="I2" s="2" t="n">
        <v>8.25</v>
      </c>
      <c r="J2" s="2" t="n">
        <f aca="false">2966/F2</f>
        <v>1.64955563218135</v>
      </c>
      <c r="K2" s="2" t="n">
        <v>1.65</v>
      </c>
      <c r="L2" s="2" t="n">
        <f aca="false">100/F2</f>
        <v>0.055615496702001</v>
      </c>
      <c r="M2" s="9" t="n">
        <f aca="false">L2+K2+I2</f>
        <v>9.955615496702</v>
      </c>
    </row>
    <row r="3" customFormat="false" ht="15" hidden="false" customHeight="false" outlineLevel="0" collapsed="false">
      <c r="A3" s="6" t="s">
        <v>30</v>
      </c>
      <c r="B3" s="6" t="s">
        <v>31</v>
      </c>
      <c r="C3" s="7" t="s">
        <v>34</v>
      </c>
      <c r="D3" s="7" t="n">
        <f aca="false">ROUNDUP(F3/E3,0)</f>
        <v>45</v>
      </c>
      <c r="E3" s="8" t="n">
        <f aca="false">94-36</f>
        <v>58</v>
      </c>
      <c r="F3" s="7" t="n">
        <f aca="false">4167.68-1611.3</f>
        <v>2556.38</v>
      </c>
      <c r="G3" s="8" t="s">
        <v>17</v>
      </c>
      <c r="H3" s="2" t="n">
        <v>14.13</v>
      </c>
      <c r="I3" s="2" t="n">
        <v>14.13</v>
      </c>
      <c r="J3" s="2" t="n">
        <v>0.21</v>
      </c>
      <c r="K3" s="2" t="n">
        <v>0.21</v>
      </c>
      <c r="L3" s="2" t="n">
        <v>0.02</v>
      </c>
      <c r="M3" s="9" t="n">
        <v>14.36</v>
      </c>
      <c r="N3" s="1" t="s">
        <v>156</v>
      </c>
      <c r="O3" s="11"/>
    </row>
    <row r="4" customFormat="false" ht="15" hidden="false" customHeight="false" outlineLevel="0" collapsed="false">
      <c r="A4" s="6" t="s">
        <v>30</v>
      </c>
      <c r="B4" s="6" t="s">
        <v>31</v>
      </c>
      <c r="C4" s="7" t="s">
        <v>34</v>
      </c>
      <c r="D4" s="7" t="n">
        <f aca="false">ROUNDUP(F4/E4,0)</f>
        <v>46</v>
      </c>
      <c r="E4" s="8" t="n">
        <f aca="false">94-90</f>
        <v>4</v>
      </c>
      <c r="F4" s="7" t="n">
        <f aca="false">4173.2-3990</f>
        <v>183.2</v>
      </c>
      <c r="G4" s="8" t="s">
        <v>17</v>
      </c>
      <c r="H4" s="2" t="n">
        <v>14.13</v>
      </c>
      <c r="I4" s="2" t="n">
        <v>14.13</v>
      </c>
      <c r="J4" s="2" t="n">
        <v>0.21</v>
      </c>
      <c r="K4" s="2" t="n">
        <v>0.21</v>
      </c>
      <c r="L4" s="2" t="n">
        <v>0.02</v>
      </c>
      <c r="M4" s="9" t="n">
        <v>14.36</v>
      </c>
      <c r="N4" s="1" t="s">
        <v>156</v>
      </c>
      <c r="O4" s="11"/>
    </row>
    <row r="5" customFormat="false" ht="15" hidden="false" customHeight="false" outlineLevel="0" collapsed="false">
      <c r="A5" s="6" t="s">
        <v>30</v>
      </c>
      <c r="B5" s="6" t="s">
        <v>31</v>
      </c>
      <c r="C5" s="7" t="s">
        <v>34</v>
      </c>
      <c r="D5" s="7" t="n">
        <f aca="false">ROUNDUP(F5/E5,0)</f>
        <v>38</v>
      </c>
      <c r="E5" s="8" t="n">
        <f aca="false">94-90</f>
        <v>4</v>
      </c>
      <c r="F5" s="7" t="n">
        <f aca="false">4139-3990</f>
        <v>149</v>
      </c>
      <c r="G5" s="8" t="s">
        <v>17</v>
      </c>
      <c r="H5" s="2" t="n">
        <v>14.13</v>
      </c>
      <c r="I5" s="2" t="n">
        <v>14.13</v>
      </c>
      <c r="J5" s="2" t="n">
        <v>0.21</v>
      </c>
      <c r="K5" s="2" t="n">
        <v>0.21</v>
      </c>
      <c r="L5" s="2" t="n">
        <v>0.02</v>
      </c>
      <c r="M5" s="9" t="n">
        <v>14.36</v>
      </c>
      <c r="N5" s="1" t="s">
        <v>156</v>
      </c>
      <c r="O5" s="11"/>
    </row>
    <row r="6" customFormat="false" ht="15" hidden="false" customHeight="false" outlineLevel="0" collapsed="false">
      <c r="A6" s="6" t="s">
        <v>30</v>
      </c>
      <c r="B6" s="6" t="s">
        <v>31</v>
      </c>
      <c r="C6" s="7" t="s">
        <v>34</v>
      </c>
      <c r="D6" s="7" t="n">
        <f aca="false">ROUNDUP(F6/E6,0)</f>
        <v>44</v>
      </c>
      <c r="E6" s="8" t="n">
        <f aca="false">94-90</f>
        <v>4</v>
      </c>
      <c r="F6" s="7" t="n">
        <f aca="false">4166-3990</f>
        <v>176</v>
      </c>
      <c r="G6" s="8" t="s">
        <v>17</v>
      </c>
      <c r="H6" s="2" t="n">
        <v>14.13</v>
      </c>
      <c r="I6" s="2" t="n">
        <v>14.13</v>
      </c>
      <c r="J6" s="2" t="n">
        <v>0.21</v>
      </c>
      <c r="K6" s="2" t="n">
        <v>0.21</v>
      </c>
      <c r="L6" s="2" t="n">
        <v>0.02</v>
      </c>
      <c r="M6" s="9" t="n">
        <v>14.36</v>
      </c>
      <c r="N6" s="1" t="s">
        <v>156</v>
      </c>
      <c r="O6" s="11"/>
    </row>
    <row r="7" customFormat="false" ht="15" hidden="false" customHeight="false" outlineLevel="0" collapsed="false">
      <c r="A7" s="6" t="s">
        <v>30</v>
      </c>
      <c r="B7" s="6" t="s">
        <v>31</v>
      </c>
      <c r="C7" s="7" t="s">
        <v>34</v>
      </c>
      <c r="D7" s="7" t="n">
        <f aca="false">ROUNDUP(F7/E7,0)</f>
        <v>40</v>
      </c>
      <c r="E7" s="8" t="n">
        <f aca="false">94-88</f>
        <v>6</v>
      </c>
      <c r="F7" s="7" t="n">
        <f aca="false">4137-3900</f>
        <v>237</v>
      </c>
      <c r="G7" s="8" t="s">
        <v>17</v>
      </c>
      <c r="H7" s="2" t="n">
        <v>14.13</v>
      </c>
      <c r="I7" s="2" t="n">
        <v>14.13</v>
      </c>
      <c r="J7" s="2" t="n">
        <v>0.21</v>
      </c>
      <c r="K7" s="2" t="n">
        <v>0.21</v>
      </c>
      <c r="L7" s="2" t="n">
        <v>0.02</v>
      </c>
      <c r="M7" s="9" t="n">
        <v>14.36</v>
      </c>
      <c r="N7" s="1" t="s">
        <v>156</v>
      </c>
      <c r="O7" s="11"/>
    </row>
    <row r="8" customFormat="false" ht="15" hidden="false" customHeight="false" outlineLevel="0" collapsed="false">
      <c r="A8" s="6" t="s">
        <v>30</v>
      </c>
      <c r="B8" s="6" t="s">
        <v>31</v>
      </c>
      <c r="C8" s="7" t="s">
        <v>34</v>
      </c>
      <c r="D8" s="7" t="n">
        <f aca="false">ROUNDUP(F8/E8,0)</f>
        <v>44</v>
      </c>
      <c r="E8" s="8" t="n">
        <f aca="false">94-90</f>
        <v>4</v>
      </c>
      <c r="F8" s="7" t="n">
        <f aca="false">4164-3988</f>
        <v>176</v>
      </c>
      <c r="G8" s="8" t="s">
        <v>17</v>
      </c>
      <c r="H8" s="2" t="n">
        <v>14.13</v>
      </c>
      <c r="I8" s="2" t="n">
        <v>14.13</v>
      </c>
      <c r="J8" s="2" t="n">
        <v>0.21</v>
      </c>
      <c r="K8" s="2" t="n">
        <v>0.21</v>
      </c>
      <c r="L8" s="2" t="n">
        <v>0.02</v>
      </c>
      <c r="M8" s="9" t="n">
        <v>14.36</v>
      </c>
      <c r="N8" s="1" t="s">
        <v>156</v>
      </c>
      <c r="O8" s="11"/>
    </row>
    <row r="9" customFormat="false" ht="15" hidden="false" customHeight="false" outlineLevel="0" collapsed="false">
      <c r="A9" s="6" t="s">
        <v>30</v>
      </c>
      <c r="B9" s="6" t="s">
        <v>31</v>
      </c>
      <c r="C9" s="7" t="s">
        <v>157</v>
      </c>
      <c r="D9" s="7" t="n">
        <f aca="false">ROUNDUP(F9/E9,0)</f>
        <v>45</v>
      </c>
      <c r="E9" s="8" t="n">
        <v>90</v>
      </c>
      <c r="F9" s="7" t="n">
        <v>3990</v>
      </c>
      <c r="G9" s="8" t="s">
        <v>17</v>
      </c>
      <c r="H9" s="2" t="n">
        <v>13.13</v>
      </c>
      <c r="I9" s="2" t="n">
        <v>13.13</v>
      </c>
      <c r="J9" s="2" t="n">
        <f aca="false">350/F9</f>
        <v>0.087719298245614</v>
      </c>
      <c r="K9" s="2" t="n">
        <v>0.09</v>
      </c>
      <c r="L9" s="2" t="n">
        <f aca="false">100/F9</f>
        <v>0.025062656641604</v>
      </c>
      <c r="M9" s="9" t="n">
        <f aca="false">L9+K9+I9</f>
        <v>13.2450626566416</v>
      </c>
      <c r="N9" s="1" t="s">
        <v>158</v>
      </c>
      <c r="O9" s="11"/>
    </row>
    <row r="10" customFormat="false" ht="15" hidden="false" customHeight="false" outlineLevel="0" collapsed="false">
      <c r="A10" s="6" t="s">
        <v>30</v>
      </c>
      <c r="B10" s="6" t="s">
        <v>31</v>
      </c>
      <c r="C10" s="7" t="s">
        <v>34</v>
      </c>
      <c r="D10" s="7" t="n">
        <f aca="false">ROUNDUP(F10/E10,0)</f>
        <v>45</v>
      </c>
      <c r="E10" s="8" t="n">
        <v>90</v>
      </c>
      <c r="F10" s="7" t="n">
        <v>3990</v>
      </c>
      <c r="G10" s="8" t="s">
        <v>17</v>
      </c>
      <c r="H10" s="2" t="n">
        <v>13.13</v>
      </c>
      <c r="I10" s="2" t="n">
        <v>13.13</v>
      </c>
      <c r="J10" s="2" t="n">
        <v>0.09</v>
      </c>
      <c r="K10" s="2" t="n">
        <v>0.09</v>
      </c>
      <c r="L10" s="2" t="n">
        <v>0.03</v>
      </c>
      <c r="M10" s="9" t="n">
        <v>13.25</v>
      </c>
      <c r="N10" s="1" t="s">
        <v>158</v>
      </c>
      <c r="O10" s="11"/>
    </row>
    <row r="11" customFormat="false" ht="15" hidden="false" customHeight="false" outlineLevel="0" collapsed="false">
      <c r="A11" s="6" t="s">
        <v>30</v>
      </c>
      <c r="B11" s="6" t="s">
        <v>31</v>
      </c>
      <c r="C11" s="7" t="s">
        <v>34</v>
      </c>
      <c r="D11" s="7" t="n">
        <f aca="false">ROUNDUP(F11/E11,0)</f>
        <v>45</v>
      </c>
      <c r="E11" s="8" t="n">
        <v>90</v>
      </c>
      <c r="F11" s="7" t="n">
        <v>3990</v>
      </c>
      <c r="G11" s="8" t="s">
        <v>17</v>
      </c>
      <c r="H11" s="2" t="n">
        <v>13.13</v>
      </c>
      <c r="I11" s="2" t="n">
        <v>13.13</v>
      </c>
      <c r="J11" s="2" t="n">
        <v>0.09</v>
      </c>
      <c r="K11" s="2" t="n">
        <v>0.09</v>
      </c>
      <c r="L11" s="2" t="n">
        <v>0.03</v>
      </c>
      <c r="M11" s="9" t="n">
        <v>13.25</v>
      </c>
      <c r="N11" s="1" t="s">
        <v>158</v>
      </c>
      <c r="O11" s="11"/>
    </row>
    <row r="12" customFormat="false" ht="15" hidden="false" customHeight="false" outlineLevel="0" collapsed="false">
      <c r="A12" s="6" t="s">
        <v>30</v>
      </c>
      <c r="B12" s="6" t="s">
        <v>31</v>
      </c>
      <c r="C12" s="7" t="s">
        <v>34</v>
      </c>
      <c r="D12" s="7" t="n">
        <f aca="false">ROUNDUP(F12/E12,0)</f>
        <v>45</v>
      </c>
      <c r="E12" s="8" t="n">
        <v>90</v>
      </c>
      <c r="F12" s="7" t="n">
        <v>3990</v>
      </c>
      <c r="G12" s="8" t="s">
        <v>17</v>
      </c>
      <c r="H12" s="2" t="n">
        <v>13.13</v>
      </c>
      <c r="I12" s="2" t="n">
        <v>13.13</v>
      </c>
      <c r="J12" s="2" t="n">
        <v>0.09</v>
      </c>
      <c r="K12" s="2" t="n">
        <v>0.09</v>
      </c>
      <c r="L12" s="2" t="n">
        <v>0.03</v>
      </c>
      <c r="M12" s="9" t="n">
        <v>13.25</v>
      </c>
      <c r="N12" s="1" t="s">
        <v>158</v>
      </c>
      <c r="O12" s="11"/>
    </row>
    <row r="13" customFormat="false" ht="15" hidden="false" customHeight="false" outlineLevel="0" collapsed="false">
      <c r="A13" s="6" t="s">
        <v>30</v>
      </c>
      <c r="B13" s="6" t="s">
        <v>31</v>
      </c>
      <c r="C13" s="7" t="s">
        <v>34</v>
      </c>
      <c r="D13" s="7" t="n">
        <f aca="false">ROUNDUP(F13/E13,0)</f>
        <v>45</v>
      </c>
      <c r="E13" s="8" t="n">
        <v>90</v>
      </c>
      <c r="F13" s="7" t="n">
        <v>3990</v>
      </c>
      <c r="G13" s="8" t="s">
        <v>17</v>
      </c>
      <c r="H13" s="2" t="n">
        <v>13.13</v>
      </c>
      <c r="I13" s="2" t="n">
        <v>13.13</v>
      </c>
      <c r="J13" s="2" t="n">
        <v>0.09</v>
      </c>
      <c r="K13" s="2" t="n">
        <v>0.09</v>
      </c>
      <c r="L13" s="2" t="n">
        <v>0.03</v>
      </c>
      <c r="M13" s="9" t="n">
        <v>13.25</v>
      </c>
      <c r="N13" s="1" t="s">
        <v>158</v>
      </c>
      <c r="O13" s="11"/>
    </row>
    <row r="14" customFormat="false" ht="15" hidden="false" customHeight="false" outlineLevel="0" collapsed="false">
      <c r="A14" s="6" t="s">
        <v>27</v>
      </c>
      <c r="B14" s="6" t="s">
        <v>28</v>
      </c>
      <c r="C14" s="7" t="s">
        <v>159</v>
      </c>
      <c r="D14" s="7" t="n">
        <f aca="false">ROUNDUP(F14/E14,0)</f>
        <v>37</v>
      </c>
      <c r="E14" s="8" t="n">
        <f aca="false">16-10</f>
        <v>6</v>
      </c>
      <c r="F14" s="7" t="n">
        <f aca="false">689.6-468.67</f>
        <v>220.93</v>
      </c>
      <c r="G14" s="8" t="s">
        <v>17</v>
      </c>
      <c r="H14" s="2" t="n">
        <v>14.86</v>
      </c>
      <c r="I14" s="2" t="n">
        <v>14.86</v>
      </c>
      <c r="J14" s="2" t="n">
        <v>0.71</v>
      </c>
      <c r="K14" s="2" t="n">
        <v>0.71</v>
      </c>
      <c r="L14" s="2" t="n">
        <v>0.15</v>
      </c>
      <c r="M14" s="9" t="n">
        <v>15.72</v>
      </c>
      <c r="N14" s="1" t="s">
        <v>160</v>
      </c>
      <c r="O14" s="11"/>
    </row>
    <row r="15" customFormat="false" ht="14.25" hidden="false" customHeight="true" outlineLevel="0" collapsed="false">
      <c r="A15" s="6" t="s">
        <v>48</v>
      </c>
      <c r="B15" s="6" t="s">
        <v>49</v>
      </c>
      <c r="C15" s="7" t="s">
        <v>161</v>
      </c>
      <c r="D15" s="7" t="n">
        <f aca="false">ROUNDUP(F15/E15,0)</f>
        <v>44</v>
      </c>
      <c r="E15" s="8" t="n">
        <v>16</v>
      </c>
      <c r="F15" s="7" t="n">
        <v>692.66</v>
      </c>
      <c r="G15" s="8" t="s">
        <v>17</v>
      </c>
      <c r="H15" s="2" t="n">
        <v>15</v>
      </c>
      <c r="I15" s="2" t="n">
        <v>15</v>
      </c>
      <c r="J15" s="2" t="n">
        <f aca="false">164/F15</f>
        <v>0.236768400080848</v>
      </c>
      <c r="K15" s="2" t="n">
        <v>0.24</v>
      </c>
      <c r="L15" s="2" t="n">
        <f aca="false">300/3024</f>
        <v>0.0992063492063492</v>
      </c>
      <c r="M15" s="9" t="n">
        <f aca="false">L15+K15+I15</f>
        <v>15.3392063492063</v>
      </c>
      <c r="N15" s="1" t="s">
        <v>156</v>
      </c>
      <c r="O15" s="11"/>
    </row>
    <row r="16" customFormat="false" ht="15" hidden="false" customHeight="false" outlineLevel="0" collapsed="false">
      <c r="A16" s="6" t="s">
        <v>162</v>
      </c>
      <c r="B16" s="6" t="s">
        <v>163</v>
      </c>
      <c r="C16" s="7" t="s">
        <v>164</v>
      </c>
      <c r="D16" s="7" t="n">
        <f aca="false">ROUNDUP(F16/E16,0)</f>
        <v>43</v>
      </c>
      <c r="E16" s="8" t="n">
        <f aca="false">55-28</f>
        <v>27</v>
      </c>
      <c r="F16" s="7" t="n">
        <f aca="false">2355.79-1212.12</f>
        <v>1143.67</v>
      </c>
      <c r="G16" s="8" t="s">
        <v>17</v>
      </c>
      <c r="H16" s="2" t="n">
        <v>17.02</v>
      </c>
      <c r="I16" s="2" t="n">
        <v>17.02</v>
      </c>
      <c r="J16" s="2" t="n">
        <v>0.3</v>
      </c>
      <c r="K16" s="2" t="n">
        <v>0.3</v>
      </c>
      <c r="L16" s="2" t="n">
        <v>0.1</v>
      </c>
      <c r="M16" s="9" t="n">
        <v>17.42</v>
      </c>
      <c r="N16" s="1" t="s">
        <v>156</v>
      </c>
      <c r="O16" s="11"/>
    </row>
    <row r="17" customFormat="false" ht="15" hidden="false" customHeight="false" outlineLevel="0" collapsed="false">
      <c r="A17" s="6" t="s">
        <v>165</v>
      </c>
      <c r="B17" s="6" t="s">
        <v>166</v>
      </c>
      <c r="C17" s="7" t="s">
        <v>58</v>
      </c>
      <c r="D17" s="7" t="n">
        <f aca="false">ROUNDUP(F17/E17,0)</f>
        <v>44</v>
      </c>
      <c r="E17" s="8" t="n">
        <f aca="false">59-37-14</f>
        <v>8</v>
      </c>
      <c r="F17" s="7" t="n">
        <f aca="false">2573.9-1614-609</f>
        <v>350.9</v>
      </c>
      <c r="G17" s="8" t="s">
        <v>17</v>
      </c>
      <c r="H17" s="2" t="n">
        <v>18.69</v>
      </c>
      <c r="I17" s="2" t="n">
        <v>18.69</v>
      </c>
      <c r="J17" s="2" t="n">
        <v>0.14</v>
      </c>
      <c r="K17" s="2" t="n">
        <v>0.14</v>
      </c>
      <c r="L17" s="2" t="n">
        <v>0.04</v>
      </c>
      <c r="M17" s="9" t="n">
        <f aca="false">L17+J17+H17</f>
        <v>18.87</v>
      </c>
      <c r="N17" s="1" t="s">
        <v>167</v>
      </c>
      <c r="O17" s="11"/>
    </row>
    <row r="18" customFormat="false" ht="15" hidden="false" customHeight="false" outlineLevel="0" collapsed="false">
      <c r="A18" s="6" t="s">
        <v>168</v>
      </c>
      <c r="B18" s="6" t="s">
        <v>169</v>
      </c>
      <c r="C18" s="7" t="s">
        <v>61</v>
      </c>
      <c r="D18" s="7" t="n">
        <f aca="false">ROUNDUP(F18/E18,0)</f>
        <v>51</v>
      </c>
      <c r="E18" s="8" t="n">
        <f aca="false">56-34-12</f>
        <v>10</v>
      </c>
      <c r="F18" s="7" t="n">
        <f aca="false">2443-1483-455.16</f>
        <v>504.84</v>
      </c>
      <c r="G18" s="8" t="s">
        <v>17</v>
      </c>
      <c r="H18" s="2" t="n">
        <v>20.61</v>
      </c>
      <c r="I18" s="2" t="n">
        <v>20.61</v>
      </c>
      <c r="J18" s="2" t="n">
        <v>0.14</v>
      </c>
      <c r="K18" s="2" t="n">
        <v>0.14</v>
      </c>
      <c r="L18" s="2" t="n">
        <v>0.04</v>
      </c>
      <c r="M18" s="9" t="n">
        <v>20.79</v>
      </c>
      <c r="N18" s="1" t="s">
        <v>167</v>
      </c>
      <c r="O18" s="1"/>
    </row>
    <row r="19" customFormat="false" ht="15" hidden="false" customHeight="false" outlineLevel="0" collapsed="false">
      <c r="A19" s="6" t="s">
        <v>59</v>
      </c>
      <c r="B19" s="6" t="s">
        <v>60</v>
      </c>
      <c r="C19" s="7" t="s">
        <v>61</v>
      </c>
      <c r="D19" s="7" t="n">
        <f aca="false">ROUNDUP(F19/E19,0)</f>
        <v>44</v>
      </c>
      <c r="E19" s="8" t="n">
        <v>56</v>
      </c>
      <c r="F19" s="7" t="n">
        <v>2443</v>
      </c>
      <c r="G19" s="8" t="s">
        <v>17</v>
      </c>
      <c r="H19" s="2" t="n">
        <v>20.61</v>
      </c>
      <c r="I19" s="2" t="n">
        <v>20.61</v>
      </c>
      <c r="J19" s="2" t="n">
        <v>0.14</v>
      </c>
      <c r="K19" s="2" t="n">
        <v>0.14</v>
      </c>
      <c r="L19" s="2" t="n">
        <v>0.04</v>
      </c>
      <c r="M19" s="9" t="n">
        <v>20.79</v>
      </c>
      <c r="N19" s="1" t="s">
        <v>167</v>
      </c>
      <c r="O19" s="1"/>
    </row>
    <row r="20" customFormat="false" ht="15" hidden="false" customHeight="false" outlineLevel="0" collapsed="false">
      <c r="A20" s="6" t="s">
        <v>59</v>
      </c>
      <c r="B20" s="6" t="s">
        <v>60</v>
      </c>
      <c r="C20" s="7" t="s">
        <v>61</v>
      </c>
      <c r="D20" s="7" t="n">
        <f aca="false">ROUNDUP(F20/E20,0)</f>
        <v>44</v>
      </c>
      <c r="E20" s="8" t="n">
        <v>56</v>
      </c>
      <c r="F20" s="7" t="n">
        <v>2443</v>
      </c>
      <c r="G20" s="8" t="s">
        <v>17</v>
      </c>
      <c r="H20" s="2" t="n">
        <v>20.61</v>
      </c>
      <c r="I20" s="2" t="n">
        <v>20.61</v>
      </c>
      <c r="J20" s="2" t="n">
        <v>0.14</v>
      </c>
      <c r="K20" s="2" t="n">
        <v>0.14</v>
      </c>
      <c r="L20" s="2" t="n">
        <v>0.04</v>
      </c>
      <c r="M20" s="9" t="n">
        <v>20.79</v>
      </c>
      <c r="N20" s="1" t="s">
        <v>167</v>
      </c>
      <c r="O20" s="1"/>
    </row>
    <row r="21" customFormat="false" ht="15" hidden="false" customHeight="false" outlineLevel="0" collapsed="false">
      <c r="A21" s="6" t="s">
        <v>59</v>
      </c>
      <c r="B21" s="6" t="s">
        <v>60</v>
      </c>
      <c r="C21" s="7" t="s">
        <v>61</v>
      </c>
      <c r="D21" s="7" t="n">
        <f aca="false">ROUNDUP(F21/E21,0)</f>
        <v>46</v>
      </c>
      <c r="E21" s="8" t="n">
        <v>53</v>
      </c>
      <c r="F21" s="7" t="n">
        <v>2417</v>
      </c>
      <c r="G21" s="8" t="s">
        <v>17</v>
      </c>
      <c r="H21" s="2" t="n">
        <v>20.61</v>
      </c>
      <c r="I21" s="2" t="n">
        <v>20.61</v>
      </c>
      <c r="J21" s="2" t="n">
        <f aca="false">650*1.35/F21</f>
        <v>0.363053371948697</v>
      </c>
      <c r="K21" s="2" t="n">
        <v>0.36</v>
      </c>
      <c r="L21" s="2" t="n">
        <v>0.04</v>
      </c>
      <c r="M21" s="9" t="n">
        <f aca="false">L21+K21+I21</f>
        <v>21.01</v>
      </c>
      <c r="N21" s="2" t="s">
        <v>156</v>
      </c>
      <c r="O21" s="1"/>
    </row>
    <row r="22" customFormat="false" ht="15" hidden="false" customHeight="false" outlineLevel="0" collapsed="false">
      <c r="L22" s="1"/>
    </row>
    <row r="23" customFormat="false" ht="15" hidden="false" customHeight="false" outlineLevel="0" collapsed="false">
      <c r="L23" s="1"/>
    </row>
    <row r="24" customFormat="false" ht="15" hidden="false" customHeight="false" outlineLevel="0" collapsed="false">
      <c r="L24" s="1"/>
      <c r="O24" s="1"/>
    </row>
    <row r="25" customFormat="false" ht="15" hidden="false" customHeight="false" outlineLevel="0" collapsed="false">
      <c r="L25" s="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4" activeCellId="0" sqref="A2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3.14"/>
    <col collapsed="false" customWidth="true" hidden="false" outlineLevel="0" max="2" min="2" style="0" width="53.72"/>
    <col collapsed="false" customWidth="true" hidden="false" outlineLevel="0" max="8" min="3" style="1" width="2.02"/>
    <col collapsed="false" customWidth="true" hidden="false" outlineLevel="0" max="9" min="9" style="12" width="2.02"/>
    <col collapsed="false" customWidth="true" hidden="false" outlineLevel="0" max="10" min="10" style="2" width="2.02"/>
    <col collapsed="false" customWidth="true" hidden="false" outlineLevel="0" max="11" min="11" style="1" width="2.02"/>
    <col collapsed="false" customWidth="true" hidden="false" outlineLevel="0" max="13" min="12" style="2" width="2.02"/>
    <col collapsed="false" customWidth="true" hidden="false" outlineLevel="0" max="14" min="14" style="2" width="19.07"/>
    <col collapsed="false" customWidth="true" hidden="false" outlineLevel="0" max="15" min="15" style="1" width="11.28"/>
    <col collapsed="false" customWidth="true" hidden="false" outlineLevel="0" max="16" min="16" style="1" width="10.83"/>
    <col collapsed="false" customWidth="true" hidden="false" outlineLevel="0" max="17" min="17" style="1" width="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170</v>
      </c>
      <c r="I1" s="14" t="s">
        <v>7</v>
      </c>
      <c r="J1" s="15" t="s">
        <v>8</v>
      </c>
      <c r="K1" s="15" t="s">
        <v>9</v>
      </c>
      <c r="L1" s="15" t="s">
        <v>10</v>
      </c>
      <c r="M1" s="15" t="s">
        <v>171</v>
      </c>
      <c r="N1" s="15" t="s">
        <v>12</v>
      </c>
      <c r="O1" s="13" t="s">
        <v>13</v>
      </c>
      <c r="P1" s="13" t="s">
        <v>172</v>
      </c>
      <c r="Q1" s="16"/>
    </row>
    <row r="2" customFormat="false" ht="15" hidden="false" customHeight="false" outlineLevel="0" collapsed="false">
      <c r="A2" s="6" t="s">
        <v>173</v>
      </c>
      <c r="B2" s="6" t="s">
        <v>174</v>
      </c>
      <c r="C2" s="7" t="s">
        <v>175</v>
      </c>
      <c r="D2" s="7" t="n">
        <f aca="false">ROUNDUP(F2/E2,0)</f>
        <v>21</v>
      </c>
      <c r="E2" s="8" t="n">
        <f aca="false">134-50-28</f>
        <v>56</v>
      </c>
      <c r="F2" s="7" t="n">
        <f aca="false">2680-1000-520</f>
        <v>1160</v>
      </c>
      <c r="G2" s="8" t="s">
        <v>38</v>
      </c>
      <c r="I2" s="12" t="n">
        <v>11.47</v>
      </c>
      <c r="J2" s="2" t="n">
        <f aca="false">I2*1.28</f>
        <v>14.6816</v>
      </c>
      <c r="N2" s="9" t="n">
        <v>16.67</v>
      </c>
      <c r="O2" s="1" t="s">
        <v>127</v>
      </c>
    </row>
    <row r="3" customFormat="false" ht="15" hidden="false" customHeight="false" outlineLevel="0" collapsed="false">
      <c r="A3" s="6" t="s">
        <v>173</v>
      </c>
      <c r="B3" s="6" t="s">
        <v>174</v>
      </c>
      <c r="C3" s="7" t="s">
        <v>175</v>
      </c>
      <c r="D3" s="7" t="n">
        <f aca="false">ROUNDUP(F3/E3,0)</f>
        <v>20</v>
      </c>
      <c r="E3" s="8" t="n">
        <v>76</v>
      </c>
      <c r="F3" s="7" t="n">
        <v>1520</v>
      </c>
      <c r="G3" s="8" t="s">
        <v>38</v>
      </c>
      <c r="I3" s="12" t="n">
        <v>13.32</v>
      </c>
      <c r="J3" s="2" t="n">
        <f aca="false">I3*1.3</f>
        <v>17.316</v>
      </c>
      <c r="N3" s="9" t="n">
        <v>16.67</v>
      </c>
      <c r="O3" s="1" t="s">
        <v>127</v>
      </c>
    </row>
    <row r="4" customFormat="false" ht="15" hidden="false" customHeight="false" outlineLevel="0" collapsed="false">
      <c r="A4" s="6" t="s">
        <v>176</v>
      </c>
      <c r="B4" s="6" t="s">
        <v>177</v>
      </c>
      <c r="C4" s="7" t="s">
        <v>178</v>
      </c>
      <c r="D4" s="7" t="n">
        <f aca="false">ROUNDUP(F4/E4,0)</f>
        <v>20</v>
      </c>
      <c r="E4" s="8" t="n">
        <f aca="false">158-10-26-10-12-8</f>
        <v>92</v>
      </c>
      <c r="F4" s="7" t="n">
        <f aca="false">3160-200-520-200-240-160</f>
        <v>1840</v>
      </c>
      <c r="G4" s="8" t="s">
        <v>38</v>
      </c>
      <c r="I4" s="12" t="n">
        <v>14.83</v>
      </c>
      <c r="J4" s="2" t="n">
        <f aca="false">I4*1.28</f>
        <v>18.9824</v>
      </c>
      <c r="N4" s="9" t="n">
        <v>18.98</v>
      </c>
      <c r="O4" s="1" t="s">
        <v>127</v>
      </c>
    </row>
    <row r="5" customFormat="false" ht="15" hidden="false" customHeight="false" outlineLevel="0" collapsed="false">
      <c r="A5" s="6" t="s">
        <v>179</v>
      </c>
      <c r="B5" s="6" t="s">
        <v>180</v>
      </c>
      <c r="C5" s="7" t="s">
        <v>74</v>
      </c>
      <c r="D5" s="7" t="n">
        <f aca="false">ROUNDUP(F5/E5,0)</f>
        <v>18</v>
      </c>
      <c r="E5" s="8" t="n">
        <f aca="false">100-17-5-26-10-20-12</f>
        <v>10</v>
      </c>
      <c r="F5" s="7" t="n">
        <f aca="false">2000-360-100-520-200-400-240</f>
        <v>180</v>
      </c>
      <c r="G5" s="8" t="s">
        <v>38</v>
      </c>
      <c r="I5" s="12" t="n">
        <v>21.4</v>
      </c>
      <c r="J5" s="2" t="n">
        <f aca="false">I5*1.3</f>
        <v>27.82</v>
      </c>
      <c r="N5" s="9" t="n">
        <v>27.82</v>
      </c>
      <c r="O5" s="1" t="s">
        <v>127</v>
      </c>
      <c r="P5" s="2"/>
    </row>
    <row r="6" customFormat="false" ht="15" hidden="false" customHeight="false" outlineLevel="0" collapsed="false">
      <c r="A6" s="6" t="s">
        <v>75</v>
      </c>
      <c r="B6" s="6" t="s">
        <v>76</v>
      </c>
      <c r="C6" s="7" t="s">
        <v>77</v>
      </c>
      <c r="D6" s="7" t="n">
        <f aca="false">ROUNDUP(F6/E6,0)</f>
        <v>40</v>
      </c>
      <c r="E6" s="8" t="n">
        <v>110</v>
      </c>
      <c r="F6" s="7" t="n">
        <v>4312</v>
      </c>
      <c r="G6" s="8" t="s">
        <v>78</v>
      </c>
      <c r="H6" s="1" t="n">
        <v>39.2</v>
      </c>
      <c r="I6" s="12" t="n">
        <v>14.6</v>
      </c>
      <c r="J6" s="2" t="n">
        <f aca="false">I6*1.3177</f>
        <v>19.23842</v>
      </c>
      <c r="L6" s="2" t="n">
        <v>0.36</v>
      </c>
      <c r="M6" s="2" t="n">
        <v>0.48</v>
      </c>
      <c r="N6" s="9" t="n">
        <f aca="false">M6+L6+J6</f>
        <v>20.07842</v>
      </c>
      <c r="O6" s="1" t="s">
        <v>181</v>
      </c>
      <c r="P6" s="1" t="s">
        <v>182</v>
      </c>
    </row>
    <row r="7" customFormat="false" ht="15" hidden="false" customHeight="false" outlineLevel="0" collapsed="false">
      <c r="A7" s="6" t="s">
        <v>75</v>
      </c>
      <c r="B7" s="6" t="s">
        <v>76</v>
      </c>
      <c r="C7" s="7" t="s">
        <v>77</v>
      </c>
      <c r="D7" s="7" t="n">
        <f aca="false">ROUNDUP(F7/E7,0)</f>
        <v>37</v>
      </c>
      <c r="E7" s="8" t="n">
        <v>5</v>
      </c>
      <c r="F7" s="7" t="n">
        <v>184.4</v>
      </c>
      <c r="G7" s="8" t="s">
        <v>78</v>
      </c>
      <c r="H7" s="1" t="s">
        <v>183</v>
      </c>
      <c r="I7" s="12" t="n">
        <v>14.6</v>
      </c>
      <c r="J7" s="2" t="n">
        <v>19.24</v>
      </c>
      <c r="L7" s="2" t="n">
        <v>0.36</v>
      </c>
      <c r="M7" s="2" t="n">
        <v>0.48</v>
      </c>
      <c r="N7" s="9" t="n">
        <v>20.08</v>
      </c>
      <c r="O7" s="1" t="s">
        <v>181</v>
      </c>
      <c r="P7" s="1" t="s">
        <v>182</v>
      </c>
    </row>
    <row r="8" customFormat="false" ht="15" hidden="false" customHeight="false" outlineLevel="0" collapsed="false">
      <c r="A8" s="6" t="s">
        <v>184</v>
      </c>
      <c r="B8" s="6" t="s">
        <v>185</v>
      </c>
      <c r="C8" s="7" t="s">
        <v>186</v>
      </c>
      <c r="D8" s="7" t="n">
        <f aca="false">ROUNDUP(F8/E8,0)</f>
        <v>40</v>
      </c>
      <c r="E8" s="8" t="n">
        <v>175</v>
      </c>
      <c r="F8" s="7" t="n">
        <v>6860</v>
      </c>
      <c r="G8" s="8" t="s">
        <v>78</v>
      </c>
      <c r="H8" s="1" t="n">
        <v>39.2</v>
      </c>
      <c r="I8" s="12" t="n">
        <v>16.14</v>
      </c>
      <c r="J8" s="2" t="n">
        <f aca="false">I8*1.32</f>
        <v>21.3048</v>
      </c>
      <c r="L8" s="2" t="n">
        <v>0.47</v>
      </c>
      <c r="M8" s="2" t="n">
        <v>0.35</v>
      </c>
      <c r="N8" s="9" t="n">
        <f aca="false">M8+L8+J8</f>
        <v>22.1248</v>
      </c>
      <c r="O8" s="1" t="s">
        <v>181</v>
      </c>
      <c r="P8" s="1" t="s">
        <v>187</v>
      </c>
    </row>
    <row r="9" customFormat="false" ht="15" hidden="false" customHeight="false" outlineLevel="0" collapsed="false">
      <c r="A9" s="6" t="s">
        <v>184</v>
      </c>
      <c r="B9" s="6" t="s">
        <v>185</v>
      </c>
      <c r="C9" s="7" t="s">
        <v>186</v>
      </c>
      <c r="D9" s="7" t="n">
        <f aca="false">ROUNDUP(F9/E9,0)</f>
        <v>40</v>
      </c>
      <c r="E9" s="8" t="n">
        <v>73</v>
      </c>
      <c r="F9" s="7" t="n">
        <v>2861.6</v>
      </c>
      <c r="G9" s="8" t="s">
        <v>78</v>
      </c>
      <c r="H9" s="1" t="n">
        <v>39.2</v>
      </c>
      <c r="I9" s="12" t="n">
        <v>16.16</v>
      </c>
      <c r="J9" s="2" t="n">
        <f aca="false">I9*1.3177</f>
        <v>21.294032</v>
      </c>
      <c r="L9" s="2" t="n">
        <v>0.36</v>
      </c>
      <c r="M9" s="2" t="n">
        <v>0.48</v>
      </c>
      <c r="N9" s="9" t="n">
        <f aca="false">M9+L9+J9</f>
        <v>22.134032</v>
      </c>
      <c r="O9" s="1" t="s">
        <v>181</v>
      </c>
      <c r="P9" s="1" t="s">
        <v>182</v>
      </c>
    </row>
    <row r="10" customFormat="false" ht="15" hidden="false" customHeight="false" outlineLevel="0" collapsed="false">
      <c r="A10" s="6" t="s">
        <v>75</v>
      </c>
      <c r="B10" s="6" t="s">
        <v>76</v>
      </c>
      <c r="C10" s="7" t="s">
        <v>188</v>
      </c>
      <c r="D10" s="7" t="n">
        <f aca="false">ROUNDUP(F10/E10,0)</f>
        <v>42</v>
      </c>
      <c r="E10" s="8" t="n">
        <f aca="false">287-32-60-57-60-60</f>
        <v>18</v>
      </c>
      <c r="F10" s="7" t="n">
        <f aca="false">11250.4-1248-2352-2223-2340-2340</f>
        <v>747.4</v>
      </c>
      <c r="G10" s="8" t="s">
        <v>78</v>
      </c>
      <c r="H10" s="1" t="n">
        <v>39.2</v>
      </c>
      <c r="I10" s="12" t="n">
        <v>14.48</v>
      </c>
      <c r="J10" s="2" t="n">
        <v>19.11</v>
      </c>
      <c r="L10" s="2" t="n">
        <v>0.47</v>
      </c>
      <c r="M10" s="2" t="n">
        <v>0.35</v>
      </c>
      <c r="N10" s="9" t="n">
        <v>19.93</v>
      </c>
      <c r="O10" s="1" t="s">
        <v>181</v>
      </c>
      <c r="P10" s="1" t="s">
        <v>187</v>
      </c>
    </row>
    <row r="11" customFormat="false" ht="15" hidden="false" customHeight="false" outlineLevel="0" collapsed="false">
      <c r="A11" s="6" t="s">
        <v>189</v>
      </c>
      <c r="B11" s="6" t="s">
        <v>190</v>
      </c>
      <c r="C11" s="7" t="s">
        <v>191</v>
      </c>
      <c r="D11" s="7" t="n">
        <f aca="false">ROUNDUP(F11/E11,0)</f>
        <v>39</v>
      </c>
      <c r="E11" s="8" t="n">
        <v>103</v>
      </c>
      <c r="F11" s="7" t="n">
        <v>4017</v>
      </c>
      <c r="G11" s="8" t="s">
        <v>78</v>
      </c>
      <c r="H11" s="1" t="n">
        <v>39</v>
      </c>
      <c r="I11" s="12" t="n">
        <v>19</v>
      </c>
      <c r="J11" s="2" t="n">
        <f aca="false">I11*1.31</f>
        <v>24.89</v>
      </c>
      <c r="N11" s="9" t="n">
        <f aca="false">J11</f>
        <v>24.89</v>
      </c>
      <c r="O11" s="1" t="s">
        <v>127</v>
      </c>
      <c r="P11" s="1" t="s">
        <v>192</v>
      </c>
    </row>
    <row r="12" customFormat="false" ht="15" hidden="false" customHeight="false" outlineLevel="0" collapsed="false">
      <c r="A12" s="6" t="s">
        <v>193</v>
      </c>
      <c r="B12" s="6" t="s">
        <v>194</v>
      </c>
      <c r="C12" s="7" t="s">
        <v>195</v>
      </c>
      <c r="D12" s="7" t="n">
        <f aca="false">ROUNDUP(F12/E12,0)</f>
        <v>20</v>
      </c>
      <c r="E12" s="8" t="n">
        <v>20</v>
      </c>
      <c r="F12" s="7" t="n">
        <f aca="false">1120-60-60-500-100</f>
        <v>400</v>
      </c>
      <c r="G12" s="8" t="s">
        <v>38</v>
      </c>
      <c r="I12" s="12" t="n">
        <v>32.65</v>
      </c>
      <c r="J12" s="2" t="n">
        <f aca="false">I12*1.28</f>
        <v>41.792</v>
      </c>
      <c r="M12" s="2" t="n">
        <v>6.5</v>
      </c>
      <c r="N12" s="9" t="n">
        <v>48.29</v>
      </c>
      <c r="O12" s="1" t="s">
        <v>127</v>
      </c>
      <c r="P12" s="2"/>
    </row>
    <row r="13" customFormat="false" ht="15" hidden="false" customHeight="false" outlineLevel="0" collapsed="false">
      <c r="A13" s="6" t="s">
        <v>196</v>
      </c>
      <c r="B13" s="6" t="s">
        <v>197</v>
      </c>
      <c r="C13" s="7" t="s">
        <v>195</v>
      </c>
      <c r="D13" s="7" t="n">
        <f aca="false">ROUNDUP(F13/E13,0)</f>
        <v>39</v>
      </c>
      <c r="E13" s="8" t="n">
        <v>154</v>
      </c>
      <c r="F13" s="7" t="n">
        <v>6006</v>
      </c>
      <c r="G13" s="8" t="s">
        <v>78</v>
      </c>
      <c r="H13" s="1" t="n">
        <v>39</v>
      </c>
      <c r="I13" s="12" t="n">
        <v>22.72</v>
      </c>
      <c r="J13" s="2" t="n">
        <f aca="false">I13*1.31</f>
        <v>29.7632</v>
      </c>
      <c r="N13" s="9" t="n">
        <f aca="false">J13</f>
        <v>29.7632</v>
      </c>
      <c r="O13" s="1" t="s">
        <v>127</v>
      </c>
      <c r="P13" s="1" t="s">
        <v>192</v>
      </c>
    </row>
    <row r="14" customFormat="false" ht="15" hidden="false" customHeight="false" outlineLevel="0" collapsed="false">
      <c r="A14" s="6" t="s">
        <v>193</v>
      </c>
      <c r="B14" s="6" t="s">
        <v>194</v>
      </c>
      <c r="C14" s="7" t="s">
        <v>198</v>
      </c>
      <c r="D14" s="7" t="n">
        <f aca="false">ROUNDUP(F14/E14,0)</f>
        <v>20</v>
      </c>
      <c r="E14" s="8" t="n">
        <f aca="false">50-30</f>
        <v>20</v>
      </c>
      <c r="F14" s="7" t="n">
        <f aca="false">1000-600</f>
        <v>400</v>
      </c>
      <c r="G14" s="8" t="s">
        <v>38</v>
      </c>
      <c r="I14" s="12" t="n">
        <v>32.87</v>
      </c>
      <c r="J14" s="2" t="n">
        <v>42.07</v>
      </c>
      <c r="N14" s="9" t="n">
        <v>45.76</v>
      </c>
      <c r="O14" s="1" t="s">
        <v>127</v>
      </c>
      <c r="P14" s="2"/>
    </row>
    <row r="15" customFormat="false" ht="15" hidden="false" customHeight="false" outlineLevel="0" collapsed="false">
      <c r="A15" s="6" t="s">
        <v>193</v>
      </c>
      <c r="B15" s="6" t="s">
        <v>194</v>
      </c>
      <c r="C15" s="7" t="s">
        <v>198</v>
      </c>
      <c r="D15" s="7" t="n">
        <f aca="false">ROUNDUP(F15/E15,0)</f>
        <v>20</v>
      </c>
      <c r="E15" s="8" t="n">
        <v>46</v>
      </c>
      <c r="F15" s="7" t="n">
        <v>920</v>
      </c>
      <c r="G15" s="8" t="s">
        <v>38</v>
      </c>
      <c r="I15" s="12" t="n">
        <v>37.15</v>
      </c>
      <c r="J15" s="2" t="n">
        <f aca="false">I15*1.31</f>
        <v>48.6665</v>
      </c>
      <c r="N15" s="9" t="n">
        <v>45.76</v>
      </c>
      <c r="O15" s="1" t="s">
        <v>127</v>
      </c>
      <c r="P15" s="2"/>
    </row>
    <row r="16" customFormat="false" ht="15" hidden="false" customHeight="false" outlineLevel="0" collapsed="false">
      <c r="A16" s="6" t="s">
        <v>196</v>
      </c>
      <c r="B16" s="6" t="s">
        <v>197</v>
      </c>
      <c r="C16" s="7" t="s">
        <v>198</v>
      </c>
      <c r="D16" s="7" t="n">
        <f aca="false">ROUNDUP(F16/E16,0)</f>
        <v>39</v>
      </c>
      <c r="E16" s="8" t="n">
        <f aca="false">168-31</f>
        <v>137</v>
      </c>
      <c r="F16" s="7" t="n">
        <f aca="false">6552-1209</f>
        <v>5343</v>
      </c>
      <c r="G16" s="8" t="s">
        <v>78</v>
      </c>
      <c r="H16" s="1" t="n">
        <v>39</v>
      </c>
      <c r="I16" s="2" t="n">
        <v>22.27</v>
      </c>
      <c r="J16" s="2" t="n">
        <v>29.4</v>
      </c>
      <c r="K16" s="2"/>
      <c r="M16" s="2" t="n">
        <f aca="false">4120/F16</f>
        <v>0.771102376941793</v>
      </c>
      <c r="N16" s="9" t="n">
        <v>32.93</v>
      </c>
      <c r="O16" s="1" t="s">
        <v>181</v>
      </c>
      <c r="P16" s="1" t="s">
        <v>199</v>
      </c>
    </row>
    <row r="17" customFormat="false" ht="15" hidden="false" customHeight="false" outlineLevel="0" collapsed="false">
      <c r="A17" s="6" t="s">
        <v>200</v>
      </c>
      <c r="B17" s="6" t="s">
        <v>201</v>
      </c>
      <c r="C17" s="7" t="s">
        <v>202</v>
      </c>
      <c r="D17" s="7" t="n">
        <f aca="false">ROUNDUP(F17/E17,0)</f>
        <v>21</v>
      </c>
      <c r="E17" s="8" t="n">
        <v>8</v>
      </c>
      <c r="F17" s="7" t="n">
        <v>168</v>
      </c>
      <c r="G17" s="8" t="s">
        <v>38</v>
      </c>
      <c r="I17" s="12" t="n">
        <v>49.01</v>
      </c>
      <c r="J17" s="2" t="n">
        <f aca="false">I17*1.29</f>
        <v>63.2229</v>
      </c>
      <c r="M17" s="2" t="n">
        <v>0.96</v>
      </c>
      <c r="N17" s="9" t="n">
        <v>68.83</v>
      </c>
      <c r="O17" s="1" t="s">
        <v>127</v>
      </c>
      <c r="P17" s="2"/>
    </row>
    <row r="18" customFormat="false" ht="15" hidden="false" customHeight="false" outlineLevel="0" collapsed="false">
      <c r="A18" s="6" t="s">
        <v>200</v>
      </c>
      <c r="B18" s="6" t="s">
        <v>201</v>
      </c>
      <c r="C18" s="7" t="s">
        <v>202</v>
      </c>
      <c r="D18" s="7" t="n">
        <f aca="false">ROUNDUP(F18/E18,0)</f>
        <v>21</v>
      </c>
      <c r="E18" s="8" t="n">
        <v>24</v>
      </c>
      <c r="F18" s="7" t="n">
        <v>504</v>
      </c>
      <c r="G18" s="8" t="s">
        <v>38</v>
      </c>
      <c r="I18" s="12" t="n">
        <v>49.01</v>
      </c>
      <c r="J18" s="2" t="n">
        <f aca="false">I18*1.3</f>
        <v>63.713</v>
      </c>
      <c r="N18" s="9" t="n">
        <v>68.83</v>
      </c>
      <c r="O18" s="1" t="s">
        <v>127</v>
      </c>
      <c r="P18" s="2"/>
    </row>
    <row r="19" customFormat="false" ht="15" hidden="false" customHeight="false" outlineLevel="0" collapsed="false">
      <c r="A19" s="6" t="s">
        <v>203</v>
      </c>
      <c r="B19" s="6" t="s">
        <v>204</v>
      </c>
      <c r="C19" s="7" t="s">
        <v>205</v>
      </c>
      <c r="D19" s="7" t="n">
        <f aca="false">ROUNDUP(F19/E19,0)</f>
        <v>21</v>
      </c>
      <c r="E19" s="8" t="n">
        <f aca="false">40-12-1-8</f>
        <v>19</v>
      </c>
      <c r="F19" s="7" t="n">
        <f aca="false">840-252-21-168</f>
        <v>399</v>
      </c>
      <c r="G19" s="8" t="s">
        <v>38</v>
      </c>
      <c r="I19" s="12" t="n">
        <v>40.91</v>
      </c>
      <c r="J19" s="2" t="n">
        <v>52.77</v>
      </c>
      <c r="M19" s="2" t="n">
        <v>0.96</v>
      </c>
      <c r="N19" s="9" t="n">
        <v>53.73</v>
      </c>
      <c r="O19" s="1" t="s">
        <v>127</v>
      </c>
      <c r="P19" s="2"/>
    </row>
    <row r="20" customFormat="false" ht="15" hidden="false" customHeight="false" outlineLevel="0" collapsed="false">
      <c r="A20" s="6" t="s">
        <v>121</v>
      </c>
      <c r="B20" s="6" t="s">
        <v>122</v>
      </c>
      <c r="C20" s="7" t="s">
        <v>206</v>
      </c>
      <c r="D20" s="7" t="n">
        <f aca="false">ROUNDUP(F20/E20,0)</f>
        <v>39</v>
      </c>
      <c r="E20" s="8" t="n">
        <f aca="false">103-25</f>
        <v>78</v>
      </c>
      <c r="F20" s="7" t="n">
        <f aca="false">4017-975</f>
        <v>3042</v>
      </c>
      <c r="G20" s="8" t="s">
        <v>78</v>
      </c>
      <c r="I20" s="17" t="n">
        <v>24.44</v>
      </c>
      <c r="J20" s="2" t="n">
        <v>32.51</v>
      </c>
      <c r="L20" s="2" t="n">
        <v>0.34</v>
      </c>
      <c r="M20" s="2" t="n">
        <v>0.51</v>
      </c>
      <c r="N20" s="9" t="n">
        <v>33.35</v>
      </c>
      <c r="O20" s="1" t="s">
        <v>127</v>
      </c>
      <c r="P20" s="1" t="s">
        <v>207</v>
      </c>
    </row>
    <row r="21" customFormat="false" ht="15" hidden="false" customHeight="false" outlineLevel="0" collapsed="false">
      <c r="A21" s="6" t="s">
        <v>208</v>
      </c>
      <c r="B21" s="6" t="s">
        <v>209</v>
      </c>
      <c r="C21" s="7" t="s">
        <v>128</v>
      </c>
      <c r="D21" s="7" t="n">
        <f aca="false">ROUNDUP(F21/E21,0)</f>
        <v>21</v>
      </c>
      <c r="E21" s="8" t="n">
        <f aca="false">30-3-10</f>
        <v>17</v>
      </c>
      <c r="F21" s="7" t="n">
        <f aca="false">630-63-210</f>
        <v>357</v>
      </c>
      <c r="G21" s="8" t="s">
        <v>38</v>
      </c>
      <c r="I21" s="12" t="n">
        <v>46.91</v>
      </c>
      <c r="J21" s="2" t="n">
        <v>61.45</v>
      </c>
      <c r="N21" s="9" t="n">
        <v>58.95</v>
      </c>
      <c r="O21" s="1" t="s">
        <v>127</v>
      </c>
    </row>
    <row r="22" customFormat="false" ht="15" hidden="false" customHeight="false" outlineLevel="0" collapsed="false">
      <c r="A22" s="6" t="s">
        <v>124</v>
      </c>
      <c r="B22" s="6" t="s">
        <v>125</v>
      </c>
      <c r="C22" s="7" t="s">
        <v>128</v>
      </c>
      <c r="D22" s="7" t="n">
        <f aca="false">ROUNDUP(F22/E22,0)</f>
        <v>39</v>
      </c>
      <c r="E22" s="8" t="n">
        <v>128</v>
      </c>
      <c r="F22" s="7" t="n">
        <v>4992</v>
      </c>
      <c r="G22" s="8" t="s">
        <v>78</v>
      </c>
      <c r="I22" s="17" t="n">
        <v>29.26</v>
      </c>
      <c r="J22" s="2" t="n">
        <f aca="false">I22*1.33</f>
        <v>38.9158</v>
      </c>
      <c r="L22" s="2" t="n">
        <f aca="false">1361.25/F22</f>
        <v>0.272686298076923</v>
      </c>
      <c r="M22" s="2" t="n">
        <f aca="false">2032/F22</f>
        <v>0.407051282051282</v>
      </c>
      <c r="N22" s="9" t="n">
        <f aca="false">M22+L22+J22</f>
        <v>39.5955375801282</v>
      </c>
      <c r="O22" s="1" t="s">
        <v>127</v>
      </c>
      <c r="P22" s="1" t="s">
        <v>207</v>
      </c>
    </row>
    <row r="23" customFormat="false" ht="15" hidden="false" customHeight="false" outlineLevel="0" collapsed="false">
      <c r="A23" s="6" t="s">
        <v>124</v>
      </c>
      <c r="B23" s="6" t="s">
        <v>125</v>
      </c>
      <c r="C23" s="7" t="s">
        <v>128</v>
      </c>
      <c r="D23" s="7" t="n">
        <f aca="false">ROUNDUP(F23/E23,0)</f>
        <v>43</v>
      </c>
      <c r="E23" s="8" t="n">
        <f aca="false">144-25-25-25-10-25-25</f>
        <v>9</v>
      </c>
      <c r="F23" s="7" t="n">
        <f aca="false">5644.8-975-975-975-390-975-975</f>
        <v>379.8</v>
      </c>
      <c r="G23" s="8" t="s">
        <v>78</v>
      </c>
      <c r="I23" s="2" t="n">
        <v>28.43</v>
      </c>
      <c r="J23" s="2" t="n">
        <v>37.81</v>
      </c>
      <c r="L23" s="2" t="n">
        <v>0.84</v>
      </c>
      <c r="M23" s="2" t="n">
        <v>1.09</v>
      </c>
      <c r="N23" s="9" t="n">
        <v>39.74</v>
      </c>
      <c r="O23" s="1" t="s">
        <v>127</v>
      </c>
      <c r="P23" s="1" t="s">
        <v>210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P1" activeCellId="0" sqref="P1"/>
    </sheetView>
  </sheetViews>
  <sheetFormatPr defaultColWidth="20.3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3" style="1" width="0.04"/>
    <col collapsed="false" customWidth="true" hidden="false" outlineLevel="0" max="5" min="5" style="1" width="7.75"/>
    <col collapsed="false" customWidth="true" hidden="false" outlineLevel="0" max="6" min="6" style="1" width="18.33"/>
    <col collapsed="false" customWidth="true" hidden="false" outlineLevel="0" max="7" min="7" style="1" width="0.04"/>
    <col collapsed="false" customWidth="true" hidden="false" outlineLevel="0" max="8" min="8" style="2" width="0.04"/>
    <col collapsed="false" customWidth="true" hidden="false" outlineLevel="0" max="9" min="9" style="2" width="1.1"/>
    <col collapsed="false" customWidth="true" hidden="true" outlineLevel="0" max="10" min="10" style="2" width="0.04"/>
    <col collapsed="false" customWidth="true" hidden="true" outlineLevel="0" max="12" min="11" style="1" width="0.04"/>
    <col collapsed="false" customWidth="true" hidden="false" outlineLevel="0" max="13" min="13" style="2" width="1.1"/>
    <col collapsed="false" customWidth="true" hidden="true" outlineLevel="0" max="14" min="14" style="2" width="0.04"/>
    <col collapsed="false" customWidth="false" hidden="false" outlineLevel="0" max="16" min="15" style="2" width="20.32"/>
    <col collapsed="false" customWidth="false" hidden="false" outlineLevel="0" max="19" min="17" style="1" width="20.32"/>
  </cols>
  <sheetData>
    <row r="1" customFormat="false" ht="15" hidden="false" customHeight="false" outlineLevel="0" collapsed="false">
      <c r="A1" s="3" t="s">
        <v>0</v>
      </c>
      <c r="B1" s="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211</v>
      </c>
      <c r="M1" s="15" t="s">
        <v>212</v>
      </c>
      <c r="N1" s="15" t="s">
        <v>171</v>
      </c>
      <c r="O1" s="15" t="s">
        <v>213</v>
      </c>
      <c r="P1" s="15" t="s">
        <v>12</v>
      </c>
      <c r="Q1" s="13" t="s">
        <v>13</v>
      </c>
      <c r="R1" s="13" t="s">
        <v>214</v>
      </c>
      <c r="S1" s="13" t="s">
        <v>215</v>
      </c>
    </row>
    <row r="2" customFormat="false" ht="15" hidden="false" customHeight="false" outlineLevel="0" collapsed="false">
      <c r="A2" s="6" t="s">
        <v>30</v>
      </c>
      <c r="B2" s="6" t="s">
        <v>31</v>
      </c>
      <c r="C2" s="7" t="s">
        <v>34</v>
      </c>
      <c r="D2" s="7" t="n">
        <f aca="false">ROUNDUP(F2/E2,0)</f>
        <v>45</v>
      </c>
      <c r="E2" s="8" t="n">
        <f aca="false">36-35</f>
        <v>1</v>
      </c>
      <c r="F2" s="7" t="n">
        <f aca="false">1608.4-1563.6</f>
        <v>44.8000000000002</v>
      </c>
      <c r="G2" s="8" t="s">
        <v>17</v>
      </c>
      <c r="H2" s="2" t="n">
        <v>13.88</v>
      </c>
      <c r="I2" s="2" t="n">
        <v>18.88</v>
      </c>
      <c r="J2" s="2" t="n">
        <v>0.644</v>
      </c>
      <c r="K2" s="2"/>
      <c r="L2" s="2"/>
      <c r="M2" s="2" t="n">
        <v>0.34</v>
      </c>
      <c r="N2" s="2" t="n">
        <v>0.31</v>
      </c>
      <c r="O2" s="9" t="n">
        <v>14.83</v>
      </c>
      <c r="P2" s="9" t="n">
        <f aca="false">N2+M2+K2+I2</f>
        <v>19.53</v>
      </c>
      <c r="Q2" s="1" t="s">
        <v>216</v>
      </c>
      <c r="S2" s="1" t="s">
        <v>217</v>
      </c>
    </row>
    <row r="3" customFormat="false" ht="15" hidden="false" customHeight="false" outlineLevel="0" collapsed="false">
      <c r="A3" s="6" t="s">
        <v>218</v>
      </c>
      <c r="B3" s="6" t="s">
        <v>219</v>
      </c>
      <c r="C3" s="7" t="s">
        <v>220</v>
      </c>
      <c r="D3" s="7" t="n">
        <f aca="false">ROUNDUP(F3/E3,0)</f>
        <v>31</v>
      </c>
      <c r="E3" s="8" t="n">
        <f aca="false">50-5</f>
        <v>45</v>
      </c>
      <c r="F3" s="7" t="n">
        <f aca="false">1565.2-172.9</f>
        <v>1392.3</v>
      </c>
      <c r="G3" s="8" t="s">
        <v>17</v>
      </c>
      <c r="H3" s="2" t="n">
        <v>13.29</v>
      </c>
      <c r="I3" s="2" t="n">
        <v>17.41</v>
      </c>
      <c r="J3" s="2" t="n">
        <v>0.77</v>
      </c>
      <c r="K3" s="2" t="n">
        <v>0.99</v>
      </c>
      <c r="L3" s="2"/>
      <c r="M3" s="2" t="n">
        <v>0.19</v>
      </c>
      <c r="O3" s="9" t="n">
        <v>14.25</v>
      </c>
      <c r="P3" s="9" t="n">
        <f aca="false">N3+M3+K3+I3</f>
        <v>18.59</v>
      </c>
      <c r="Q3" s="1" t="s">
        <v>55</v>
      </c>
    </row>
    <row r="4" customFormat="false" ht="15" hidden="false" customHeight="false" outlineLevel="0" collapsed="false">
      <c r="A4" s="6" t="s">
        <v>221</v>
      </c>
      <c r="B4" s="6" t="s">
        <v>222</v>
      </c>
      <c r="C4" s="7" t="s">
        <v>82</v>
      </c>
      <c r="D4" s="7" t="n">
        <f aca="false">ROUNDUP(F4/E4,0)</f>
        <v>28</v>
      </c>
      <c r="E4" s="8" t="n">
        <v>44</v>
      </c>
      <c r="F4" s="7" t="n">
        <v>1188.84</v>
      </c>
      <c r="G4" s="8" t="s">
        <v>17</v>
      </c>
      <c r="H4" s="2" t="n">
        <v>9.74</v>
      </c>
      <c r="I4" s="2" t="n">
        <f aca="false">H4*1.31</f>
        <v>12.7594</v>
      </c>
      <c r="J4" s="2" t="n">
        <f aca="false">550/F4</f>
        <v>0.462635846707715</v>
      </c>
      <c r="K4" s="2"/>
      <c r="L4" s="2"/>
      <c r="M4" s="2" t="n">
        <f aca="false">300/F4</f>
        <v>0.252346825476936</v>
      </c>
      <c r="O4" s="9" t="n">
        <f aca="false">M4+J4+H4</f>
        <v>10.4549826721847</v>
      </c>
      <c r="P4" s="9" t="n">
        <f aca="false">N4+M4+K4+I4</f>
        <v>13.0117468254769</v>
      </c>
      <c r="Q4" s="1" t="s">
        <v>223</v>
      </c>
      <c r="R4" s="1" t="s">
        <v>224</v>
      </c>
    </row>
    <row r="5" customFormat="false" ht="15" hidden="false" customHeight="false" outlineLevel="0" collapsed="false">
      <c r="A5" s="6" t="s">
        <v>221</v>
      </c>
      <c r="B5" s="6" t="s">
        <v>222</v>
      </c>
      <c r="C5" s="7" t="s">
        <v>82</v>
      </c>
      <c r="D5" s="7" t="n">
        <f aca="false">ROUNDUP(F5/E5,0)</f>
        <v>27</v>
      </c>
      <c r="E5" s="8" t="n">
        <v>44</v>
      </c>
      <c r="F5" s="7" t="n">
        <v>1186.77</v>
      </c>
      <c r="G5" s="8" t="s">
        <v>17</v>
      </c>
      <c r="H5" s="2" t="n">
        <v>9.74</v>
      </c>
      <c r="I5" s="2" t="n">
        <f aca="false">H5*1.31</f>
        <v>12.7594</v>
      </c>
      <c r="J5" s="2" t="n">
        <v>0.46</v>
      </c>
      <c r="K5" s="2"/>
      <c r="L5" s="2"/>
      <c r="M5" s="2" t="n">
        <v>0.25</v>
      </c>
      <c r="O5" s="9" t="n">
        <v>10.45</v>
      </c>
      <c r="P5" s="9" t="n">
        <f aca="false">N5+M5+K5+I5</f>
        <v>13.0094</v>
      </c>
      <c r="Q5" s="1" t="s">
        <v>223</v>
      </c>
      <c r="R5" s="1" t="s">
        <v>224</v>
      </c>
    </row>
    <row r="6" customFormat="false" ht="15" hidden="false" customHeight="false" outlineLevel="0" collapsed="false">
      <c r="A6" s="6" t="s">
        <v>221</v>
      </c>
      <c r="B6" s="6" t="s">
        <v>222</v>
      </c>
      <c r="C6" s="7" t="s">
        <v>225</v>
      </c>
      <c r="D6" s="7" t="n">
        <f aca="false">ROUNDUP(F6/E6,0)</f>
        <v>27</v>
      </c>
      <c r="E6" s="8" t="n">
        <v>45</v>
      </c>
      <c r="F6" s="7" t="n">
        <v>1188.69</v>
      </c>
      <c r="G6" s="8" t="s">
        <v>17</v>
      </c>
      <c r="H6" s="2" t="n">
        <v>9.74</v>
      </c>
      <c r="I6" s="2" t="n">
        <f aca="false">H6*1.31</f>
        <v>12.7594</v>
      </c>
      <c r="J6" s="2" t="n">
        <v>0.46</v>
      </c>
      <c r="K6" s="2"/>
      <c r="L6" s="2"/>
      <c r="M6" s="2" t="n">
        <v>0.25</v>
      </c>
      <c r="O6" s="9" t="n">
        <v>10.45</v>
      </c>
      <c r="P6" s="9" t="n">
        <f aca="false">N6+M6+K6+I6</f>
        <v>13.0094</v>
      </c>
      <c r="Q6" s="1" t="s">
        <v>223</v>
      </c>
      <c r="R6" s="1" t="s">
        <v>226</v>
      </c>
    </row>
    <row r="7" customFormat="false" ht="15" hidden="false" customHeight="false" outlineLevel="0" collapsed="false">
      <c r="A7" s="6" t="s">
        <v>221</v>
      </c>
      <c r="B7" s="6" t="s">
        <v>222</v>
      </c>
      <c r="C7" s="7" t="s">
        <v>225</v>
      </c>
      <c r="D7" s="7" t="n">
        <f aca="false">ROUNDUP(F7/E7,0)</f>
        <v>31</v>
      </c>
      <c r="E7" s="8" t="n">
        <v>39</v>
      </c>
      <c r="F7" s="7" t="n">
        <v>1175.97</v>
      </c>
      <c r="G7" s="8" t="s">
        <v>17</v>
      </c>
      <c r="H7" s="2" t="n">
        <v>9.74</v>
      </c>
      <c r="I7" s="2" t="n">
        <f aca="false">H7*1.31</f>
        <v>12.7594</v>
      </c>
      <c r="J7" s="2" t="n">
        <v>0.46</v>
      </c>
      <c r="K7" s="2"/>
      <c r="L7" s="2"/>
      <c r="M7" s="2" t="n">
        <v>0.25</v>
      </c>
      <c r="O7" s="9" t="n">
        <v>10.45</v>
      </c>
      <c r="P7" s="9" t="n">
        <f aca="false">N7+M7+K7+I7</f>
        <v>13.0094</v>
      </c>
      <c r="Q7" s="1" t="s">
        <v>223</v>
      </c>
      <c r="R7" s="1" t="s">
        <v>226</v>
      </c>
    </row>
    <row r="8" customFormat="false" ht="15" hidden="false" customHeight="false" outlineLevel="0" collapsed="false">
      <c r="A8" s="6" t="s">
        <v>227</v>
      </c>
      <c r="B8" s="6" t="s">
        <v>228</v>
      </c>
      <c r="C8" s="7" t="s">
        <v>229</v>
      </c>
      <c r="D8" s="7" t="n">
        <f aca="false">ROUNDUP(F8/E8,0)</f>
        <v>43</v>
      </c>
      <c r="E8" s="8" t="n">
        <v>6</v>
      </c>
      <c r="F8" s="7" t="n">
        <v>254.3</v>
      </c>
      <c r="G8" s="8" t="s">
        <v>17</v>
      </c>
      <c r="H8" s="2" t="n">
        <v>25.59</v>
      </c>
      <c r="I8" s="2" t="n">
        <f aca="false">H8*1.29</f>
        <v>33.0111</v>
      </c>
      <c r="J8" s="2" t="n">
        <f aca="false">1100/46839*21691/254.3</f>
        <v>2.00317220214455</v>
      </c>
      <c r="K8" s="2" t="n">
        <f aca="false">J8*1.29</f>
        <v>2.58409214076647</v>
      </c>
      <c r="L8" s="2"/>
      <c r="M8" s="2" t="n">
        <f aca="false">300/485.02</f>
        <v>0.618531194589914</v>
      </c>
      <c r="O8" s="9" t="n">
        <f aca="false">M8+J8+H8</f>
        <v>28.2117033967345</v>
      </c>
      <c r="P8" s="9" t="n">
        <f aca="false">N8+M8+K8+I8</f>
        <v>36.2137233353564</v>
      </c>
      <c r="Q8" s="1" t="s">
        <v>230</v>
      </c>
    </row>
    <row r="9" customFormat="false" ht="15" hidden="false" customHeight="false" outlineLevel="0" collapsed="false">
      <c r="A9" s="6" t="s">
        <v>231</v>
      </c>
      <c r="B9" s="6" t="s">
        <v>232</v>
      </c>
      <c r="C9" s="7" t="s">
        <v>108</v>
      </c>
      <c r="D9" s="7" t="n">
        <f aca="false">ROUNDUP(F9/E9,0)</f>
        <v>29</v>
      </c>
      <c r="E9" s="8" t="n">
        <f aca="false">8-3-1-2</f>
        <v>2</v>
      </c>
      <c r="F9" s="7" t="n">
        <f aca="false">297.1-116.4-40.9-81.9</f>
        <v>57.9</v>
      </c>
      <c r="G9" s="8" t="s">
        <v>17</v>
      </c>
      <c r="H9" s="2" t="n">
        <v>16.5</v>
      </c>
      <c r="I9" s="2" t="n">
        <f aca="false">H9*1.29</f>
        <v>21.285</v>
      </c>
      <c r="J9" s="2" t="n">
        <v>1.28</v>
      </c>
      <c r="K9" s="2" t="n">
        <f aca="false">J9*1.28</f>
        <v>1.6384</v>
      </c>
      <c r="L9" s="2"/>
      <c r="M9" s="2" t="n">
        <f aca="false">300/1387</f>
        <v>0.216294160057678</v>
      </c>
      <c r="O9" s="9" t="n">
        <f aca="false">M9+J9+H9</f>
        <v>17.9962941600577</v>
      </c>
      <c r="P9" s="9" t="n">
        <f aca="false">N9+M9+K9+I9</f>
        <v>23.1396941600577</v>
      </c>
      <c r="Q9" s="1" t="s">
        <v>110</v>
      </c>
    </row>
    <row r="10" customFormat="false" ht="15" hidden="false" customHeight="false" outlineLevel="0" collapsed="false">
      <c r="A10" s="6" t="s">
        <v>233</v>
      </c>
      <c r="B10" s="6" t="s">
        <v>234</v>
      </c>
      <c r="C10" s="7" t="s">
        <v>235</v>
      </c>
      <c r="D10" s="7" t="n">
        <f aca="false">ROUNDUP(F10/E10,0)</f>
        <v>38</v>
      </c>
      <c r="E10" s="8" t="n">
        <v>1</v>
      </c>
      <c r="F10" s="7" t="n">
        <v>37.05</v>
      </c>
      <c r="G10" s="8" t="s">
        <v>17</v>
      </c>
      <c r="H10" s="18" t="n">
        <v>29.25</v>
      </c>
      <c r="I10" s="18" t="n">
        <v>38.32</v>
      </c>
      <c r="J10" s="2" t="n">
        <v>0.83</v>
      </c>
      <c r="K10" s="2" t="n">
        <f aca="false">J10*1.28</f>
        <v>1.0624</v>
      </c>
      <c r="L10" s="2"/>
      <c r="M10" s="2" t="n">
        <f aca="false">300/570.33</f>
        <v>0.526011256640892</v>
      </c>
      <c r="O10" s="9"/>
      <c r="P10" s="9" t="n">
        <f aca="false">N10+M10+K10+I10</f>
        <v>39.9084112566409</v>
      </c>
      <c r="Q10" s="1" t="s">
        <v>55</v>
      </c>
    </row>
    <row r="11" customFormat="false" ht="15" hidden="false" customHeight="false" outlineLevel="0" collapsed="false">
      <c r="A11" s="6" t="s">
        <v>236</v>
      </c>
      <c r="B11" s="6" t="s">
        <v>237</v>
      </c>
      <c r="C11" s="7" t="s">
        <v>128</v>
      </c>
      <c r="D11" s="7" t="n">
        <f aca="false">ROUNDUP(F11/E11,0)</f>
        <v>2</v>
      </c>
      <c r="E11" s="8" t="n">
        <v>7</v>
      </c>
      <c r="F11" s="7" t="n">
        <f aca="false">314.08-303.3</f>
        <v>10.78</v>
      </c>
      <c r="G11" s="8" t="s">
        <v>17</v>
      </c>
      <c r="H11" s="2" t="n">
        <v>29.25</v>
      </c>
      <c r="I11" s="2" t="n">
        <v>38.32</v>
      </c>
      <c r="J11" s="2" t="n">
        <v>1.45</v>
      </c>
      <c r="K11" s="2" t="n">
        <v>1.87</v>
      </c>
      <c r="L11" s="2"/>
      <c r="M11" s="2" t="n">
        <v>0.48</v>
      </c>
      <c r="O11" s="9" t="n">
        <f aca="false">M11+J11+H11</f>
        <v>31.18</v>
      </c>
      <c r="P11" s="9" t="n">
        <f aca="false">N11+M11+K11+I11</f>
        <v>40.67</v>
      </c>
      <c r="Q11" s="1" t="s">
        <v>55</v>
      </c>
    </row>
    <row r="12" customFormat="false" ht="15" hidden="false" customHeight="false" outlineLevel="0" collapsed="false">
      <c r="A12" s="6" t="s">
        <v>238</v>
      </c>
      <c r="B12" s="6" t="s">
        <v>239</v>
      </c>
      <c r="C12" s="7" t="s">
        <v>128</v>
      </c>
      <c r="D12" s="7" t="n">
        <f aca="false">ROUNDUP(F12/E12,0)</f>
        <v>36</v>
      </c>
      <c r="E12" s="8" t="n">
        <v>2</v>
      </c>
      <c r="F12" s="7" t="n">
        <v>71.75</v>
      </c>
      <c r="G12" s="8" t="s">
        <v>17</v>
      </c>
      <c r="H12" s="2" t="n">
        <v>29.25</v>
      </c>
      <c r="I12" s="2" t="n">
        <v>38.03</v>
      </c>
      <c r="J12" s="2" t="n">
        <v>1.47</v>
      </c>
      <c r="K12" s="2" t="n">
        <v>1.88</v>
      </c>
      <c r="L12" s="2"/>
      <c r="M12" s="2" t="n">
        <v>0.53</v>
      </c>
      <c r="O12" s="9" t="n">
        <f aca="false">M12+J12+H12</f>
        <v>31.25</v>
      </c>
      <c r="P12" s="9" t="n">
        <f aca="false">N12+M12+K12+I12</f>
        <v>40.44</v>
      </c>
      <c r="Q12" s="1" t="s">
        <v>55</v>
      </c>
    </row>
    <row r="13" customFormat="false" ht="15" hidden="false" customHeight="false" outlineLevel="0" collapsed="false">
      <c r="A13" s="6" t="s">
        <v>238</v>
      </c>
      <c r="B13" s="6" t="s">
        <v>239</v>
      </c>
      <c r="C13" s="7" t="s">
        <v>128</v>
      </c>
      <c r="D13" s="7" t="n">
        <f aca="false">ROUNDUP(F13/E13,0)</f>
        <v>42</v>
      </c>
      <c r="E13" s="8" t="n">
        <v>12</v>
      </c>
      <c r="F13" s="7" t="n">
        <v>493.41</v>
      </c>
      <c r="G13" s="8" t="s">
        <v>17</v>
      </c>
      <c r="H13" s="2" t="n">
        <v>43.65</v>
      </c>
      <c r="I13" s="2" t="n">
        <f aca="false">H13*1.29</f>
        <v>56.3085</v>
      </c>
      <c r="J13" s="2" t="n">
        <f aca="false">350/F13</f>
        <v>0.709349222755923</v>
      </c>
      <c r="K13" s="2" t="n">
        <f aca="false">J13*1.28</f>
        <v>0.907967005127582</v>
      </c>
      <c r="M13" s="2" t="n">
        <f aca="false">300/F13</f>
        <v>0.608013619505077</v>
      </c>
      <c r="O13" s="9" t="n">
        <f aca="false">M13+K13+I13</f>
        <v>57.8244806246327</v>
      </c>
      <c r="P13" s="9" t="n">
        <f aca="false">N13+M13+K13+I13</f>
        <v>57.8244806246327</v>
      </c>
      <c r="Q13" s="1" t="s">
        <v>55</v>
      </c>
    </row>
    <row r="14" customFormat="false" ht="15" hidden="false" customHeight="false" outlineLevel="0" collapsed="false">
      <c r="A14" s="6" t="s">
        <v>240</v>
      </c>
      <c r="B14" s="6" t="s">
        <v>241</v>
      </c>
      <c r="C14" s="7" t="s">
        <v>242</v>
      </c>
      <c r="D14" s="7" t="n">
        <f aca="false">ROUNDUP(F14/E14,0)</f>
        <v>32</v>
      </c>
      <c r="E14" s="8" t="n">
        <v>2</v>
      </c>
      <c r="F14" s="7" t="n">
        <f aca="false">64.7-1.5</f>
        <v>63.2</v>
      </c>
      <c r="G14" s="8" t="s">
        <v>17</v>
      </c>
      <c r="H14" s="2" t="n">
        <v>33.75</v>
      </c>
      <c r="I14" s="2" t="n">
        <f aca="false">H14*1.27</f>
        <v>42.8625</v>
      </c>
      <c r="J14" s="2" t="n">
        <v>0.65</v>
      </c>
      <c r="K14" s="2" t="n">
        <f aca="false">J14*1.26</f>
        <v>0.819</v>
      </c>
      <c r="M14" s="2" t="n">
        <v>0.58</v>
      </c>
      <c r="O14" s="9" t="n">
        <f aca="false">M14+K14+I14</f>
        <v>44.2615</v>
      </c>
      <c r="P14" s="9" t="n">
        <f aca="false">N14+M14+K14+I14</f>
        <v>44.2615</v>
      </c>
      <c r="Q14" s="1" t="s">
        <v>55</v>
      </c>
    </row>
    <row r="15" customFormat="false" ht="15" hidden="false" customHeight="false" outlineLevel="0" collapsed="false">
      <c r="A15" s="6" t="s">
        <v>240</v>
      </c>
      <c r="B15" s="6" t="s">
        <v>241</v>
      </c>
      <c r="C15" s="7" t="s">
        <v>242</v>
      </c>
      <c r="D15" s="7" t="n">
        <f aca="false">ROUNDUP(F15/E15,0)</f>
        <v>32</v>
      </c>
      <c r="E15" s="8" t="n">
        <v>2</v>
      </c>
      <c r="F15" s="7" t="n">
        <v>63.91</v>
      </c>
      <c r="G15" s="8" t="s">
        <v>17</v>
      </c>
      <c r="H15" s="2" t="n">
        <v>33.75</v>
      </c>
      <c r="I15" s="2" t="n">
        <f aca="false">H15*1.27</f>
        <v>42.8625</v>
      </c>
      <c r="J15" s="2" t="n">
        <f aca="false">350/533</f>
        <v>0.656660412757974</v>
      </c>
      <c r="K15" s="2" t="n">
        <f aca="false">J15*1.26</f>
        <v>0.827392120075047</v>
      </c>
      <c r="M15" s="2" t="n">
        <f aca="false">300/533</f>
        <v>0.562851782363977</v>
      </c>
      <c r="O15" s="9" t="n">
        <f aca="false">M15+J15+H15</f>
        <v>34.969512195122</v>
      </c>
      <c r="P15" s="9" t="n">
        <f aca="false">N15+M15+K15+I15</f>
        <v>44.252743902439</v>
      </c>
      <c r="Q15" s="1" t="s">
        <v>55</v>
      </c>
    </row>
    <row r="16" customFormat="false" ht="15" hidden="false" customHeight="false" outlineLevel="0" collapsed="false">
      <c r="A16" s="6" t="s">
        <v>243</v>
      </c>
      <c r="B16" s="6" t="s">
        <v>244</v>
      </c>
      <c r="C16" s="7" t="s">
        <v>242</v>
      </c>
      <c r="D16" s="7" t="n">
        <f aca="false">ROUNDUP(F16/E16,0)</f>
        <v>44</v>
      </c>
      <c r="E16" s="8" t="n">
        <v>14</v>
      </c>
      <c r="F16" s="7" t="n">
        <v>614.78</v>
      </c>
      <c r="G16" s="8" t="s">
        <v>17</v>
      </c>
      <c r="H16" s="2" t="n">
        <v>33.75</v>
      </c>
      <c r="I16" s="2" t="n">
        <f aca="false">H16*1.31</f>
        <v>44.2125</v>
      </c>
      <c r="J16" s="2" t="n">
        <f aca="false">1050/F16</f>
        <v>1.70792803929861</v>
      </c>
      <c r="K16" s="2" t="n">
        <f aca="false">J16*1.29</f>
        <v>2.20322717069521</v>
      </c>
      <c r="M16" s="2" t="n">
        <f aca="false">300/F16</f>
        <v>0.487979439799603</v>
      </c>
      <c r="O16" s="9" t="n">
        <f aca="false">M16+J16+H16</f>
        <v>35.9459074790982</v>
      </c>
      <c r="P16" s="9" t="n">
        <f aca="false">N16+M16+K16+I16</f>
        <v>46.9037066104948</v>
      </c>
      <c r="Q16" s="1" t="s">
        <v>55</v>
      </c>
    </row>
    <row r="17" customFormat="false" ht="15" hidden="false" customHeight="false" outlineLevel="0" collapsed="false">
      <c r="A17" s="6" t="s">
        <v>243</v>
      </c>
      <c r="B17" s="6" t="s">
        <v>244</v>
      </c>
      <c r="C17" s="7" t="s">
        <v>242</v>
      </c>
      <c r="D17" s="7" t="n">
        <f aca="false">ROUNDUP(F17/E17,0)</f>
        <v>46</v>
      </c>
      <c r="E17" s="8" t="n">
        <v>3</v>
      </c>
      <c r="F17" s="7" t="n">
        <v>136.62</v>
      </c>
      <c r="G17" s="8" t="s">
        <v>17</v>
      </c>
      <c r="H17" s="2" t="n">
        <v>33.75</v>
      </c>
      <c r="I17" s="2" t="n">
        <f aca="false">H17*1.31</f>
        <v>44.2125</v>
      </c>
      <c r="J17" s="2" t="n">
        <v>1.68</v>
      </c>
      <c r="K17" s="2" t="n">
        <f aca="false">J17*1.29</f>
        <v>2.1672</v>
      </c>
      <c r="M17" s="2" t="n">
        <f aca="false">300/619.83</f>
        <v>0.484003678427956</v>
      </c>
      <c r="O17" s="9" t="n">
        <f aca="false">M17+J17+H17</f>
        <v>35.914003678428</v>
      </c>
      <c r="P17" s="9" t="n">
        <f aca="false">N17+M17+K17+I17</f>
        <v>46.863703678428</v>
      </c>
      <c r="Q17" s="1" t="s">
        <v>55</v>
      </c>
      <c r="S17" s="1" t="e">
        <f aca="false">#REF!*1368/37.05</f>
        <v>#REF!</v>
      </c>
    </row>
    <row r="18" customFormat="false" ht="15" hidden="false" customHeight="false" outlineLevel="0" collapsed="false">
      <c r="A18" s="6" t="s">
        <v>243</v>
      </c>
      <c r="B18" s="6" t="s">
        <v>244</v>
      </c>
      <c r="C18" s="7" t="s">
        <v>242</v>
      </c>
      <c r="D18" s="7" t="n">
        <f aca="false">ROUNDUP(F18/E18,0)</f>
        <v>44</v>
      </c>
      <c r="E18" s="8" t="n">
        <v>3</v>
      </c>
      <c r="F18" s="7" t="n">
        <v>131.74</v>
      </c>
      <c r="G18" s="8" t="s">
        <v>17</v>
      </c>
      <c r="H18" s="2" t="n">
        <v>33.75</v>
      </c>
      <c r="I18" s="2" t="n">
        <f aca="false">H18*1.3</f>
        <v>43.875</v>
      </c>
      <c r="J18" s="2" t="n">
        <v>1.68</v>
      </c>
      <c r="K18" s="2" t="n">
        <f aca="false">J18*1.28</f>
        <v>2.1504</v>
      </c>
      <c r="M18" s="2" t="n">
        <f aca="false">300/570.33</f>
        <v>0.526011256640892</v>
      </c>
      <c r="O18" s="9" t="n">
        <f aca="false">M18+J18+H18</f>
        <v>35.9560112566409</v>
      </c>
      <c r="P18" s="9" t="n">
        <f aca="false">N18+M18+K18+I18</f>
        <v>46.5514112566409</v>
      </c>
      <c r="Q18" s="1" t="s">
        <v>55</v>
      </c>
    </row>
    <row r="19" customFormat="false" ht="15" hidden="false" customHeight="false" outlineLevel="0" collapsed="false">
      <c r="A19" s="6" t="s">
        <v>245</v>
      </c>
      <c r="B19" s="6" t="s">
        <v>246</v>
      </c>
      <c r="C19" s="7" t="s">
        <v>247</v>
      </c>
      <c r="D19" s="7" t="n">
        <f aca="false">ROUNDUP(F19/E19,0)</f>
        <v>33</v>
      </c>
      <c r="E19" s="8" t="n">
        <v>1</v>
      </c>
      <c r="F19" s="7" t="n">
        <f aca="false">484.5-119.22-332.5</f>
        <v>32.78</v>
      </c>
      <c r="G19" s="8" t="s">
        <v>17</v>
      </c>
      <c r="H19" s="2" t="n">
        <v>37.8</v>
      </c>
      <c r="I19" s="2" t="n">
        <f aca="false">H19*1.29</f>
        <v>48.762</v>
      </c>
      <c r="J19" s="2" t="n">
        <v>2.48</v>
      </c>
      <c r="K19" s="2" t="n">
        <v>3.17</v>
      </c>
      <c r="M19" s="2" t="n">
        <v>0.68</v>
      </c>
      <c r="O19" s="9" t="n">
        <f aca="false">M19+J19+H19</f>
        <v>40.96</v>
      </c>
      <c r="P19" s="9" t="n">
        <f aca="false">N19+M19+K19+I19</f>
        <v>52.612</v>
      </c>
      <c r="Q19" s="1" t="s">
        <v>55</v>
      </c>
    </row>
    <row r="20" customFormat="false" ht="15" hidden="false" customHeight="false" outlineLevel="0" collapsed="false">
      <c r="A20" s="6" t="s">
        <v>245</v>
      </c>
      <c r="B20" s="6" t="s">
        <v>246</v>
      </c>
      <c r="C20" s="7" t="s">
        <v>247</v>
      </c>
      <c r="D20" s="7" t="n">
        <f aca="false">ROUNDUP(F20/E20,0)</f>
        <v>34</v>
      </c>
      <c r="E20" s="8" t="n">
        <f aca="false">12-3</f>
        <v>9</v>
      </c>
      <c r="F20" s="7" t="n">
        <f aca="false">521.92-129.43-92.32</f>
        <v>300.17</v>
      </c>
      <c r="G20" s="8" t="s">
        <v>17</v>
      </c>
      <c r="H20" s="2" t="n">
        <v>37.8</v>
      </c>
      <c r="I20" s="2" t="n">
        <v>48.01</v>
      </c>
      <c r="J20" s="2" t="n">
        <v>2.3</v>
      </c>
      <c r="K20" s="2" t="n">
        <v>2.9</v>
      </c>
      <c r="M20" s="2" t="n">
        <v>0.57</v>
      </c>
      <c r="O20" s="9" t="n">
        <f aca="false">M20+J20+H20</f>
        <v>40.67</v>
      </c>
      <c r="P20" s="9" t="n">
        <f aca="false">N20+M20+K20+I20</f>
        <v>51.48</v>
      </c>
      <c r="Q20" s="1" t="s">
        <v>55</v>
      </c>
    </row>
    <row r="21" customFormat="false" ht="15" hidden="false" customHeight="false" outlineLevel="0" collapsed="false">
      <c r="A21" s="6" t="s">
        <v>248</v>
      </c>
      <c r="B21" s="6" t="s">
        <v>249</v>
      </c>
      <c r="C21" s="7" t="s">
        <v>247</v>
      </c>
      <c r="D21" s="7" t="n">
        <f aca="false">ROUNDUP(F21/E21,0)</f>
        <v>44</v>
      </c>
      <c r="E21" s="8" t="n">
        <v>12</v>
      </c>
      <c r="F21" s="7" t="n">
        <v>517.81</v>
      </c>
      <c r="G21" s="8" t="s">
        <v>17</v>
      </c>
      <c r="H21" s="2" t="n">
        <v>37.8</v>
      </c>
      <c r="I21" s="2" t="n">
        <f aca="false">H21*1.27</f>
        <v>48.006</v>
      </c>
      <c r="J21" s="2" t="n">
        <f aca="false">1200/F21</f>
        <v>2.31745234738611</v>
      </c>
      <c r="K21" s="2" t="n">
        <f aca="false">J21*1.26</f>
        <v>2.9199899577065</v>
      </c>
      <c r="M21" s="2" t="n">
        <f aca="false">300/F21</f>
        <v>0.579363086846527</v>
      </c>
      <c r="O21" s="9" t="n">
        <f aca="false">M21+J21+H21</f>
        <v>40.6968154342326</v>
      </c>
      <c r="P21" s="9" t="n">
        <f aca="false">N21+M21+K21+I21</f>
        <v>51.505353044553</v>
      </c>
      <c r="Q21" s="1" t="s">
        <v>55</v>
      </c>
      <c r="S21" s="1" t="n">
        <f aca="false">S23*10246.5</f>
        <v>229.899247831104</v>
      </c>
    </row>
    <row r="22" customFormat="false" ht="15" hidden="false" customHeight="false" outlineLevel="0" collapsed="false">
      <c r="A22" s="6" t="s">
        <v>248</v>
      </c>
      <c r="B22" s="6" t="s">
        <v>249</v>
      </c>
      <c r="C22" s="7" t="s">
        <v>247</v>
      </c>
      <c r="D22" s="7" t="n">
        <f aca="false">ROUNDUP(F22/E22,0)</f>
        <v>40</v>
      </c>
      <c r="E22" s="8" t="n">
        <v>12</v>
      </c>
      <c r="F22" s="7" t="n">
        <v>473.3</v>
      </c>
      <c r="G22" s="8" t="s">
        <v>17</v>
      </c>
      <c r="H22" s="2" t="n">
        <v>37.8</v>
      </c>
      <c r="I22" s="2" t="n">
        <f aca="false">H22*1.27</f>
        <v>48.006</v>
      </c>
      <c r="J22" s="2" t="n">
        <f aca="false">1200/F22</f>
        <v>2.53538981618424</v>
      </c>
      <c r="K22" s="2" t="n">
        <f aca="false">J22*1.26</f>
        <v>3.19459116839214</v>
      </c>
      <c r="M22" s="2" t="n">
        <f aca="false">300/F22</f>
        <v>0.63384745404606</v>
      </c>
      <c r="O22" s="9" t="n">
        <f aca="false">M22+J22+H22</f>
        <v>40.9692372702303</v>
      </c>
      <c r="P22" s="9" t="n">
        <f aca="false">N22+M22+K22+I22</f>
        <v>51.8344386224382</v>
      </c>
      <c r="Q22" s="1" t="s">
        <v>55</v>
      </c>
    </row>
    <row r="23" customFormat="false" ht="15" hidden="false" customHeight="false" outlineLevel="0" collapsed="false">
      <c r="A23" s="6" t="s">
        <v>248</v>
      </c>
      <c r="B23" s="6" t="s">
        <v>249</v>
      </c>
      <c r="C23" s="7" t="s">
        <v>133</v>
      </c>
      <c r="D23" s="7" t="n">
        <f aca="false">ROUNDUP(F23/E23,0)</f>
        <v>40</v>
      </c>
      <c r="E23" s="8" t="n">
        <v>12</v>
      </c>
      <c r="F23" s="7" t="n">
        <v>477.1</v>
      </c>
      <c r="G23" s="8" t="s">
        <v>17</v>
      </c>
      <c r="H23" s="2" t="n">
        <v>37.8</v>
      </c>
      <c r="I23" s="2" t="n">
        <f aca="false">H23*1.26</f>
        <v>47.628</v>
      </c>
      <c r="J23" s="2" t="n">
        <f aca="false">550/F23</f>
        <v>1.15279815552295</v>
      </c>
      <c r="K23" s="2" t="n">
        <f aca="false">J23*1.25</f>
        <v>1.44099769440369</v>
      </c>
      <c r="M23" s="2" t="n">
        <f aca="false">300/F23</f>
        <v>0.62879899392161</v>
      </c>
      <c r="O23" s="9" t="n">
        <f aca="false">M23+J23+H23</f>
        <v>39.5815971494446</v>
      </c>
      <c r="P23" s="9" t="n">
        <f aca="false">N23+M23+K23+I23</f>
        <v>49.6977966883253</v>
      </c>
      <c r="Q23" s="1" t="s">
        <v>55</v>
      </c>
      <c r="S23" s="1" t="n">
        <f aca="false">1050/46798</f>
        <v>0.0224368562759092</v>
      </c>
    </row>
    <row r="24" customFormat="false" ht="15" hidden="false" customHeight="false" outlineLevel="0" collapsed="false">
      <c r="A24" s="6" t="s">
        <v>248</v>
      </c>
      <c r="B24" s="6" t="s">
        <v>249</v>
      </c>
      <c r="C24" s="7" t="s">
        <v>247</v>
      </c>
      <c r="D24" s="7" t="n">
        <f aca="false">ROUNDUP(F24/E24,0)</f>
        <v>42</v>
      </c>
      <c r="E24" s="8" t="n">
        <v>12</v>
      </c>
      <c r="F24" s="7" t="n">
        <v>501.61</v>
      </c>
      <c r="G24" s="8" t="s">
        <v>17</v>
      </c>
      <c r="H24" s="2" t="n">
        <v>37.8</v>
      </c>
      <c r="I24" s="2" t="n">
        <f aca="false">H24*1.26</f>
        <v>47.628</v>
      </c>
      <c r="J24" s="2" t="n">
        <f aca="false">1200/F24</f>
        <v>2.39229680429019</v>
      </c>
      <c r="K24" s="2" t="n">
        <f aca="false">J24*1.25</f>
        <v>2.99037100536273</v>
      </c>
      <c r="M24" s="2" t="n">
        <f aca="false">300/F24</f>
        <v>0.598074201072546</v>
      </c>
      <c r="O24" s="9" t="n">
        <f aca="false">M24+J24+H24</f>
        <v>40.7903710053627</v>
      </c>
      <c r="P24" s="9" t="n">
        <f aca="false">N24+M24+K24+I24</f>
        <v>51.2164452064353</v>
      </c>
      <c r="Q24" s="1" t="s">
        <v>55</v>
      </c>
      <c r="S24" s="1" t="n">
        <f aca="false">S23*13499</f>
        <v>302.875122868499</v>
      </c>
    </row>
    <row r="25" customFormat="false" ht="15" hidden="false" customHeight="false" outlineLevel="0" collapsed="false">
      <c r="A25" s="6" t="s">
        <v>248</v>
      </c>
      <c r="B25" s="6" t="s">
        <v>249</v>
      </c>
      <c r="C25" s="7" t="s">
        <v>247</v>
      </c>
      <c r="D25" s="7" t="n">
        <f aca="false">ROUNDUP(F25/E25,0)</f>
        <v>44</v>
      </c>
      <c r="E25" s="8" t="n">
        <v>12</v>
      </c>
      <c r="F25" s="7" t="n">
        <v>516.27</v>
      </c>
      <c r="G25" s="8" t="s">
        <v>17</v>
      </c>
      <c r="H25" s="2" t="n">
        <v>37.8</v>
      </c>
      <c r="I25" s="2" t="n">
        <f aca="false">H25*1.26</f>
        <v>47.628</v>
      </c>
      <c r="J25" s="2" t="n">
        <f aca="false">1200/F25</f>
        <v>2.32436515776629</v>
      </c>
      <c r="K25" s="2" t="n">
        <f aca="false">J25*1.25</f>
        <v>2.90545644720786</v>
      </c>
      <c r="M25" s="2" t="n">
        <f aca="false">300/F25</f>
        <v>0.581091289441571</v>
      </c>
      <c r="O25" s="9" t="n">
        <f aca="false">M25+J25+H25</f>
        <v>40.7054564472079</v>
      </c>
      <c r="P25" s="9" t="n">
        <f aca="false">N25+M25+K25+I25</f>
        <v>51.1145477366494</v>
      </c>
      <c r="Q25" s="1" t="s">
        <v>55</v>
      </c>
      <c r="S25" s="1" t="n">
        <f aca="false">S24/142.52</f>
        <v>2.12514119329567</v>
      </c>
    </row>
    <row r="26" customFormat="false" ht="15" hidden="false" customHeight="false" outlineLevel="0" collapsed="false">
      <c r="A26" s="6" t="s">
        <v>248</v>
      </c>
      <c r="B26" s="6" t="s">
        <v>249</v>
      </c>
      <c r="C26" s="7" t="s">
        <v>247</v>
      </c>
      <c r="D26" s="7" t="n">
        <f aca="false">ROUNDUP(F26/E26,0)</f>
        <v>43</v>
      </c>
      <c r="E26" s="8" t="n">
        <v>12</v>
      </c>
      <c r="F26" s="7" t="n">
        <v>508.48</v>
      </c>
      <c r="G26" s="8" t="s">
        <v>17</v>
      </c>
      <c r="H26" s="2" t="n">
        <v>37.8</v>
      </c>
      <c r="I26" s="2" t="n">
        <f aca="false">H26*1.27</f>
        <v>48.006</v>
      </c>
      <c r="J26" s="2" t="n">
        <f aca="false">1200/F26</f>
        <v>2.35997482693518</v>
      </c>
      <c r="K26" s="2" t="n">
        <f aca="false">J26*1.26</f>
        <v>2.97356828193833</v>
      </c>
      <c r="M26" s="2" t="n">
        <f aca="false">300/F26</f>
        <v>0.589993706733795</v>
      </c>
      <c r="O26" s="9" t="n">
        <f aca="false">M26+J26+H26</f>
        <v>40.749968533669</v>
      </c>
      <c r="P26" s="9" t="n">
        <f aca="false">N26+M26+K26+I26</f>
        <v>51.5695619886721</v>
      </c>
      <c r="Q26" s="1" t="s">
        <v>55</v>
      </c>
    </row>
    <row r="27" customFormat="false" ht="15" hidden="false" customHeight="false" outlineLevel="0" collapsed="false">
      <c r="A27" s="6" t="s">
        <v>248</v>
      </c>
      <c r="B27" s="6" t="s">
        <v>249</v>
      </c>
      <c r="C27" s="7" t="s">
        <v>247</v>
      </c>
      <c r="D27" s="7" t="n">
        <f aca="false">ROUNDUP(F27/E27,0)</f>
        <v>43</v>
      </c>
      <c r="E27" s="8" t="n">
        <v>12</v>
      </c>
      <c r="F27" s="7" t="n">
        <v>509.19</v>
      </c>
      <c r="G27" s="8" t="s">
        <v>17</v>
      </c>
      <c r="H27" s="2" t="n">
        <v>37.8</v>
      </c>
      <c r="I27" s="2" t="n">
        <f aca="false">H27*1.27</f>
        <v>48.006</v>
      </c>
      <c r="J27" s="2" t="n">
        <f aca="false">1200/F27</f>
        <v>2.35668414540741</v>
      </c>
      <c r="K27" s="2" t="n">
        <f aca="false">J27*1.26</f>
        <v>2.96942202321334</v>
      </c>
      <c r="M27" s="2" t="n">
        <f aca="false">300/F27</f>
        <v>0.589171036351853</v>
      </c>
      <c r="O27" s="9" t="n">
        <f aca="false">M27+J27+H27</f>
        <v>40.7458551817593</v>
      </c>
      <c r="P27" s="9" t="n">
        <f aca="false">N27+M27+K27+I27</f>
        <v>51.5645930595652</v>
      </c>
      <c r="Q27" s="1" t="s">
        <v>55</v>
      </c>
    </row>
    <row r="28" customFormat="false" ht="15" hidden="false" customHeight="false" outlineLevel="0" collapsed="false">
      <c r="A28" s="6" t="s">
        <v>248</v>
      </c>
      <c r="B28" s="6" t="s">
        <v>249</v>
      </c>
      <c r="C28" s="7" t="s">
        <v>247</v>
      </c>
      <c r="D28" s="7" t="n">
        <f aca="false">ROUNDUP(F28/E28,0)</f>
        <v>43</v>
      </c>
      <c r="E28" s="8" t="n">
        <v>12</v>
      </c>
      <c r="F28" s="7" t="n">
        <v>507.5</v>
      </c>
      <c r="G28" s="8" t="s">
        <v>17</v>
      </c>
      <c r="H28" s="2" t="n">
        <v>37.8</v>
      </c>
      <c r="I28" s="2" t="n">
        <f aca="false">H28*1.27</f>
        <v>48.006</v>
      </c>
      <c r="J28" s="2" t="n">
        <f aca="false">1200/F28</f>
        <v>2.36453201970443</v>
      </c>
      <c r="K28" s="2" t="n">
        <f aca="false">J28*1.26</f>
        <v>2.97931034482759</v>
      </c>
      <c r="M28" s="2" t="n">
        <f aca="false">300/F28</f>
        <v>0.591133004926108</v>
      </c>
      <c r="O28" s="9" t="n">
        <f aca="false">M28+J28+H28</f>
        <v>40.7556650246305</v>
      </c>
      <c r="P28" s="9" t="n">
        <f aca="false">N28+M28+K28+I28</f>
        <v>51.5764433497537</v>
      </c>
      <c r="Q28" s="1" t="s">
        <v>55</v>
      </c>
    </row>
    <row r="29" customFormat="false" ht="15" hidden="false" customHeight="false" outlineLevel="0" collapsed="false">
      <c r="A29" s="6" t="s">
        <v>248</v>
      </c>
      <c r="B29" s="6" t="s">
        <v>249</v>
      </c>
      <c r="C29" s="7" t="s">
        <v>133</v>
      </c>
      <c r="D29" s="7" t="n">
        <f aca="false">ROUNDUP(F29/E29,0)</f>
        <v>40</v>
      </c>
      <c r="E29" s="8" t="n">
        <v>12</v>
      </c>
      <c r="F29" s="7" t="n">
        <v>477.27</v>
      </c>
      <c r="G29" s="8" t="s">
        <v>17</v>
      </c>
      <c r="H29" s="2" t="n">
        <v>37.8</v>
      </c>
      <c r="I29" s="2" t="n">
        <f aca="false">H29*1.31</f>
        <v>49.518</v>
      </c>
      <c r="J29" s="2" t="n">
        <f aca="false">1050/F29</f>
        <v>2.20001257150041</v>
      </c>
      <c r="K29" s="2" t="n">
        <f aca="false">J29*1.29</f>
        <v>2.83801621723553</v>
      </c>
      <c r="M29" s="2" t="n">
        <f aca="false">300/F29</f>
        <v>0.628575020428688</v>
      </c>
      <c r="O29" s="9" t="n">
        <f aca="false">M29+J29+H29</f>
        <v>40.6285875919291</v>
      </c>
      <c r="P29" s="9" t="n">
        <f aca="false">N29+M29+K29+I29</f>
        <v>52.9845912376642</v>
      </c>
      <c r="Q29" s="1" t="s">
        <v>55</v>
      </c>
      <c r="S29" s="1" t="n">
        <f aca="false">S23*4493</f>
        <v>100.80879524766</v>
      </c>
    </row>
    <row r="30" customFormat="false" ht="15" hidden="false" customHeight="false" outlineLevel="0" collapsed="false">
      <c r="A30" s="6" t="s">
        <v>248</v>
      </c>
      <c r="B30" s="6" t="s">
        <v>249</v>
      </c>
      <c r="C30" s="7" t="s">
        <v>133</v>
      </c>
      <c r="D30" s="7" t="n">
        <f aca="false">ROUNDUP(F30/E30,0)</f>
        <v>44</v>
      </c>
      <c r="E30" s="8" t="n">
        <v>12</v>
      </c>
      <c r="F30" s="7" t="n">
        <v>522.66</v>
      </c>
      <c r="G30" s="8" t="s">
        <v>17</v>
      </c>
      <c r="H30" s="2" t="n">
        <v>37.8</v>
      </c>
      <c r="I30" s="2" t="n">
        <f aca="false">H30*1.31</f>
        <v>49.518</v>
      </c>
      <c r="J30" s="2" t="n">
        <f aca="false">1050/F30</f>
        <v>2.00895419584433</v>
      </c>
      <c r="K30" s="2" t="n">
        <f aca="false">J30*1.29</f>
        <v>2.59155091263919</v>
      </c>
      <c r="M30" s="2" t="n">
        <f aca="false">300/F30</f>
        <v>0.573986913098381</v>
      </c>
      <c r="O30" s="9" t="n">
        <f aca="false">M30+J30+H30</f>
        <v>40.3829411089427</v>
      </c>
      <c r="P30" s="9" t="n">
        <f aca="false">N30+M30+K30+I30</f>
        <v>52.6835378257376</v>
      </c>
      <c r="Q30" s="1" t="s">
        <v>55</v>
      </c>
      <c r="S30" s="1" t="n">
        <f aca="false">S29/46.32</f>
        <v>2.17635568323964</v>
      </c>
    </row>
    <row r="31" customFormat="false" ht="15" hidden="false" customHeight="false" outlineLevel="0" collapsed="false">
      <c r="A31" s="6" t="s">
        <v>245</v>
      </c>
      <c r="B31" s="6" t="s">
        <v>246</v>
      </c>
      <c r="C31" s="7" t="s">
        <v>247</v>
      </c>
      <c r="D31" s="7" t="n">
        <f aca="false">ROUNDUP(F31/E31,0)</f>
        <v>30</v>
      </c>
      <c r="E31" s="8" t="n">
        <v>3</v>
      </c>
      <c r="F31" s="7" t="n">
        <v>89.65</v>
      </c>
      <c r="G31" s="8" t="s">
        <v>17</v>
      </c>
      <c r="H31" s="2" t="n">
        <v>37.8</v>
      </c>
      <c r="I31" s="2" t="n">
        <f aca="false">H31*1.3</f>
        <v>49.14</v>
      </c>
      <c r="J31" s="2" t="n">
        <v>1.88</v>
      </c>
      <c r="K31" s="2" t="n">
        <f aca="false">J31*1.28</f>
        <v>2.4064</v>
      </c>
      <c r="M31" s="2" t="n">
        <f aca="false">300/570.33</f>
        <v>0.526011256640892</v>
      </c>
      <c r="O31" s="9" t="n">
        <f aca="false">M31+J31+H31</f>
        <v>40.2060112566409</v>
      </c>
      <c r="P31" s="9" t="n">
        <f aca="false">N31+M31+K31+I31</f>
        <v>52.0724112566409</v>
      </c>
      <c r="Q31" s="1" t="s">
        <v>55</v>
      </c>
    </row>
    <row r="32" customFormat="false" ht="15" hidden="false" customHeight="false" outlineLevel="0" collapsed="false">
      <c r="A32" s="6" t="s">
        <v>250</v>
      </c>
      <c r="B32" s="6" t="s">
        <v>251</v>
      </c>
      <c r="C32" s="7" t="s">
        <v>252</v>
      </c>
      <c r="D32" s="7" t="n">
        <f aca="false">ROUNDUP(F32/E32,0)</f>
        <v>45</v>
      </c>
      <c r="E32" s="8" t="n">
        <v>11</v>
      </c>
      <c r="F32" s="7" t="n">
        <v>484.07</v>
      </c>
      <c r="G32" s="8" t="s">
        <v>17</v>
      </c>
      <c r="H32" s="2" t="n">
        <v>28.2</v>
      </c>
      <c r="I32" s="2" t="n">
        <f aca="false">H32*1.29</f>
        <v>36.378</v>
      </c>
      <c r="J32" s="2" t="n">
        <f aca="false">1100/F32</f>
        <v>2.27239862003429</v>
      </c>
      <c r="K32" s="2" t="n">
        <f aca="false">J32*1.28</f>
        <v>2.90867023364389</v>
      </c>
      <c r="M32" s="2" t="n">
        <f aca="false">300/F32</f>
        <v>0.619745078191171</v>
      </c>
      <c r="O32" s="9" t="n">
        <f aca="false">M32+J32+H32</f>
        <v>31.0921436982255</v>
      </c>
      <c r="P32" s="9" t="n">
        <f aca="false">N32+M32+K32+I32</f>
        <v>39.9064153118351</v>
      </c>
      <c r="Q32" s="1" t="s">
        <v>230</v>
      </c>
    </row>
    <row r="33" customFormat="false" ht="15" hidden="false" customHeight="false" outlineLevel="0" collapsed="false">
      <c r="A33" s="6" t="s">
        <v>250</v>
      </c>
      <c r="B33" s="6" t="s">
        <v>251</v>
      </c>
      <c r="C33" s="7" t="s">
        <v>252</v>
      </c>
      <c r="D33" s="7" t="n">
        <f aca="false">ROUNDUP(F33/E33,0)</f>
        <v>45</v>
      </c>
      <c r="E33" s="8" t="n">
        <v>11</v>
      </c>
      <c r="F33" s="7" t="n">
        <v>490.61</v>
      </c>
      <c r="G33" s="8" t="s">
        <v>17</v>
      </c>
      <c r="H33" s="2" t="n">
        <v>28.2</v>
      </c>
      <c r="I33" s="2" t="n">
        <f aca="false">H33*1.29</f>
        <v>36.378</v>
      </c>
      <c r="J33" s="2" t="n">
        <f aca="false">1100/F33</f>
        <v>2.24210676504759</v>
      </c>
      <c r="K33" s="2" t="n">
        <f aca="false">J33*1.28</f>
        <v>2.86989665926092</v>
      </c>
      <c r="M33" s="2" t="n">
        <f aca="false">300/F33</f>
        <v>0.611483663194798</v>
      </c>
      <c r="O33" s="9" t="n">
        <f aca="false">M33+J33+H33</f>
        <v>31.0535904282424</v>
      </c>
      <c r="P33" s="9" t="n">
        <f aca="false">N33+M33+K33+I33</f>
        <v>39.8593803224557</v>
      </c>
      <c r="Q33" s="1" t="s">
        <v>230</v>
      </c>
      <c r="S33" s="1" t="n">
        <f aca="false">S23*9468/97.62</f>
        <v>2.17611304261738</v>
      </c>
    </row>
    <row r="34" customFormat="false" ht="15" hidden="false" customHeight="false" outlineLevel="0" collapsed="false">
      <c r="A34" s="6" t="s">
        <v>250</v>
      </c>
      <c r="B34" s="6" t="s">
        <v>251</v>
      </c>
      <c r="C34" s="7" t="s">
        <v>252</v>
      </c>
      <c r="D34" s="7" t="n">
        <f aca="false">ROUNDUP(F34/E34,0)</f>
        <v>44</v>
      </c>
      <c r="E34" s="8" t="n">
        <v>11</v>
      </c>
      <c r="F34" s="7" t="n">
        <v>477.23</v>
      </c>
      <c r="G34" s="8" t="s">
        <v>17</v>
      </c>
      <c r="H34" s="2" t="n">
        <v>28.2</v>
      </c>
      <c r="I34" s="2" t="n">
        <f aca="false">H34*1.29</f>
        <v>36.378</v>
      </c>
      <c r="J34" s="2" t="n">
        <f aca="false">1100/F34</f>
        <v>2.30496825430086</v>
      </c>
      <c r="K34" s="2" t="n">
        <f aca="false">J34*1.28</f>
        <v>2.9503593655051</v>
      </c>
      <c r="M34" s="2" t="n">
        <f aca="false">300/F34</f>
        <v>0.628627705718417</v>
      </c>
      <c r="O34" s="9" t="n">
        <f aca="false">M34+J34+H34</f>
        <v>31.1335959600193</v>
      </c>
      <c r="P34" s="9" t="n">
        <f aca="false">N34+M34+K34+I34</f>
        <v>39.9569870712235</v>
      </c>
      <c r="Q34" s="1" t="s">
        <v>230</v>
      </c>
    </row>
    <row r="35" customFormat="false" ht="15" hidden="false" customHeight="false" outlineLevel="0" collapsed="false">
      <c r="A35" s="6" t="s">
        <v>250</v>
      </c>
      <c r="B35" s="6" t="s">
        <v>251</v>
      </c>
      <c r="C35" s="7" t="s">
        <v>252</v>
      </c>
      <c r="D35" s="7" t="n">
        <f aca="false">ROUNDUP(F35/E35,0)</f>
        <v>41</v>
      </c>
      <c r="E35" s="8" t="n">
        <v>3</v>
      </c>
      <c r="F35" s="7" t="n">
        <v>122.81</v>
      </c>
      <c r="G35" s="8" t="s">
        <v>17</v>
      </c>
      <c r="H35" s="2" t="n">
        <v>42.3</v>
      </c>
      <c r="I35" s="2" t="n">
        <f aca="false">H35*1.31</f>
        <v>55.413</v>
      </c>
      <c r="J35" s="2" t="n">
        <v>2.12</v>
      </c>
      <c r="K35" s="2" t="n">
        <f aca="false">J35*1.29</f>
        <v>2.7348</v>
      </c>
      <c r="M35" s="2" t="n">
        <v>0.48</v>
      </c>
      <c r="O35" s="9" t="n">
        <f aca="false">M35+J35+H35</f>
        <v>44.9</v>
      </c>
      <c r="P35" s="9" t="n">
        <f aca="false">N35+M35+K35+I35</f>
        <v>58.6278</v>
      </c>
      <c r="Q35" s="1" t="s">
        <v>55</v>
      </c>
    </row>
    <row r="36" customFormat="false" ht="15" hidden="false" customHeight="false" outlineLevel="0" collapsed="false">
      <c r="A36" s="6" t="s">
        <v>250</v>
      </c>
      <c r="B36" s="6" t="s">
        <v>251</v>
      </c>
      <c r="C36" s="7" t="s">
        <v>252</v>
      </c>
      <c r="D36" s="7" t="n">
        <f aca="false">ROUNDUP(F36/E36,0)</f>
        <v>36</v>
      </c>
      <c r="E36" s="8" t="n">
        <v>4</v>
      </c>
      <c r="F36" s="7" t="n">
        <v>142.52</v>
      </c>
      <c r="G36" s="8" t="s">
        <v>17</v>
      </c>
      <c r="H36" s="2" t="n">
        <v>42.3</v>
      </c>
      <c r="I36" s="2" t="n">
        <f aca="false">H36*1.31</f>
        <v>55.413</v>
      </c>
      <c r="J36" s="2" t="n">
        <v>2.62</v>
      </c>
      <c r="K36" s="2" t="n">
        <f aca="false">J36*1.28</f>
        <v>3.3536</v>
      </c>
      <c r="M36" s="2" t="n">
        <f aca="false">300/570.33</f>
        <v>0.526011256640892</v>
      </c>
      <c r="O36" s="9" t="n">
        <f aca="false">M36+J36+H36</f>
        <v>45.4460112566409</v>
      </c>
      <c r="P36" s="9" t="n">
        <f aca="false">N36+M36+K36+I36</f>
        <v>59.2926112566409</v>
      </c>
      <c r="Q36" s="1" t="s">
        <v>55</v>
      </c>
    </row>
    <row r="37" customFormat="false" ht="15" hidden="false" customHeight="false" outlineLevel="0" collapsed="false">
      <c r="A37" s="6" t="s">
        <v>253</v>
      </c>
      <c r="B37" s="6" t="s">
        <v>254</v>
      </c>
      <c r="C37" s="7" t="s">
        <v>255</v>
      </c>
      <c r="D37" s="7" t="n">
        <f aca="false">ROUNDUP(F37/E37,0)</f>
        <v>42</v>
      </c>
      <c r="E37" s="8" t="n">
        <v>11</v>
      </c>
      <c r="F37" s="7" t="n">
        <v>452.08</v>
      </c>
      <c r="G37" s="8" t="s">
        <v>17</v>
      </c>
      <c r="H37" s="2" t="n">
        <v>29.1</v>
      </c>
      <c r="I37" s="2" t="n">
        <f aca="false">H37*1.29</f>
        <v>37.539</v>
      </c>
      <c r="J37" s="2" t="n">
        <f aca="false">1100/F37</f>
        <v>2.43319766413024</v>
      </c>
      <c r="K37" s="2" t="n">
        <f aca="false">J37*1.28</f>
        <v>3.11449301008671</v>
      </c>
      <c r="M37" s="2" t="n">
        <f aca="false">300/F37</f>
        <v>0.663599362944612</v>
      </c>
      <c r="O37" s="9" t="n">
        <f aca="false">M37+J37+H37</f>
        <v>32.1967970270749</v>
      </c>
      <c r="P37" s="9" t="n">
        <f aca="false">N37+M37+K37+I37</f>
        <v>41.3170923730313</v>
      </c>
      <c r="Q37" s="1" t="s">
        <v>230</v>
      </c>
    </row>
    <row r="38" customFormat="false" ht="15" hidden="false" customHeight="false" outlineLevel="0" collapsed="false">
      <c r="A38" s="6" t="s">
        <v>253</v>
      </c>
      <c r="B38" s="6" t="s">
        <v>254</v>
      </c>
      <c r="C38" s="7" t="s">
        <v>255</v>
      </c>
      <c r="D38" s="7" t="n">
        <f aca="false">ROUNDUP(F38/E38,0)</f>
        <v>42</v>
      </c>
      <c r="E38" s="8" t="n">
        <v>6</v>
      </c>
      <c r="F38" s="7" t="n">
        <v>248.01</v>
      </c>
      <c r="G38" s="8" t="s">
        <v>17</v>
      </c>
      <c r="H38" s="2" t="n">
        <v>29.1</v>
      </c>
      <c r="I38" s="2" t="n">
        <f aca="false">H38*1.29</f>
        <v>37.539</v>
      </c>
      <c r="J38" s="2" t="n">
        <f aca="false">1100/457.26</f>
        <v>2.40563355640117</v>
      </c>
      <c r="K38" s="2" t="n">
        <f aca="false">J38*1.28</f>
        <v>3.0792109521935</v>
      </c>
      <c r="M38" s="2" t="n">
        <f aca="false">300/F38</f>
        <v>1.20962864400629</v>
      </c>
      <c r="O38" s="9" t="n">
        <f aca="false">M38+J38+H38</f>
        <v>32.7152622004075</v>
      </c>
      <c r="P38" s="9" t="n">
        <f aca="false">N38+M38+K38+I38</f>
        <v>41.8278395961998</v>
      </c>
      <c r="Q38" s="1" t="s">
        <v>230</v>
      </c>
    </row>
    <row r="39" customFormat="false" ht="15" hidden="false" customHeight="false" outlineLevel="0" collapsed="false">
      <c r="A39" s="6" t="s">
        <v>253</v>
      </c>
      <c r="B39" s="6" t="s">
        <v>254</v>
      </c>
      <c r="C39" s="7" t="s">
        <v>255</v>
      </c>
      <c r="D39" s="7" t="n">
        <f aca="false">ROUNDUP(F39/E39,0)</f>
        <v>40</v>
      </c>
      <c r="E39" s="8" t="n">
        <v>12</v>
      </c>
      <c r="F39" s="7" t="n">
        <v>475.71</v>
      </c>
      <c r="G39" s="8" t="s">
        <v>17</v>
      </c>
      <c r="H39" s="2" t="n">
        <v>43.65</v>
      </c>
      <c r="I39" s="2" t="n">
        <f aca="false">H39*1.29</f>
        <v>56.3085</v>
      </c>
      <c r="J39" s="2" t="n">
        <f aca="false">650/F39</f>
        <v>1.36637867608417</v>
      </c>
      <c r="K39" s="2" t="n">
        <f aca="false">J39*1.28</f>
        <v>1.74896470538774</v>
      </c>
      <c r="M39" s="2" t="n">
        <f aca="false">300/F39</f>
        <v>0.630636312038847</v>
      </c>
      <c r="O39" s="9" t="n">
        <f aca="false">M39+J39+H39</f>
        <v>45.647014988123</v>
      </c>
      <c r="P39" s="9" t="n">
        <f aca="false">N39+M39+K39+I39</f>
        <v>58.6881010174266</v>
      </c>
      <c r="Q39" s="1" t="s">
        <v>55</v>
      </c>
    </row>
    <row r="40" customFormat="false" ht="15" hidden="false" customHeight="false" outlineLevel="0" collapsed="false">
      <c r="A40" s="6" t="s">
        <v>253</v>
      </c>
      <c r="B40" s="6" t="s">
        <v>254</v>
      </c>
      <c r="C40" s="7" t="s">
        <v>255</v>
      </c>
      <c r="D40" s="7" t="n">
        <f aca="false">ROUNDUP(F40/E40,0)</f>
        <v>42</v>
      </c>
      <c r="E40" s="8" t="n">
        <v>8</v>
      </c>
      <c r="F40" s="7" t="n">
        <v>329.28</v>
      </c>
      <c r="G40" s="8" t="s">
        <v>17</v>
      </c>
      <c r="H40" s="2" t="n">
        <v>43.65</v>
      </c>
      <c r="I40" s="2" t="n">
        <f aca="false">H40*1.27</f>
        <v>55.4355</v>
      </c>
      <c r="J40" s="2" t="n">
        <v>0.93</v>
      </c>
      <c r="K40" s="2" t="n">
        <f aca="false">J40*1.26</f>
        <v>1.1718</v>
      </c>
      <c r="M40" s="2" t="n">
        <v>0.58</v>
      </c>
      <c r="O40" s="9" t="n">
        <f aca="false">M40+J40+H40</f>
        <v>45.16</v>
      </c>
      <c r="P40" s="9" t="n">
        <f aca="false">N40+M40+K40+I40</f>
        <v>57.1873</v>
      </c>
      <c r="Q40" s="1" t="s">
        <v>55</v>
      </c>
    </row>
    <row r="41" customFormat="false" ht="15" hidden="false" customHeight="false" outlineLevel="0" collapsed="false">
      <c r="A41" s="6" t="s">
        <v>253</v>
      </c>
      <c r="B41" s="6" t="s">
        <v>254</v>
      </c>
      <c r="C41" s="7" t="s">
        <v>255</v>
      </c>
      <c r="D41" s="7" t="n">
        <f aca="false">ROUNDUP(F41/E41,0)</f>
        <v>40</v>
      </c>
      <c r="E41" s="8" t="n">
        <v>12</v>
      </c>
      <c r="F41" s="7" t="n">
        <v>474.84</v>
      </c>
      <c r="G41" s="8" t="s">
        <v>17</v>
      </c>
      <c r="H41" s="2" t="n">
        <v>43.65</v>
      </c>
      <c r="I41" s="2" t="n">
        <f aca="false">H41*1.33</f>
        <v>58.0545</v>
      </c>
      <c r="J41" s="2" t="n">
        <f aca="false">1050/F41</f>
        <v>2.21127116502401</v>
      </c>
      <c r="K41" s="2" t="n">
        <f aca="false">J41*1.31</f>
        <v>2.89676522618145</v>
      </c>
      <c r="M41" s="2" t="n">
        <f aca="false">300/F41</f>
        <v>0.631791761435431</v>
      </c>
      <c r="O41" s="9" t="n">
        <f aca="false">M41+J41+H41</f>
        <v>46.4930629264594</v>
      </c>
      <c r="P41" s="9" t="n">
        <f aca="false">N41+M41+K41+I41</f>
        <v>61.5830569876169</v>
      </c>
      <c r="Q41" s="1" t="s">
        <v>55</v>
      </c>
    </row>
    <row r="42" customFormat="false" ht="15" hidden="false" customHeight="false" outlineLevel="0" collapsed="false">
      <c r="A42" s="6" t="s">
        <v>253</v>
      </c>
      <c r="B42" s="6" t="s">
        <v>254</v>
      </c>
      <c r="C42" s="7" t="s">
        <v>255</v>
      </c>
      <c r="D42" s="7" t="n">
        <f aca="false">ROUNDUP(F42/E42,0)</f>
        <v>43</v>
      </c>
      <c r="E42" s="8" t="n">
        <v>11</v>
      </c>
      <c r="F42" s="7" t="n">
        <v>471.9</v>
      </c>
      <c r="G42" s="8" t="s">
        <v>17</v>
      </c>
      <c r="H42" s="2" t="n">
        <v>43.65</v>
      </c>
      <c r="I42" s="2" t="n">
        <f aca="false">H42*1.33</f>
        <v>58.0545</v>
      </c>
      <c r="J42" s="2" t="n">
        <f aca="false">1050/F42</f>
        <v>2.22504767959313</v>
      </c>
      <c r="K42" s="2" t="n">
        <f aca="false">J42*1.31</f>
        <v>2.91481246026701</v>
      </c>
      <c r="M42" s="2" t="n">
        <f aca="false">300/F42</f>
        <v>0.635727908455181</v>
      </c>
      <c r="O42" s="9" t="n">
        <f aca="false">M42+J42+H42</f>
        <v>46.5107755880483</v>
      </c>
      <c r="P42" s="9" t="n">
        <f aca="false">N42+M42+K42+I42</f>
        <v>61.6050403687222</v>
      </c>
      <c r="Q42" s="1" t="s">
        <v>55</v>
      </c>
    </row>
    <row r="43" customFormat="false" ht="15" hidden="false" customHeight="false" outlineLevel="0" collapsed="false">
      <c r="A43" s="6" t="s">
        <v>253</v>
      </c>
      <c r="B43" s="6" t="s">
        <v>254</v>
      </c>
      <c r="C43" s="7" t="s">
        <v>255</v>
      </c>
      <c r="D43" s="7" t="n">
        <f aca="false">ROUNDUP(F43/E43,0)</f>
        <v>47</v>
      </c>
      <c r="E43" s="8" t="n">
        <v>1</v>
      </c>
      <c r="F43" s="7" t="n">
        <v>46.32</v>
      </c>
      <c r="G43" s="8" t="s">
        <v>17</v>
      </c>
      <c r="H43" s="2" t="n">
        <v>43.65</v>
      </c>
      <c r="I43" s="2" t="n">
        <f aca="false">H43*1.31</f>
        <v>57.1815</v>
      </c>
      <c r="J43" s="2" t="n">
        <v>2.17</v>
      </c>
      <c r="K43" s="2" t="n">
        <f aca="false">J43*1.29</f>
        <v>2.7993</v>
      </c>
      <c r="M43" s="2" t="n">
        <v>0.48</v>
      </c>
      <c r="O43" s="9" t="n">
        <f aca="false">M43+J43+H43</f>
        <v>46.3</v>
      </c>
      <c r="P43" s="9" t="n">
        <f aca="false">N43+M43+K43+I43</f>
        <v>60.4608</v>
      </c>
      <c r="Q43" s="1" t="s">
        <v>55</v>
      </c>
      <c r="S43" s="1" t="n">
        <v>139.64</v>
      </c>
    </row>
    <row r="44" customFormat="false" ht="13.8" hidden="false" customHeight="false" outlineLevel="0" collapsed="false">
      <c r="A44" s="6" t="s">
        <v>256</v>
      </c>
      <c r="B44" s="6" t="s">
        <v>257</v>
      </c>
      <c r="C44" s="7" t="s">
        <v>255</v>
      </c>
      <c r="D44" s="7" t="n">
        <f aca="false">ROUNDUP(F44/E44,0)</f>
        <v>33</v>
      </c>
      <c r="E44" s="8" t="n">
        <v>3</v>
      </c>
      <c r="F44" s="7" t="n">
        <v>97.62</v>
      </c>
      <c r="G44" s="8" t="s">
        <v>17</v>
      </c>
      <c r="H44" s="2" t="n">
        <v>43.65</v>
      </c>
      <c r="I44" s="2" t="n">
        <f aca="false">H44*1.31</f>
        <v>57.1815</v>
      </c>
      <c r="J44" s="2" t="n">
        <v>2.17</v>
      </c>
      <c r="K44" s="2" t="n">
        <f aca="false">J44*1.28</f>
        <v>2.7776</v>
      </c>
      <c r="M44" s="2" t="n">
        <f aca="false">300/570.33</f>
        <v>0.526011256640892</v>
      </c>
      <c r="O44" s="9" t="n">
        <f aca="false">M44+J44+H44</f>
        <v>46.3460112566409</v>
      </c>
      <c r="P44" s="9" t="n">
        <f aca="false">N44+M44+K44+I44</f>
        <v>60.4851112566409</v>
      </c>
      <c r="Q44" s="1" t="s">
        <v>55</v>
      </c>
      <c r="S44" s="1" t="n">
        <v>684.04</v>
      </c>
    </row>
    <row r="45" customFormat="false" ht="15" hidden="false" customHeight="false" outlineLevel="0" collapsed="false">
      <c r="A45" s="6" t="s">
        <v>258</v>
      </c>
      <c r="B45" s="6" t="s">
        <v>259</v>
      </c>
      <c r="C45" s="7" t="s">
        <v>260</v>
      </c>
      <c r="D45" s="7" t="n">
        <f aca="false">ROUNDUP(F45/E45,0)</f>
        <v>47</v>
      </c>
      <c r="E45" s="8" t="n">
        <v>5</v>
      </c>
      <c r="F45" s="7" t="n">
        <f aca="false">208.65-8.08-8.3+40.53</f>
        <v>232.8</v>
      </c>
      <c r="G45" s="8" t="s">
        <v>17</v>
      </c>
      <c r="H45" s="2" t="n">
        <v>32.7</v>
      </c>
      <c r="I45" s="2" t="n">
        <v>42.18</v>
      </c>
      <c r="J45" s="2" t="n">
        <v>2.41</v>
      </c>
      <c r="K45" s="2" t="n">
        <f aca="false">J45*1.28</f>
        <v>3.0848</v>
      </c>
      <c r="M45" s="2" t="n">
        <v>1.44</v>
      </c>
      <c r="O45" s="9" t="n">
        <f aca="false">M45+J45+H45</f>
        <v>36.55</v>
      </c>
      <c r="P45" s="9" t="n">
        <f aca="false">N45+M45+K45+I45</f>
        <v>46.7048</v>
      </c>
      <c r="Q45" s="1" t="s">
        <v>230</v>
      </c>
      <c r="S45" s="1" t="n">
        <v>314.08</v>
      </c>
    </row>
    <row r="46" customFormat="false" ht="15" hidden="false" customHeight="false" outlineLevel="0" collapsed="false">
      <c r="A46" s="6" t="s">
        <v>258</v>
      </c>
      <c r="B46" s="6" t="s">
        <v>259</v>
      </c>
      <c r="C46" s="7" t="s">
        <v>260</v>
      </c>
      <c r="D46" s="7" t="n">
        <f aca="false">ROUNDUP(F46/E46,0)</f>
        <v>40</v>
      </c>
      <c r="E46" s="8" t="n">
        <v>11</v>
      </c>
      <c r="F46" s="7" t="n">
        <v>433.65</v>
      </c>
      <c r="G46" s="8" t="s">
        <v>17</v>
      </c>
      <c r="H46" s="2" t="n">
        <v>32.7</v>
      </c>
      <c r="I46" s="2" t="n">
        <f aca="false">H46*1.29</f>
        <v>42.183</v>
      </c>
      <c r="J46" s="2" t="n">
        <f aca="false">1100/F46</f>
        <v>2.53660786348438</v>
      </c>
      <c r="K46" s="2" t="n">
        <f aca="false">J46*1.28</f>
        <v>3.24685806526</v>
      </c>
      <c r="M46" s="2" t="n">
        <f aca="false">300/F46</f>
        <v>0.691802144586648</v>
      </c>
      <c r="O46" s="9" t="n">
        <f aca="false">M46+J46+H46</f>
        <v>35.928410008071</v>
      </c>
      <c r="P46" s="9" t="n">
        <f aca="false">N46+M46+K46+I46</f>
        <v>46.1216602098467</v>
      </c>
      <c r="Q46" s="1" t="s">
        <v>230</v>
      </c>
    </row>
    <row r="47" customFormat="false" ht="15" hidden="false" customHeight="false" outlineLevel="0" collapsed="false">
      <c r="A47" s="6" t="s">
        <v>258</v>
      </c>
      <c r="B47" s="6" t="s">
        <v>259</v>
      </c>
      <c r="C47" s="7" t="s">
        <v>260</v>
      </c>
      <c r="D47" s="7" t="n">
        <f aca="false">ROUNDUP(F47/E47,0)</f>
        <v>40</v>
      </c>
      <c r="E47" s="8" t="n">
        <v>11</v>
      </c>
      <c r="F47" s="7" t="n">
        <v>433.27</v>
      </c>
      <c r="G47" s="8" t="s">
        <v>17</v>
      </c>
      <c r="H47" s="2" t="n">
        <v>32.7</v>
      </c>
      <c r="I47" s="2" t="n">
        <f aca="false">H47*1.29</f>
        <v>42.183</v>
      </c>
      <c r="J47" s="2" t="n">
        <f aca="false">1100/F47</f>
        <v>2.53883259861057</v>
      </c>
      <c r="K47" s="2" t="n">
        <f aca="false">J47*1.28</f>
        <v>3.24970572622152</v>
      </c>
      <c r="M47" s="2" t="n">
        <f aca="false">300/F47</f>
        <v>0.692408890530154</v>
      </c>
      <c r="O47" s="9" t="n">
        <f aca="false">M47+J47+H47</f>
        <v>35.9312414891407</v>
      </c>
      <c r="P47" s="9" t="n">
        <f aca="false">N47+M47+K47+I47</f>
        <v>46.1251146167517</v>
      </c>
      <c r="Q47" s="1" t="s">
        <v>230</v>
      </c>
    </row>
    <row r="48" customFormat="false" ht="15" hidden="false" customHeight="false" outlineLevel="0" collapsed="false">
      <c r="A48" s="6" t="s">
        <v>258</v>
      </c>
      <c r="B48" s="6" t="s">
        <v>259</v>
      </c>
      <c r="C48" s="7" t="s">
        <v>260</v>
      </c>
      <c r="D48" s="7" t="n">
        <f aca="false">ROUNDUP(F48/E48,0)</f>
        <v>39</v>
      </c>
      <c r="E48" s="8" t="n">
        <v>6</v>
      </c>
      <c r="F48" s="7" t="n">
        <v>230.72</v>
      </c>
      <c r="G48" s="8" t="s">
        <v>17</v>
      </c>
      <c r="H48" s="2" t="n">
        <v>32.7</v>
      </c>
      <c r="I48" s="2" t="n">
        <f aca="false">H48*1.29</f>
        <v>42.183</v>
      </c>
      <c r="J48" s="2" t="n">
        <f aca="false">1100/46839*25148/230.72</f>
        <v>2.55978375951214</v>
      </c>
      <c r="K48" s="2" t="n">
        <f aca="false">J48*1.28</f>
        <v>3.27652321217554</v>
      </c>
      <c r="M48" s="2" t="n">
        <f aca="false">300/485.02</f>
        <v>0.618531194589914</v>
      </c>
      <c r="O48" s="9" t="n">
        <f aca="false">M48+J48+H48</f>
        <v>35.8783149541021</v>
      </c>
      <c r="P48" s="9" t="n">
        <f aca="false">N48+M48+K48+I48</f>
        <v>46.0780544067655</v>
      </c>
      <c r="Q48" s="1" t="s">
        <v>230</v>
      </c>
    </row>
    <row r="49" customFormat="false" ht="15" hidden="false" customHeight="false" outlineLevel="0" collapsed="false">
      <c r="A49" s="6" t="s">
        <v>261</v>
      </c>
      <c r="B49" s="6" t="s">
        <v>262</v>
      </c>
      <c r="C49" s="7" t="s">
        <v>150</v>
      </c>
      <c r="D49" s="7" t="n">
        <f aca="false">ROUNDUP(F49/E49,0)</f>
        <v>24</v>
      </c>
      <c r="E49" s="8" t="n">
        <v>2</v>
      </c>
      <c r="F49" s="7" t="n">
        <f aca="false">173.9-126.5</f>
        <v>47.4</v>
      </c>
      <c r="G49" s="8" t="s">
        <v>17</v>
      </c>
      <c r="H49" s="2" t="n">
        <v>78.14</v>
      </c>
      <c r="I49" s="2" t="n">
        <v>102.36</v>
      </c>
      <c r="J49" s="2" t="n">
        <v>7.48</v>
      </c>
      <c r="K49" s="2" t="n">
        <v>9.57</v>
      </c>
      <c r="M49" s="2" t="n">
        <v>1.73</v>
      </c>
      <c r="O49" s="9" t="n">
        <f aca="false">M49+J49+H49</f>
        <v>87.35</v>
      </c>
      <c r="P49" s="9" t="n">
        <f aca="false">N49+M49+K49+I49</f>
        <v>113.66</v>
      </c>
      <c r="Q49" s="1" t="s">
        <v>263</v>
      </c>
      <c r="S49" s="1" t="n">
        <f aca="false">164.1-114.39</f>
        <v>49.71</v>
      </c>
    </row>
    <row r="50" customFormat="false" ht="15" hidden="false" customHeight="false" outlineLevel="0" collapsed="false">
      <c r="A50" s="6" t="s">
        <v>264</v>
      </c>
      <c r="B50" s="6" t="s">
        <v>265</v>
      </c>
      <c r="C50" s="7" t="s">
        <v>266</v>
      </c>
      <c r="D50" s="7" t="n">
        <f aca="false">ROUNDUP(F50/E50,0)</f>
        <v>42</v>
      </c>
      <c r="E50" s="8" t="n">
        <v>3</v>
      </c>
      <c r="F50" s="7" t="n">
        <v>125.1</v>
      </c>
      <c r="G50" s="8" t="s">
        <v>17</v>
      </c>
      <c r="H50" s="2" t="n">
        <v>113.05</v>
      </c>
      <c r="I50" s="2" t="n">
        <f aca="false">H50*1.31</f>
        <v>148.0955</v>
      </c>
      <c r="J50" s="2" t="n">
        <v>9.84</v>
      </c>
      <c r="K50" s="2" t="n">
        <f aca="false">J50*1.28</f>
        <v>12.5952</v>
      </c>
      <c r="M50" s="2" t="n">
        <f aca="false">300/F50</f>
        <v>2.39808153477218</v>
      </c>
      <c r="O50" s="9" t="n">
        <f aca="false">M50+J50+H50</f>
        <v>125.288081534772</v>
      </c>
      <c r="P50" s="9" t="n">
        <f aca="false">N50+M50+K50+I50</f>
        <v>163.088781534772</v>
      </c>
      <c r="Q50" s="1" t="s">
        <v>263</v>
      </c>
    </row>
    <row r="51" customFormat="false" ht="15" hidden="false" customHeight="false" outlineLevel="0" collapsed="false">
      <c r="A51" s="6" t="s">
        <v>264</v>
      </c>
      <c r="B51" s="6" t="s">
        <v>265</v>
      </c>
      <c r="C51" s="7" t="s">
        <v>266</v>
      </c>
      <c r="D51" s="7" t="n">
        <f aca="false">ROUNDUP(F51/E51,0)</f>
        <v>42</v>
      </c>
      <c r="E51" s="8" t="n">
        <v>1</v>
      </c>
      <c r="F51" s="7" t="n">
        <v>41.8</v>
      </c>
      <c r="G51" s="8" t="s">
        <v>17</v>
      </c>
      <c r="H51" s="2" t="n">
        <v>113.05</v>
      </c>
      <c r="I51" s="2" t="n">
        <f aca="false">H51*1.31</f>
        <v>148.0955</v>
      </c>
      <c r="J51" s="2" t="n">
        <v>9.85</v>
      </c>
      <c r="K51" s="2" t="n">
        <f aca="false">J51*1.28</f>
        <v>12.608</v>
      </c>
      <c r="M51" s="2" t="n">
        <v>2.19</v>
      </c>
      <c r="O51" s="9" t="n">
        <f aca="false">M51+J51+H51</f>
        <v>125.09</v>
      </c>
      <c r="P51" s="9" t="n">
        <f aca="false">N51+M51+K51+I51</f>
        <v>162.8935</v>
      </c>
      <c r="Q51" s="1" t="s">
        <v>263</v>
      </c>
    </row>
    <row r="52" customFormat="false" ht="15" hidden="false" customHeight="false" outlineLevel="0" collapsed="false">
      <c r="A52" s="6" t="s">
        <v>264</v>
      </c>
      <c r="B52" s="6" t="s">
        <v>265</v>
      </c>
      <c r="C52" s="7" t="s">
        <v>266</v>
      </c>
      <c r="D52" s="7" t="n">
        <f aca="false">ROUNDUP(F52/E52,0)</f>
        <v>42</v>
      </c>
      <c r="E52" s="8" t="n">
        <v>3</v>
      </c>
      <c r="F52" s="7" t="n">
        <v>123.6</v>
      </c>
      <c r="G52" s="8" t="s">
        <v>17</v>
      </c>
      <c r="H52" s="2" t="n">
        <v>113.05</v>
      </c>
      <c r="I52" s="2" t="n">
        <v>148.1</v>
      </c>
      <c r="J52" s="2" t="n">
        <v>9.83</v>
      </c>
      <c r="K52" s="2" t="n">
        <f aca="false">J52*1.28</f>
        <v>12.5824</v>
      </c>
      <c r="M52" s="2" t="n">
        <f aca="false">300/113.05</f>
        <v>2.65369305616984</v>
      </c>
      <c r="O52" s="9" t="n">
        <f aca="false">M52+J52+H52</f>
        <v>125.53369305617</v>
      </c>
      <c r="P52" s="9" t="n">
        <f aca="false">N52+M52+K52+I52</f>
        <v>163.33609305617</v>
      </c>
      <c r="Q52" s="1" t="s">
        <v>263</v>
      </c>
    </row>
    <row r="53" customFormat="false" ht="15" hidden="false" customHeight="false" outlineLevel="0" collapsed="false">
      <c r="A53" s="6" t="s">
        <v>264</v>
      </c>
      <c r="B53" s="6" t="s">
        <v>265</v>
      </c>
      <c r="C53" s="7" t="s">
        <v>266</v>
      </c>
      <c r="D53" s="7" t="n">
        <f aca="false">ROUNDUP(F53/E53,0)</f>
        <v>43</v>
      </c>
      <c r="E53" s="8" t="n">
        <v>3</v>
      </c>
      <c r="F53" s="7" t="n">
        <v>127</v>
      </c>
      <c r="G53" s="8" t="s">
        <v>17</v>
      </c>
      <c r="H53" s="2" t="n">
        <v>113.05</v>
      </c>
      <c r="I53" s="2" t="n">
        <f aca="false">H53*1.31</f>
        <v>148.0955</v>
      </c>
      <c r="J53" s="2" t="n">
        <v>9.84</v>
      </c>
      <c r="K53" s="2" t="n">
        <f aca="false">J53*1.28</f>
        <v>12.5952</v>
      </c>
      <c r="M53" s="2" t="n">
        <f aca="false">300/F53</f>
        <v>2.36220472440945</v>
      </c>
      <c r="O53" s="9" t="n">
        <f aca="false">M53+J53+H53</f>
        <v>125.252204724409</v>
      </c>
      <c r="P53" s="9" t="n">
        <f aca="false">N53+M53+K53+I53</f>
        <v>163.052904724409</v>
      </c>
      <c r="Q53" s="1" t="s">
        <v>263</v>
      </c>
    </row>
    <row r="54" customFormat="false" ht="15" hidden="false" customHeight="false" outlineLevel="0" collapsed="false">
      <c r="A54" s="6" t="s">
        <v>267</v>
      </c>
      <c r="B54" s="6" t="s">
        <v>268</v>
      </c>
      <c r="C54" s="7" t="s">
        <v>269</v>
      </c>
      <c r="D54" s="7" t="n">
        <f aca="false">ROUNDUP(F54/E54,0)</f>
        <v>54</v>
      </c>
      <c r="E54" s="8" t="n">
        <v>2</v>
      </c>
      <c r="F54" s="7" t="n">
        <v>106.1</v>
      </c>
      <c r="G54" s="8" t="s">
        <v>17</v>
      </c>
      <c r="H54" s="2" t="n">
        <v>139.19</v>
      </c>
      <c r="I54" s="2" t="n">
        <v>182.34</v>
      </c>
      <c r="J54" s="2" t="n">
        <v>12.1</v>
      </c>
      <c r="K54" s="2" t="n">
        <v>15.49</v>
      </c>
      <c r="M54" s="2" t="n">
        <v>2.28</v>
      </c>
      <c r="O54" s="9" t="n">
        <f aca="false">M54+J54+H54</f>
        <v>153.57</v>
      </c>
      <c r="P54" s="9" t="n">
        <f aca="false">N54+M54+K54+I54</f>
        <v>200.11</v>
      </c>
      <c r="Q54" s="1" t="s">
        <v>263</v>
      </c>
    </row>
    <row r="55" customFormat="false" ht="15" hidden="false" customHeight="false" outlineLevel="0" collapsed="false">
      <c r="A55" s="6" t="s">
        <v>267</v>
      </c>
      <c r="B55" s="6" t="s">
        <v>268</v>
      </c>
      <c r="C55" s="7" t="s">
        <v>269</v>
      </c>
      <c r="D55" s="7" t="n">
        <f aca="false">ROUNDUP(F55/E55,0)</f>
        <v>58</v>
      </c>
      <c r="E55" s="8" t="n">
        <v>2</v>
      </c>
      <c r="F55" s="7" t="n">
        <v>114.7</v>
      </c>
      <c r="G55" s="8" t="s">
        <v>17</v>
      </c>
      <c r="H55" s="2" t="n">
        <v>139.19</v>
      </c>
      <c r="I55" s="2" t="n">
        <f aca="false">H55*1.31</f>
        <v>182.3389</v>
      </c>
      <c r="J55" s="2" t="n">
        <v>12.11</v>
      </c>
      <c r="K55" s="2" t="n">
        <f aca="false">J55*1.28</f>
        <v>15.5008</v>
      </c>
      <c r="M55" s="2" t="n">
        <f aca="false">300/F55</f>
        <v>2.615518744551</v>
      </c>
      <c r="O55" s="9" t="n">
        <v>153.57</v>
      </c>
      <c r="P55" s="9" t="n">
        <f aca="false">N55+M55+K55+I55</f>
        <v>200.455218744551</v>
      </c>
      <c r="Q55" s="1" t="s">
        <v>263</v>
      </c>
    </row>
    <row r="56" customFormat="false" ht="15" hidden="false" customHeight="false" outlineLevel="0" collapsed="false">
      <c r="A56" s="6" t="s">
        <v>267</v>
      </c>
      <c r="B56" s="6" t="s">
        <v>268</v>
      </c>
      <c r="C56" s="7" t="s">
        <v>269</v>
      </c>
      <c r="D56" s="7" t="n">
        <f aca="false">ROUNDUP(F56/E56,0)</f>
        <v>56</v>
      </c>
      <c r="E56" s="8" t="n">
        <v>2</v>
      </c>
      <c r="F56" s="7" t="n">
        <v>110.7</v>
      </c>
      <c r="G56" s="8" t="s">
        <v>17</v>
      </c>
      <c r="H56" s="2" t="n">
        <v>139.19</v>
      </c>
      <c r="I56" s="2" t="n">
        <f aca="false">H56*1.31</f>
        <v>182.3389</v>
      </c>
      <c r="J56" s="2" t="n">
        <v>12.12</v>
      </c>
      <c r="K56" s="2" t="n">
        <f aca="false">J56*1.28</f>
        <v>15.5136</v>
      </c>
      <c r="M56" s="2" t="n">
        <f aca="false">300/F56</f>
        <v>2.710027100271</v>
      </c>
      <c r="O56" s="9" t="n">
        <v>153.57</v>
      </c>
      <c r="P56" s="9" t="n">
        <f aca="false">N56+M56+K56+I56</f>
        <v>200.562527100271</v>
      </c>
      <c r="Q56" s="1" t="s">
        <v>263</v>
      </c>
    </row>
    <row r="57" customFormat="false" ht="15" hidden="false" customHeight="false" outlineLevel="0" collapsed="false">
      <c r="A57" s="6" t="s">
        <v>267</v>
      </c>
      <c r="B57" s="6" t="s">
        <v>268</v>
      </c>
      <c r="C57" s="7" t="s">
        <v>269</v>
      </c>
      <c r="D57" s="7" t="n">
        <f aca="false">ROUNDUP(F57/E57,0)</f>
        <v>56</v>
      </c>
      <c r="E57" s="8" t="n">
        <v>2</v>
      </c>
      <c r="F57" s="7" t="n">
        <v>111.4</v>
      </c>
      <c r="G57" s="8" t="s">
        <v>17</v>
      </c>
      <c r="H57" s="2" t="n">
        <v>139.19</v>
      </c>
      <c r="I57" s="2" t="n">
        <f aca="false">H57*1.31</f>
        <v>182.3389</v>
      </c>
      <c r="J57" s="2" t="n">
        <v>12.12</v>
      </c>
      <c r="K57" s="2" t="n">
        <f aca="false">J57*1.28</f>
        <v>15.5136</v>
      </c>
      <c r="M57" s="2" t="n">
        <f aca="false">300/F57</f>
        <v>2.69299820466786</v>
      </c>
      <c r="O57" s="9" t="n">
        <v>153.57</v>
      </c>
      <c r="P57" s="9" t="n">
        <f aca="false">N57+M57+K57+I57</f>
        <v>200.545498204668</v>
      </c>
      <c r="Q57" s="1" t="s">
        <v>263</v>
      </c>
    </row>
    <row r="58" customFormat="false" ht="15" hidden="false" customHeight="false" outlineLevel="0" collapsed="false">
      <c r="A58" s="6" t="s">
        <v>267</v>
      </c>
      <c r="B58" s="6" t="s">
        <v>268</v>
      </c>
      <c r="C58" s="7" t="s">
        <v>269</v>
      </c>
      <c r="D58" s="7" t="n">
        <f aca="false">ROUNDUP(F58/E58,0)</f>
        <v>56</v>
      </c>
      <c r="E58" s="8" t="n">
        <v>2</v>
      </c>
      <c r="F58" s="7" t="n">
        <v>112</v>
      </c>
      <c r="G58" s="8" t="s">
        <v>17</v>
      </c>
      <c r="H58" s="2" t="n">
        <v>139.19</v>
      </c>
      <c r="I58" s="2" t="n">
        <f aca="false">H58*1.31</f>
        <v>182.3389</v>
      </c>
      <c r="J58" s="2" t="n">
        <v>12.11</v>
      </c>
      <c r="K58" s="2" t="n">
        <f aca="false">J58*1.28</f>
        <v>15.5008</v>
      </c>
      <c r="M58" s="2" t="n">
        <f aca="false">300/F58</f>
        <v>2.67857142857143</v>
      </c>
      <c r="O58" s="9" t="n">
        <v>153.57</v>
      </c>
      <c r="P58" s="9" t="n">
        <f aca="false">N58+M58+K58+I58</f>
        <v>200.518271428571</v>
      </c>
      <c r="Q58" s="1" t="s">
        <v>263</v>
      </c>
    </row>
    <row r="59" customFormat="false" ht="15" hidden="false" customHeight="false" outlineLevel="0" collapsed="false">
      <c r="A59" s="6" t="s">
        <v>267</v>
      </c>
      <c r="B59" s="6" t="s">
        <v>268</v>
      </c>
      <c r="C59" s="7" t="s">
        <v>269</v>
      </c>
      <c r="D59" s="7" t="n">
        <f aca="false">ROUNDUP(F59/E59,0)</f>
        <v>56</v>
      </c>
      <c r="E59" s="8" t="n">
        <v>2</v>
      </c>
      <c r="F59" s="7" t="n">
        <v>110.8</v>
      </c>
      <c r="G59" s="8" t="s">
        <v>17</v>
      </c>
      <c r="H59" s="2" t="n">
        <v>139.19</v>
      </c>
      <c r="I59" s="2" t="n">
        <f aca="false">H59*1.31</f>
        <v>182.3389</v>
      </c>
      <c r="J59" s="2" t="n">
        <v>12.12</v>
      </c>
      <c r="K59" s="2" t="n">
        <f aca="false">J59*1.28</f>
        <v>15.5136</v>
      </c>
      <c r="M59" s="2" t="n">
        <f aca="false">300/F59</f>
        <v>2.70758122743682</v>
      </c>
      <c r="O59" s="9" t="n">
        <v>153.57</v>
      </c>
      <c r="P59" s="9" t="n">
        <f aca="false">N59+M59+K59+I59</f>
        <v>200.560081227437</v>
      </c>
      <c r="Q59" s="1" t="s">
        <v>263</v>
      </c>
    </row>
    <row r="60" customFormat="false" ht="15" hidden="false" customHeight="false" outlineLevel="0" collapsed="false">
      <c r="A60" s="6" t="s">
        <v>267</v>
      </c>
      <c r="B60" s="6" t="s">
        <v>268</v>
      </c>
      <c r="C60" s="7" t="s">
        <v>269</v>
      </c>
      <c r="D60" s="7" t="n">
        <f aca="false">ROUNDUP(F60/E60,0)</f>
        <v>56</v>
      </c>
      <c r="E60" s="8" t="n">
        <v>2</v>
      </c>
      <c r="F60" s="7" t="n">
        <v>110.8</v>
      </c>
      <c r="G60" s="8" t="s">
        <v>17</v>
      </c>
      <c r="H60" s="2" t="n">
        <v>139.19</v>
      </c>
      <c r="I60" s="2" t="n">
        <f aca="false">H60*1.31</f>
        <v>182.3389</v>
      </c>
      <c r="J60" s="2" t="n">
        <v>12.12</v>
      </c>
      <c r="K60" s="2" t="n">
        <f aca="false">J60*1.28</f>
        <v>15.5136</v>
      </c>
      <c r="M60" s="2" t="n">
        <f aca="false">300/F60</f>
        <v>2.70758122743682</v>
      </c>
      <c r="O60" s="9" t="n">
        <v>153.57</v>
      </c>
      <c r="P60" s="9" t="n">
        <f aca="false">N60+M60+K60+I60</f>
        <v>200.560081227437</v>
      </c>
      <c r="Q60" s="1" t="s">
        <v>263</v>
      </c>
    </row>
    <row r="61" customFormat="false" ht="15" hidden="false" customHeight="false" outlineLevel="0" collapsed="false">
      <c r="A61" s="6" t="s">
        <v>267</v>
      </c>
      <c r="B61" s="6" t="s">
        <v>268</v>
      </c>
      <c r="C61" s="7" t="s">
        <v>269</v>
      </c>
      <c r="D61" s="7" t="n">
        <f aca="false">ROUNDUP(F61/E61,0)</f>
        <v>58</v>
      </c>
      <c r="E61" s="8" t="n">
        <v>2</v>
      </c>
      <c r="F61" s="7" t="n">
        <v>114.1</v>
      </c>
      <c r="G61" s="8" t="s">
        <v>17</v>
      </c>
      <c r="H61" s="2" t="n">
        <v>139.19</v>
      </c>
      <c r="I61" s="2" t="n">
        <f aca="false">H61*1.31</f>
        <v>182.3389</v>
      </c>
      <c r="J61" s="2" t="n">
        <v>12.17</v>
      </c>
      <c r="K61" s="2" t="n">
        <f aca="false">J61*1.28</f>
        <v>15.5776</v>
      </c>
      <c r="M61" s="2" t="n">
        <f aca="false">300/F61</f>
        <v>2.62927256792287</v>
      </c>
      <c r="O61" s="9" t="n">
        <v>153.57</v>
      </c>
      <c r="P61" s="9" t="n">
        <f aca="false">N61+M61+K61+I61</f>
        <v>200.545772567923</v>
      </c>
      <c r="Q61" s="1" t="s">
        <v>263</v>
      </c>
    </row>
    <row r="62" customFormat="false" ht="15" hidden="false" customHeight="false" outlineLevel="0" collapsed="false">
      <c r="A62" s="6" t="s">
        <v>267</v>
      </c>
      <c r="B62" s="6" t="s">
        <v>268</v>
      </c>
      <c r="C62" s="7" t="s">
        <v>269</v>
      </c>
      <c r="D62" s="7" t="n">
        <f aca="false">ROUNDUP(F62/E62,0)</f>
        <v>56</v>
      </c>
      <c r="E62" s="8" t="n">
        <v>2</v>
      </c>
      <c r="F62" s="7" t="n">
        <v>111.7</v>
      </c>
      <c r="G62" s="8" t="s">
        <v>17</v>
      </c>
      <c r="H62" s="2" t="n">
        <v>139.19</v>
      </c>
      <c r="I62" s="2" t="n">
        <f aca="false">H62*1.31</f>
        <v>182.3389</v>
      </c>
      <c r="J62" s="2" t="n">
        <v>12.12</v>
      </c>
      <c r="K62" s="2" t="n">
        <f aca="false">J62*1.28</f>
        <v>15.5136</v>
      </c>
      <c r="M62" s="2" t="n">
        <f aca="false">300/F62</f>
        <v>2.6857654431513</v>
      </c>
      <c r="O62" s="9" t="n">
        <v>153.57</v>
      </c>
      <c r="P62" s="9" t="n">
        <f aca="false">N62+M62+K62+I62</f>
        <v>200.538265443151</v>
      </c>
      <c r="Q62" s="1" t="s">
        <v>263</v>
      </c>
    </row>
    <row r="63" customFormat="false" ht="15" hidden="false" customHeight="false" outlineLevel="0" collapsed="false">
      <c r="A63" s="6" t="s">
        <v>267</v>
      </c>
      <c r="B63" s="6" t="s">
        <v>268</v>
      </c>
      <c r="C63" s="7" t="s">
        <v>269</v>
      </c>
      <c r="D63" s="7" t="n">
        <f aca="false">ROUNDUP(F63/E63,0)</f>
        <v>54</v>
      </c>
      <c r="E63" s="8" t="n">
        <v>2</v>
      </c>
      <c r="F63" s="7" t="n">
        <v>107.7</v>
      </c>
      <c r="G63" s="8" t="s">
        <v>17</v>
      </c>
      <c r="H63" s="2" t="n">
        <v>139.19</v>
      </c>
      <c r="I63" s="2" t="n">
        <f aca="false">H63*1.31</f>
        <v>182.3389</v>
      </c>
      <c r="J63" s="2" t="n">
        <v>12.12</v>
      </c>
      <c r="K63" s="2" t="n">
        <f aca="false">J63*1.28</f>
        <v>15.5136</v>
      </c>
      <c r="M63" s="2" t="n">
        <f aca="false">300/F63</f>
        <v>2.78551532033426</v>
      </c>
      <c r="O63" s="9" t="n">
        <v>153.57</v>
      </c>
      <c r="P63" s="9" t="n">
        <f aca="false">N63+M63+K63+I63</f>
        <v>200.638015320334</v>
      </c>
      <c r="Q63" s="1" t="s">
        <v>263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3"/>
    <col collapsed="false" customWidth="true" hidden="false" outlineLevel="0" max="2" min="2" style="0" width="60.19"/>
    <col collapsed="false" customWidth="true" hidden="false" outlineLevel="0" max="3" min="3" style="1" width="10.91"/>
    <col collapsed="false" customWidth="true" hidden="false" outlineLevel="0" max="4" min="4" style="1" width="9.81"/>
    <col collapsed="false" customWidth="true" hidden="false" outlineLevel="0" max="5" min="5" style="1" width="25.36"/>
    <col collapsed="false" customWidth="true" hidden="false" outlineLevel="0" max="6" min="6" style="1" width="18.33"/>
    <col collapsed="false" customWidth="true" hidden="false" outlineLevel="0" max="8" min="7" style="1" width="1.1"/>
    <col collapsed="false" customWidth="true" hidden="false" outlineLevel="0" max="10" min="9" style="2" width="1.1"/>
    <col collapsed="false" customWidth="true" hidden="false" outlineLevel="0" max="11" min="11" style="2" width="18.63"/>
    <col collapsed="false" customWidth="true" hidden="false" outlineLevel="0" max="12" min="12" style="1" width="10.57"/>
    <col collapsed="false" customWidth="true" hidden="false" outlineLevel="0" max="13" min="13" style="1" width="7.94"/>
    <col collapsed="false" customWidth="true" hidden="false" outlineLevel="0" max="14" min="14" style="1" width="19.18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270</v>
      </c>
      <c r="I1" s="5" t="s">
        <v>7</v>
      </c>
      <c r="J1" s="5" t="s">
        <v>8</v>
      </c>
      <c r="K1" s="5" t="s">
        <v>12</v>
      </c>
      <c r="L1" s="4" t="s">
        <v>13</v>
      </c>
      <c r="M1" s="4" t="s">
        <v>271</v>
      </c>
      <c r="N1" s="4" t="s">
        <v>272</v>
      </c>
    </row>
    <row r="2" customFormat="false" ht="15" hidden="false" customHeight="false" outlineLevel="0" collapsed="false">
      <c r="A2" s="6" t="s">
        <v>153</v>
      </c>
      <c r="B2" s="6" t="s">
        <v>154</v>
      </c>
      <c r="C2" s="7" t="s">
        <v>273</v>
      </c>
      <c r="D2" s="7" t="n">
        <f aca="false">ROUNDUP(F2/E2,0)</f>
        <v>47</v>
      </c>
      <c r="E2" s="8" t="n">
        <v>9</v>
      </c>
      <c r="F2" s="7" t="n">
        <f aca="false">2216-1798.06</f>
        <v>417.94</v>
      </c>
      <c r="G2" s="8" t="s">
        <v>274</v>
      </c>
      <c r="H2" s="1" t="s">
        <v>275</v>
      </c>
      <c r="I2" s="2" t="n">
        <v>8.25</v>
      </c>
      <c r="J2" s="2" t="n">
        <v>8.25</v>
      </c>
      <c r="K2" s="9" t="n">
        <v>8.25</v>
      </c>
      <c r="L2" s="1" t="s">
        <v>276</v>
      </c>
    </row>
    <row r="3" customFormat="false" ht="15" hidden="false" customHeight="false" outlineLevel="0" collapsed="false">
      <c r="A3" s="6" t="s">
        <v>48</v>
      </c>
      <c r="B3" s="6" t="s">
        <v>49</v>
      </c>
      <c r="C3" s="7" t="s">
        <v>161</v>
      </c>
      <c r="D3" s="7" t="n">
        <f aca="false">ROUNDUP(F3/E3,0)</f>
        <v>45</v>
      </c>
      <c r="E3" s="8" t="n">
        <v>49</v>
      </c>
      <c r="F3" s="7" t="n">
        <v>2173.91</v>
      </c>
      <c r="G3" s="8" t="s">
        <v>274</v>
      </c>
      <c r="H3" s="1" t="s">
        <v>275</v>
      </c>
      <c r="I3" s="2" t="n">
        <v>12.39</v>
      </c>
      <c r="J3" s="2" t="n">
        <v>12.39</v>
      </c>
      <c r="K3" s="9" t="n">
        <v>12.39</v>
      </c>
      <c r="L3" s="1" t="s">
        <v>276</v>
      </c>
    </row>
    <row r="4" customFormat="false" ht="15" hidden="false" customHeight="false" outlineLevel="0" collapsed="false">
      <c r="A4" s="6" t="s">
        <v>48</v>
      </c>
      <c r="B4" s="6" t="s">
        <v>49</v>
      </c>
      <c r="C4" s="7" t="s">
        <v>277</v>
      </c>
      <c r="D4" s="7" t="n">
        <f aca="false">ROUNDUP(F4/E4,0)</f>
        <v>45</v>
      </c>
      <c r="E4" s="8" t="n">
        <v>13</v>
      </c>
      <c r="F4" s="7" t="n">
        <f aca="false">1359-782.6</f>
        <v>576.4</v>
      </c>
      <c r="G4" s="8" t="s">
        <v>274</v>
      </c>
      <c r="H4" s="1" t="s">
        <v>275</v>
      </c>
      <c r="I4" s="2" t="n">
        <v>12.46</v>
      </c>
      <c r="J4" s="2" t="n">
        <v>12.46</v>
      </c>
      <c r="K4" s="9" t="n">
        <v>12.46</v>
      </c>
      <c r="L4" s="1" t="s">
        <v>276</v>
      </c>
    </row>
    <row r="5" customFormat="false" ht="15" hidden="false" customHeight="false" outlineLevel="0" collapsed="false">
      <c r="A5" s="6" t="s">
        <v>278</v>
      </c>
      <c r="B5" s="6" t="s">
        <v>279</v>
      </c>
      <c r="C5" s="7" t="s">
        <v>280</v>
      </c>
      <c r="D5" s="7" t="n">
        <f aca="false">ROUNDUP(F5/E5,0)</f>
        <v>47</v>
      </c>
      <c r="E5" s="8" t="n">
        <v>42</v>
      </c>
      <c r="F5" s="7" t="n">
        <v>1935</v>
      </c>
      <c r="G5" s="8" t="s">
        <v>274</v>
      </c>
      <c r="H5" s="1" t="s">
        <v>275</v>
      </c>
      <c r="I5" s="2" t="n">
        <v>17.08</v>
      </c>
      <c r="J5" s="2" t="n">
        <v>17.08</v>
      </c>
      <c r="K5" s="9" t="n">
        <v>17.08</v>
      </c>
      <c r="L5" s="1" t="s">
        <v>276</v>
      </c>
    </row>
    <row r="6" customFormat="false" ht="15" hidden="false" customHeight="false" outlineLevel="0" collapsed="false">
      <c r="A6" s="6" t="s">
        <v>281</v>
      </c>
      <c r="B6" s="6" t="s">
        <v>282</v>
      </c>
      <c r="C6" s="7" t="s">
        <v>283</v>
      </c>
      <c r="D6" s="7" t="n">
        <f aca="false">ROUNDUP(F6/E6,0)</f>
        <v>43</v>
      </c>
      <c r="E6" s="8" t="n">
        <v>4</v>
      </c>
      <c r="F6" s="7" t="n">
        <v>172</v>
      </c>
      <c r="G6" s="8" t="s">
        <v>274</v>
      </c>
      <c r="H6" s="1" t="s">
        <v>275</v>
      </c>
      <c r="I6" s="2" t="n">
        <v>19.19</v>
      </c>
      <c r="J6" s="2" t="n">
        <v>19.19</v>
      </c>
      <c r="K6" s="9" t="n">
        <v>19.19</v>
      </c>
      <c r="L6" s="1" t="s">
        <v>276</v>
      </c>
    </row>
    <row r="7" customFormat="false" ht="15" hidden="false" customHeight="false" outlineLevel="0" collapsed="false">
      <c r="A7" s="6" t="s">
        <v>80</v>
      </c>
      <c r="B7" s="6" t="s">
        <v>81</v>
      </c>
      <c r="C7" s="7" t="s">
        <v>225</v>
      </c>
      <c r="D7" s="7" t="n">
        <f aca="false">ROUNDUP(F7/E7,0)</f>
        <v>45</v>
      </c>
      <c r="E7" s="8" t="n">
        <v>2</v>
      </c>
      <c r="F7" s="7" t="n">
        <f aca="false">1118-94-934.31</f>
        <v>89.6900000000001</v>
      </c>
      <c r="G7" s="8" t="s">
        <v>274</v>
      </c>
      <c r="H7" s="1" t="s">
        <v>275</v>
      </c>
      <c r="I7" s="2" t="n">
        <v>21.44</v>
      </c>
      <c r="J7" s="2" t="n">
        <v>21.44</v>
      </c>
      <c r="K7" s="9" t="n">
        <v>21.44</v>
      </c>
      <c r="L7" s="1" t="s">
        <v>276</v>
      </c>
    </row>
    <row r="8" customFormat="false" ht="15" hidden="false" customHeight="false" outlineLevel="0" collapsed="false">
      <c r="A8" s="6" t="s">
        <v>284</v>
      </c>
      <c r="B8" s="6" t="s">
        <v>285</v>
      </c>
      <c r="C8" s="7" t="s">
        <v>286</v>
      </c>
      <c r="D8" s="7" t="n">
        <f aca="false">ROUNDUP(F8/E8,0)</f>
        <v>46</v>
      </c>
      <c r="E8" s="8" t="n">
        <v>11</v>
      </c>
      <c r="F8" s="7" t="n">
        <f aca="false">1247-750</f>
        <v>497</v>
      </c>
      <c r="G8" s="8" t="s">
        <v>274</v>
      </c>
      <c r="H8" s="1" t="s">
        <v>275</v>
      </c>
      <c r="I8" s="2" t="n">
        <v>21.72</v>
      </c>
      <c r="J8" s="2" t="n">
        <v>21.72</v>
      </c>
      <c r="K8" s="9" t="n">
        <v>21.72</v>
      </c>
      <c r="L8" s="1" t="s">
        <v>276</v>
      </c>
    </row>
    <row r="9" customFormat="false" ht="15" hidden="false" customHeight="false" outlineLevel="0" collapsed="false">
      <c r="A9" s="6" t="s">
        <v>287</v>
      </c>
      <c r="B9" s="6" t="s">
        <v>288</v>
      </c>
      <c r="C9" s="7" t="s">
        <v>108</v>
      </c>
      <c r="D9" s="7" t="n">
        <f aca="false">ROUNDUP(F9/E9,0)</f>
        <v>46</v>
      </c>
      <c r="E9" s="8" t="n">
        <v>18</v>
      </c>
      <c r="F9" s="7" t="n">
        <v>817</v>
      </c>
      <c r="G9" s="8" t="s">
        <v>274</v>
      </c>
      <c r="H9" s="1" t="s">
        <v>275</v>
      </c>
      <c r="I9" s="2" t="n">
        <v>29.03</v>
      </c>
      <c r="J9" s="2" t="n">
        <v>29.03</v>
      </c>
      <c r="K9" s="9" t="n">
        <v>29.03</v>
      </c>
      <c r="L9" s="1" t="s">
        <v>276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7.85"/>
    <col collapsed="false" customWidth="true" hidden="false" outlineLevel="0" max="3" min="3" style="1" width="7.57"/>
    <col collapsed="false" customWidth="true" hidden="false" outlineLevel="0" max="4" min="4" style="1" width="7"/>
    <col collapsed="false" customWidth="true" hidden="false" outlineLevel="0" max="5" min="5" style="1" width="7.14"/>
    <col collapsed="false" customWidth="true" hidden="false" outlineLevel="0" max="6" min="6" style="1" width="13.14"/>
    <col collapsed="false" customWidth="true" hidden="false" outlineLevel="0" max="7" min="7" style="1" width="10.14"/>
    <col collapsed="false" customWidth="true" hidden="false" outlineLevel="0" max="8" min="8" style="1" width="12.28"/>
    <col collapsed="false" customWidth="true" hidden="false" outlineLevel="0" max="9" min="9" style="1" width="14.57"/>
    <col collapsed="false" customWidth="true" hidden="false" outlineLevel="0" max="10" min="10" style="1" width="19.28"/>
    <col collapsed="false" customWidth="true" hidden="false" outlineLevel="0" max="11" min="11" style="1" width="23.15"/>
    <col collapsed="false" customWidth="true" hidden="false" outlineLevel="0" max="12" min="12" style="1" width="10.57"/>
    <col collapsed="false" customWidth="true" hidden="false" outlineLevel="0" max="13" min="13" style="1" width="8.43"/>
    <col collapsed="false" customWidth="true" hidden="false" outlineLevel="0" max="14" min="14" style="1" width="11.71"/>
  </cols>
  <sheetData>
    <row r="1" customFormat="false" ht="15" hidden="false" customHeight="false" outlineLevel="0" collapsed="false">
      <c r="A1" s="3" t="s">
        <v>0</v>
      </c>
      <c r="B1" s="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171</v>
      </c>
      <c r="L1" s="15" t="s">
        <v>12</v>
      </c>
      <c r="M1" s="13" t="s">
        <v>13</v>
      </c>
      <c r="N1" s="13" t="s">
        <v>272</v>
      </c>
    </row>
    <row r="2" customFormat="false" ht="15" hidden="false" customHeight="false" outlineLevel="0" collapsed="false">
      <c r="C2" s="1" t="s">
        <v>289</v>
      </c>
      <c r="D2" s="1" t="n">
        <v>4</v>
      </c>
      <c r="E2" s="1" t="n">
        <f aca="false">122-61</f>
        <v>61</v>
      </c>
      <c r="F2" s="1" t="n">
        <v>210</v>
      </c>
      <c r="N2" s="1" t="s">
        <v>290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2021-04-07T17:54:19Z</dcterms:created>
  <dc:creator>Eli Herskovits</dc:creator>
  <dc:description/>
  <dc:language>en-IN</dc:language>
  <cp:lastModifiedBy/>
  <dcterms:modified xsi:type="dcterms:W3CDTF">2023-08-16T15:47:38Z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