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<sst xmlns="http://schemas.openxmlformats.org/spreadsheetml/2006/main" count="139" uniqueCount="110">
  <si>
    <t xml:space="preserve">Meats/kg</t>
  </si>
  <si>
    <t xml:space="preserve">Lidl</t>
  </si>
  <si>
    <t xml:space="preserve">Tesco</t>
  </si>
  <si>
    <t xml:space="preserve">Penny</t>
  </si>
  <si>
    <t xml:space="preserve">Real</t>
  </si>
  <si>
    <t xml:space="preserve">Coop</t>
  </si>
  <si>
    <t xml:space="preserve">Spar</t>
  </si>
  <si>
    <t xml:space="preserve">Auchan</t>
  </si>
  <si>
    <t xml:space="preserve">Aldi</t>
  </si>
  <si>
    <t xml:space="preserve">GoodsMarket</t>
  </si>
  <si>
    <t xml:space="preserve">notes</t>
  </si>
  <si>
    <t xml:space="preserve">c/HUF</t>
  </si>
  <si>
    <t xml:space="preserve">kJ/HUF</t>
  </si>
  <si>
    <t xml:space="preserve">Protein + fat cal/HUF</t>
  </si>
  <si>
    <t xml:space="preserve">Potassium mg/serving</t>
  </si>
  <si>
    <t xml:space="preserve">K/HUF</t>
  </si>
  <si>
    <t xml:space="preserve">kolbász</t>
  </si>
  <si>
    <t xml:space="preserve">grill sausages</t>
  </si>
  <si>
    <t xml:space="preserve">pork</t>
  </si>
  <si>
    <t xml:space="preserve">chicken breast</t>
  </si>
  <si>
    <t xml:space="preserve">bacon</t>
  </si>
  <si>
    <t xml:space="preserve">császár bacon</t>
  </si>
  <si>
    <t xml:space="preserve">red lentil</t>
  </si>
  <si>
    <t xml:space="preserve">n</t>
  </si>
  <si>
    <t xml:space="preserve">protein ital</t>
  </si>
  <si>
    <t xml:space="preserve">protein bar</t>
  </si>
  <si>
    <t xml:space="preserve">ham</t>
  </si>
  <si>
    <t xml:space="preserve">chicken thighs</t>
  </si>
  <si>
    <t xml:space="preserve">Fats/kg or l</t>
  </si>
  <si>
    <t xml:space="preserve">duck fat</t>
  </si>
  <si>
    <t xml:space="preserve">lard</t>
  </si>
  <si>
    <t xml:space="preserve">margarin</t>
  </si>
  <si>
    <t xml:space="preserve">olaj</t>
  </si>
  <si>
    <t xml:space="preserve">peanutbutter</t>
  </si>
  <si>
    <t xml:space="preserve">coconut flakes</t>
  </si>
  <si>
    <t xml:space="preserve">creamer liquid/each</t>
  </si>
  <si>
    <t xml:space="preserve">butter</t>
  </si>
  <si>
    <t xml:space="preserve">coconut zsír</t>
  </si>
  <si>
    <t xml:space="preserve">nincs</t>
  </si>
  <si>
    <t xml:space="preserve">tej milk 3,5%</t>
  </si>
  <si>
    <t xml:space="preserve">water/l</t>
  </si>
  <si>
    <t xml:space="preserve">tea/filter</t>
  </si>
  <si>
    <t xml:space="preserve">multivitamin</t>
  </si>
  <si>
    <t xml:space="preserve">coffee</t>
  </si>
  <si>
    <t xml:space="preserve">decaf</t>
  </si>
  <si>
    <t xml:space="preserve">-</t>
  </si>
  <si>
    <t xml:space="preserve"> </t>
  </si>
  <si>
    <t xml:space="preserve">veggies fresh/kg</t>
  </si>
  <si>
    <t xml:space="preserve">tomato</t>
  </si>
  <si>
    <t xml:space="preserve">capsicum</t>
  </si>
  <si>
    <t xml:space="preserve">corn</t>
  </si>
  <si>
    <t xml:space="preserve">cucumber</t>
  </si>
  <si>
    <t xml:space="preserve">carrot</t>
  </si>
  <si>
    <t xml:space="preserve">onion</t>
  </si>
  <si>
    <t xml:space="preserve">mushroom</t>
  </si>
  <si>
    <t xml:space="preserve">garlic</t>
  </si>
  <si>
    <t xml:space="preserve">zucchini</t>
  </si>
  <si>
    <t xml:space="preserve">parsley root</t>
  </si>
  <si>
    <t xml:space="preserve">ginger</t>
  </si>
  <si>
    <t xml:space="preserve">kohlrabi</t>
  </si>
  <si>
    <t xml:space="preserve">pumpkin sütőtök</t>
  </si>
  <si>
    <t xml:space="preserve">broccoli</t>
  </si>
  <si>
    <t xml:space="preserve">karfiol</t>
  </si>
  <si>
    <t xml:space="preserve">zeller</t>
  </si>
  <si>
    <t xml:space="preserve">avocado/db</t>
  </si>
  <si>
    <t xml:space="preserve">brussels sprouts</t>
  </si>
  <si>
    <t xml:space="preserve">Tins / db</t>
  </si>
  <si>
    <t xml:space="preserve">tomato chopped</t>
  </si>
  <si>
    <t xml:space="preserve">tomatopaste</t>
  </si>
  <si>
    <t xml:space="preserve">kidneybean</t>
  </si>
  <si>
    <t xml:space="preserve">white bean</t>
  </si>
  <si>
    <t xml:space="preserve">tuna</t>
  </si>
  <si>
    <t xml:space="preserve">tomato passata / 500g</t>
  </si>
  <si>
    <t xml:space="preserve">frozen /kg</t>
  </si>
  <si>
    <t xml:space="preserve">spinach</t>
  </si>
  <si>
    <t xml:space="preserve">broc/cauli/carrot</t>
  </si>
  <si>
    <t xml:space="preserve">cauliflower</t>
  </si>
  <si>
    <t xml:space="preserve">Snacks</t>
  </si>
  <si>
    <t xml:space="preserve">sunflower seeds</t>
  </si>
  <si>
    <t xml:space="preserve">gluten</t>
  </si>
  <si>
    <t xml:space="preserve">whipped cream can</t>
  </si>
  <si>
    <t xml:space="preserve">cornflakes</t>
  </si>
  <si>
    <t xml:space="preserve">saccharine/db</t>
  </si>
  <si>
    <t xml:space="preserve">peanuts</t>
  </si>
  <si>
    <t xml:space="preserve">chocolate gf</t>
  </si>
  <si>
    <t xml:space="preserve">chia seeds</t>
  </si>
  <si>
    <t xml:space="preserve">cashew</t>
  </si>
  <si>
    <t xml:space="preserve">cheese/kg</t>
  </si>
  <si>
    <t xml:space="preserve">cheddar</t>
  </si>
  <si>
    <t xml:space="preserve">trappista</t>
  </si>
  <si>
    <t xml:space="preserve">gouda</t>
  </si>
  <si>
    <t xml:space="preserve">mozzarella</t>
  </si>
  <si>
    <t xml:space="preserve">soft cheese/vajkrém</t>
  </si>
  <si>
    <t xml:space="preserve">spices/g</t>
  </si>
  <si>
    <t xml:space="preserve">nutmeg</t>
  </si>
  <si>
    <t xml:space="preserve">eritriol</t>
  </si>
  <si>
    <t xml:space="preserve">J = mestercsalád</t>
  </si>
  <si>
    <t xml:space="preserve">spicy paprika</t>
  </si>
  <si>
    <t xml:space="preserve">kakaó cocoa powder</t>
  </si>
  <si>
    <t xml:space="preserve">Tp / roll / layer</t>
  </si>
  <si>
    <t xml:space="preserve">familymarket</t>
  </si>
  <si>
    <t xml:space="preserve">pads</t>
  </si>
  <si>
    <t xml:space="preserve">paper towels/sheet</t>
  </si>
  <si>
    <t xml:space="preserve">toothpaste</t>
  </si>
  <si>
    <t xml:space="preserve">cat litter macskaalom</t>
  </si>
  <si>
    <t xml:space="preserve">flours</t>
  </si>
  <si>
    <t xml:space="preserve">coconut</t>
  </si>
  <si>
    <t xml:space="preserve">grocery shopping:</t>
  </si>
  <si>
    <t xml:space="preserve">given that I want to buy x, y, and z items, which store should I shop at?</t>
  </si>
  <si>
    <t xml:space="preserve">use gen_excel.py to make the formula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</si>
</sst>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0C0C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hadow val="true"/>
      <sz val="18"/>
      <color rgb="FF000000"/>
      <name val="Times New Roman"/>
      <family val="1"/>
      <charset val="1"/>
    </font>
    <font>
      <shadow val="true"/>
      <sz val="12"/>
      <color rgb="FF000000"/>
      <name val="Times New Roman"/>
      <family val="1"/>
      <charset val="1"/>
    </font>
    <font>
      <b val="true"/>
      <shadow val="true"/>
      <sz val="18"/>
      <color rgb="FFDE3017"/>
      <name val="Times New Roman"/>
      <family val="1"/>
      <charset val="1"/>
    </font>
    <font>
      <b val="true"/>
      <shadow val="true"/>
      <sz val="10"/>
      <color rgb="FFE6E6E6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hadow val="true"/>
      <sz val="10"/>
      <color rgb="FFE6E6E6"/>
      <name val="Arial"/>
      <family val="2"/>
      <charset val="1"/>
    </font>
    <font>
      <b val="true"/>
      <sz val="10"/>
      <color rgb="FFE6E6E6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E6E6E6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E6"/>
      </patternFill>
    </fill>
    <fill>
      <patternFill patternType="solid">
        <fgColor rgb="FF005985"/>
        <bgColor rgb="FF008080"/>
      </patternFill>
    </fill>
    <fill>
      <patternFill patternType="solid">
        <fgColor rgb="FFFFCCCC"/>
        <bgColor rgb="FFDDDDDD"/>
      </patternFill>
    </fill>
    <fill>
      <patternFill patternType="solid">
        <fgColor rgb="FF8CBDD6"/>
        <bgColor rgb="FFC0C0C0"/>
      </patternFill>
    </fill>
    <fill>
      <patternFill patternType="solid">
        <fgColor rgb="FFCC0000"/>
        <bgColor rgb="FFDE3017"/>
      </patternFill>
    </fill>
    <fill>
      <patternFill patternType="solid">
        <fgColor rgb="FFCCFFCC"/>
        <bgColor rgb="FFCCFFFF"/>
      </patternFill>
    </fill>
    <fill>
      <patternFill patternType="solid">
        <fgColor rgb="FFFFB573"/>
        <bgColor rgb="FFFFCCCC"/>
      </patternFill>
    </fill>
    <fill>
      <patternFill patternType="solid">
        <fgColor rgb="FF0094B5"/>
        <bgColor rgb="FF008080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5985"/>
      </bottom>
      <diagonal/>
    </border>
    <border diagonalUp="false" diagonalDown="false">
      <left style="hair">
        <color rgb="FF005985"/>
      </left>
      <right/>
      <top/>
      <bottom style="hair">
        <color rgb="FF005985"/>
      </bottom>
      <diagonal/>
    </border>
    <border diagonalUp="false" diagonalDown="false">
      <left/>
      <right style="hair">
        <color rgb="FF005985"/>
      </right>
      <top/>
      <bottom style="hair">
        <color rgb="FF005985"/>
      </bottom>
      <diagonal/>
    </border>
    <border diagonalUp="false" diagonalDown="false">
      <left style="hair">
        <color rgb="FF005985"/>
      </left>
      <right/>
      <top/>
      <bottom/>
      <diagonal/>
    </border>
    <border diagonalUp="false" diagonalDown="false">
      <left/>
      <right style="hair">
        <color rgb="FF005985"/>
      </right>
      <top/>
      <bottom/>
      <diagonal/>
    </border>
    <border diagonalUp="false" diagonalDown="false">
      <left/>
      <right/>
      <top style="hair">
        <color rgb="FF005985"/>
      </top>
      <bottom/>
      <diagonal/>
    </border>
    <border diagonalUp="false" diagonalDown="false">
      <left style="hair">
        <color rgb="FF005985"/>
      </left>
      <right/>
      <top style="hair">
        <color rgb="FF005985"/>
      </top>
      <bottom/>
      <diagonal/>
    </border>
    <border diagonalUp="false" diagonalDown="false">
      <left/>
      <right style="hair">
        <color rgb="FF005985"/>
      </right>
      <top style="hair">
        <color rgb="FF005985"/>
      </top>
      <bottom/>
      <diagonal/>
    </border>
    <border diagonalUp="false" diagonalDown="false">
      <left style="hair">
        <color rgb="FFF78538"/>
      </left>
      <right style="hair">
        <color rgb="FFF78538"/>
      </right>
      <top style="hair">
        <color rgb="FFF78538"/>
      </top>
      <bottom style="hair">
        <color rgb="FFF78538"/>
      </bottom>
      <diagonal/>
    </border>
    <border diagonalUp="false" diagonalDown="false">
      <left style="hair">
        <color rgb="FF005985"/>
      </left>
      <right style="hair">
        <color rgb="FF005985"/>
      </right>
      <top style="hair">
        <color rgb="FF005985"/>
      </top>
      <bottom style="hair">
        <color rgb="FF005985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2">
    <xf numFmtId="164" fontId="0" fillId="2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5" borderId="0" applyFont="true" applyBorder="false" applyAlignment="true" applyProtection="false">
      <alignment horizontal="general" vertical="center" textRotation="0" wrapText="false" indent="0" shrinkToFit="false"/>
    </xf>
    <xf numFmtId="164" fontId="6" fillId="6" borderId="0" applyFont="true" applyBorder="false" applyAlignment="true" applyProtection="false">
      <alignment horizontal="general" vertical="center" textRotation="0" wrapText="false" indent="0" shrinkToFit="false"/>
    </xf>
    <xf numFmtId="164" fontId="7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right" vertical="center" textRotation="0" wrapText="true" indent="0" shrinkToFit="false"/>
    </xf>
    <xf numFmtId="164" fontId="0" fillId="8" borderId="1" applyFont="true" applyBorder="true" applyAlignment="true" applyProtection="false">
      <alignment horizontal="right" vertical="center" textRotation="0" wrapText="true" indent="0" shrinkToFit="false"/>
    </xf>
    <xf numFmtId="164" fontId="0" fillId="8" borderId="2" applyFont="true" applyBorder="true" applyAlignment="true" applyProtection="false">
      <alignment horizontal="right" vertical="center" textRotation="0" wrapText="true" indent="0" shrinkToFit="false"/>
    </xf>
    <xf numFmtId="164" fontId="0" fillId="8" borderId="3" applyFont="true" applyBorder="true" applyAlignment="true" applyProtection="false">
      <alignment horizontal="right" vertical="center" textRotation="0" wrapText="true" indent="0" shrinkToFit="false"/>
    </xf>
    <xf numFmtId="164" fontId="0" fillId="8" borderId="4" applyFont="true" applyBorder="true" applyAlignment="true" applyProtection="false">
      <alignment horizontal="right" vertical="center" textRotation="0" wrapText="true" indent="0" shrinkToFit="false"/>
    </xf>
    <xf numFmtId="164" fontId="0" fillId="8" borderId="5" applyFont="true" applyBorder="true" applyAlignment="true" applyProtection="false">
      <alignment horizontal="right" vertical="center" textRotation="0" wrapText="true" indent="0" shrinkToFit="false"/>
    </xf>
    <xf numFmtId="164" fontId="0" fillId="8" borderId="6" applyFont="true" applyBorder="true" applyAlignment="true" applyProtection="false">
      <alignment horizontal="right" vertical="center" textRotation="0" wrapText="true" indent="0" shrinkToFit="false"/>
    </xf>
    <xf numFmtId="164" fontId="0" fillId="8" borderId="7" applyFont="true" applyBorder="true" applyAlignment="true" applyProtection="false">
      <alignment horizontal="right" vertical="center" textRotation="0" wrapText="true" indent="0" shrinkToFit="false"/>
    </xf>
    <xf numFmtId="164" fontId="0" fillId="8" borderId="8" applyFont="true" applyBorder="true" applyAlignment="true" applyProtection="false">
      <alignment horizontal="right" vertical="center" textRotation="0" wrapText="true" indent="0" shrinkToFit="false"/>
    </xf>
    <xf numFmtId="164" fontId="0" fillId="8" borderId="0" applyFont="true" applyBorder="false" applyAlignment="true" applyProtection="false">
      <alignment horizontal="center" vertical="bottom" textRotation="0" wrapText="true" indent="0" shrinkToFit="false"/>
    </xf>
    <xf numFmtId="164" fontId="8" fillId="9" borderId="0" applyFont="true" applyBorder="false" applyAlignment="true" applyProtection="false">
      <alignment horizontal="general" vertical="center" textRotation="0" wrapText="false" indent="0" shrinkToFit="false"/>
    </xf>
    <xf numFmtId="164" fontId="9" fillId="2" borderId="0" applyFont="true" applyBorder="false" applyAlignment="true" applyProtection="false">
      <alignment horizontal="general" vertical="center" textRotation="0" wrapText="false" indent="0" shrinkToFit="false"/>
    </xf>
    <xf numFmtId="164" fontId="10" fillId="10" borderId="0" applyFont="true" applyBorder="false" applyAlignment="true" applyProtection="false">
      <alignment horizontal="general" vertical="center" textRotation="0" wrapText="false" indent="0" shrinkToFit="false"/>
    </xf>
    <xf numFmtId="164" fontId="11" fillId="11" borderId="9" applyFont="true" applyBorder="true" applyAlignment="true" applyProtection="false">
      <alignment horizontal="center" vertical="center" textRotation="0" wrapText="false" indent="0" shrinkToFit="false"/>
    </xf>
    <xf numFmtId="164" fontId="12" fillId="11" borderId="9" applyFont="true" applyBorder="true" applyAlignment="true" applyProtection="false">
      <alignment horizontal="center" vertical="center" textRotation="0" wrapText="false" indent="0" shrinkToFit="false"/>
    </xf>
    <xf numFmtId="164" fontId="13" fillId="11" borderId="9" applyFont="true" applyBorder="true" applyAlignment="true" applyProtection="false">
      <alignment horizontal="center" vertical="center" textRotation="0" wrapText="false" indent="0" shrinkToFit="false"/>
    </xf>
    <xf numFmtId="164" fontId="14" fillId="12" borderId="10" applyFont="true" applyBorder="true" applyAlignment="true" applyProtection="false">
      <alignment horizontal="center" vertical="center" textRotation="0" wrapText="false" indent="0" shrinkToFit="false"/>
    </xf>
    <xf numFmtId="164" fontId="15" fillId="2" borderId="0" applyFont="true" applyBorder="false" applyAlignment="true" applyProtection="false">
      <alignment horizontal="general" vertical="center" textRotation="0" wrapText="false" indent="0" shrinkToFit="false"/>
    </xf>
    <xf numFmtId="165" fontId="0" fillId="2" borderId="1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13" borderId="0" applyFont="true" applyBorder="false" applyAlignment="true" applyProtection="false">
      <alignment horizontal="general" vertical="center" textRotation="0" wrapText="false" indent="0" shrinkToFit="false"/>
    </xf>
    <xf numFmtId="164" fontId="17" fillId="13" borderId="12" applyFont="true" applyBorder="true" applyAlignment="true" applyProtection="false">
      <alignment horizontal="general" vertical="center" textRotation="0" wrapText="false" indent="0" shrinkToFit="false"/>
    </xf>
    <xf numFmtId="165" fontId="18" fillId="6" borderId="11" applyFont="true" applyBorder="true" applyAlignment="true" applyProtection="false">
      <alignment horizontal="general" vertical="center" textRotation="0" wrapText="false" indent="0" shrinkToFit="false"/>
    </xf>
    <xf numFmtId="165" fontId="19" fillId="6" borderId="11" applyFont="true" applyBorder="tru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12" fillId="11" borderId="9" xfId="40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12" fillId="11" borderId="9" xfId="4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13" borderId="0" xfId="45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6" fillId="13" borderId="0" xfId="45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3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ckground" xfId="24"/>
    <cellStyle name="Bad 13" xfId="25"/>
    <cellStyle name="Card" xfId="26"/>
    <cellStyle name="Card B" xfId="27"/>
    <cellStyle name="Card BL" xfId="28"/>
    <cellStyle name="Card BR" xfId="29"/>
    <cellStyle name="Card L" xfId="30"/>
    <cellStyle name="Card R" xfId="31"/>
    <cellStyle name="Card T" xfId="32"/>
    <cellStyle name="Card TL" xfId="33"/>
    <cellStyle name="Card TR" xfId="34"/>
    <cellStyle name="Column Header" xfId="35"/>
    <cellStyle name="Error 15" xfId="36"/>
    <cellStyle name="Footnote 8" xfId="37"/>
    <cellStyle name="Good 11" xfId="38"/>
    <cellStyle name="Heading 1 4" xfId="39"/>
    <cellStyle name="Heading 2 5" xfId="40"/>
    <cellStyle name="Heading 3" xfId="41"/>
    <cellStyle name="Heading1" xfId="42"/>
    <cellStyle name="Hyperlink 9" xfId="43"/>
    <cellStyle name="Input" xfId="44"/>
    <cellStyle name="Neutral 12" xfId="45"/>
    <cellStyle name="Note 7" xfId="46"/>
    <cellStyle name="Result" xfId="47"/>
    <cellStyle name="Result2" xfId="48"/>
    <cellStyle name="Status 10" xfId="49"/>
    <cellStyle name="Text 6" xfId="50"/>
    <cellStyle name="Warning 14" xfId="5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94B5"/>
      <rgbColor rgb="FFC0C0C0"/>
      <rgbColor rgb="FF808080"/>
      <rgbColor rgb="FF9999FF"/>
      <rgbColor rgb="FF993366"/>
      <rgbColor rgb="FFFFFFCC"/>
      <rgbColor rgb="FFE6E6E6"/>
      <rgbColor rgb="FF660066"/>
      <rgbColor rgb="FFFF8080"/>
      <rgbColor rgb="FF005985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BDD6"/>
      <rgbColor rgb="FFFFB573"/>
      <rgbColor rgb="FFCC99FF"/>
      <rgbColor rgb="FFFFCCCC"/>
      <rgbColor rgb="FF3366FF"/>
      <rgbColor rgb="FF33CCCC"/>
      <rgbColor rgb="FF99CC00"/>
      <rgbColor rgb="FFFFCC00"/>
      <rgbColor rgb="FFF78538"/>
      <rgbColor rgb="FFFF6600"/>
      <rgbColor rgb="FF666699"/>
      <rgbColor rgb="FF969696"/>
      <rgbColor rgb="FF003366"/>
      <rgbColor rgb="FF339966"/>
      <rgbColor rgb="FF003300"/>
      <rgbColor rgb="FF333300"/>
      <rgbColor rgb="FFDE301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46" activeCellId="0" sqref="C46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6.02"/>
    <col collapsed="false" customWidth="true" hidden="false" outlineLevel="0" max="3" min="3" style="0" width="7.68"/>
    <col collapsed="false" customWidth="true" hidden="false" outlineLevel="0" max="4" min="4" style="0" width="8.24"/>
    <col collapsed="false" customWidth="true" hidden="false" outlineLevel="0" max="5" min="5" style="0" width="6.3"/>
    <col collapsed="false" customWidth="true" hidden="false" outlineLevel="0" max="6" min="6" style="0" width="7.27"/>
    <col collapsed="false" customWidth="true" hidden="false" outlineLevel="0" max="7" min="7" style="0" width="6.71"/>
    <col collapsed="false" customWidth="true" hidden="false" outlineLevel="0" max="8" min="8" style="0" width="9.92"/>
    <col collapsed="false" customWidth="true" hidden="false" outlineLevel="0" max="9" min="9" style="0" width="5.62"/>
    <col collapsed="false" customWidth="true" hidden="false" outlineLevel="0" max="10" min="10" style="0" width="16.33"/>
    <col collapsed="false" customWidth="false" hidden="false" outlineLevel="0" max="12" min="11" style="0" width="11.52"/>
    <col collapsed="false" customWidth="true" hidden="false" outlineLevel="0" max="13" min="13" style="0" width="7.83"/>
    <col collapsed="false" customWidth="true" hidden="false" outlineLevel="0" max="14" min="14" style="1" width="8.8"/>
    <col collapsed="false" customWidth="true" hidden="false" outlineLevel="0" max="15" min="15" style="1" width="20.84"/>
    <col collapsed="false" customWidth="true" hidden="false" outlineLevel="0" max="16" min="16" style="2" width="20.98"/>
    <col collapsed="false" customWidth="true" hidden="false" outlineLevel="0" max="17" min="17" style="3" width="8.21"/>
    <col collapsed="false" customWidth="false" hidden="false" outlineLevel="0" max="1025" min="18" style="0" width="11.52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customFormat="false" ht="12.8" hidden="false" customHeight="false" outlineLevel="0" collapsed="false">
      <c r="A2" s="0" t="s">
        <v>16</v>
      </c>
      <c r="B2" s="6" t="n">
        <v>2796</v>
      </c>
      <c r="C2" s="6" t="n">
        <v>1990</v>
      </c>
      <c r="D2" s="6" t="n">
        <v>2396</v>
      </c>
      <c r="E2" s="6"/>
      <c r="F2" s="6"/>
      <c r="G2" s="6" t="n">
        <v>1990</v>
      </c>
      <c r="H2" s="6" t="n">
        <v>1980</v>
      </c>
      <c r="I2" s="6" t="n">
        <v>2796</v>
      </c>
      <c r="J2" s="6"/>
      <c r="M2" s="0" t="n">
        <f aca="false">3070/MIN(B2:J2)</f>
        <v>1.55050505050505</v>
      </c>
      <c r="N2" s="1" t="n">
        <f aca="false">M2*2.39</f>
        <v>3.70570707070707</v>
      </c>
      <c r="O2" s="1" t="n">
        <f aca="false">2937/MIN(B2:J2)</f>
        <v>1.48333333333333</v>
      </c>
      <c r="P2" s="2" t="n">
        <v>186.939</v>
      </c>
      <c r="Q2" s="3" t="n">
        <f aca="false">P2/MIN(B2:J2)</f>
        <v>0.0944136363636364</v>
      </c>
    </row>
    <row r="3" customFormat="false" ht="12.8" hidden="false" customHeight="false" outlineLevel="0" collapsed="false">
      <c r="A3" s="0" t="s">
        <v>17</v>
      </c>
      <c r="B3" s="6" t="n">
        <f aca="false">449/0.18</f>
        <v>2494.44444444444</v>
      </c>
      <c r="C3" s="6" t="n">
        <v>1442</v>
      </c>
      <c r="D3" s="6" t="n">
        <v>2495</v>
      </c>
      <c r="E3" s="6"/>
      <c r="F3" s="6"/>
      <c r="G3" s="6" t="n">
        <v>1995</v>
      </c>
      <c r="H3" s="6" t="n">
        <v>2579</v>
      </c>
      <c r="I3" s="6" t="n">
        <v>2996</v>
      </c>
      <c r="J3" s="6"/>
      <c r="M3" s="0" t="n">
        <f aca="false">1875/MIN(B3:J3)</f>
        <v>1.3002773925104</v>
      </c>
      <c r="N3" s="1" t="n">
        <f aca="false">M3*2.39</f>
        <v>3.10766296809986</v>
      </c>
      <c r="O3" s="1" t="n">
        <f aca="false">3605/MIN(B3:J3)</f>
        <v>2.5</v>
      </c>
      <c r="P3" s="2" t="n">
        <v>483</v>
      </c>
      <c r="Q3" s="3" t="n">
        <f aca="false">P3/MIN(B3:J3)</f>
        <v>0.33495145631068</v>
      </c>
    </row>
    <row r="4" customFormat="false" ht="12.8" hidden="false" customHeight="false" outlineLevel="0" collapsed="false">
      <c r="A4" s="0" t="s">
        <v>18</v>
      </c>
      <c r="B4" s="6" t="n">
        <v>1158</v>
      </c>
      <c r="C4" s="6" t="n">
        <v>899</v>
      </c>
      <c r="D4" s="6" t="n">
        <f aca="false">439/0.5</f>
        <v>878</v>
      </c>
      <c r="E4" s="6"/>
      <c r="F4" s="6" t="n">
        <v>959</v>
      </c>
      <c r="G4" s="6" t="n">
        <f aca="false">459/0.5</f>
        <v>918</v>
      </c>
      <c r="H4" s="6" t="n">
        <v>869</v>
      </c>
      <c r="I4" s="6" t="n">
        <f aca="false">549/0.5</f>
        <v>1098</v>
      </c>
      <c r="J4" s="6"/>
      <c r="M4" s="0" t="n">
        <f aca="false">3770/MIN(B4:J4)</f>
        <v>4.33831990794016</v>
      </c>
      <c r="N4" s="1" t="n">
        <f aca="false">M4*2.39</f>
        <v>10.368584579977</v>
      </c>
      <c r="O4" s="1" t="n">
        <f aca="false">3731/MIN(B4:J4)</f>
        <v>4.29344073647871</v>
      </c>
      <c r="P4" s="2" t="n">
        <v>275</v>
      </c>
      <c r="Q4" s="3" t="n">
        <f aca="false">P4/MIN(B4:J4)</f>
        <v>0.316455696202532</v>
      </c>
    </row>
    <row r="5" customFormat="false" ht="12.8" hidden="false" customHeight="false" outlineLevel="0" collapsed="false">
      <c r="A5" s="0" t="s">
        <v>19</v>
      </c>
      <c r="B5" s="6" t="n">
        <v>1598</v>
      </c>
      <c r="C5" s="6" t="n">
        <v>1379</v>
      </c>
      <c r="D5" s="6" t="n">
        <f aca="false">779/0.5</f>
        <v>1558</v>
      </c>
      <c r="E5" s="6"/>
      <c r="F5" s="6"/>
      <c r="G5" s="6" t="n">
        <v>1658</v>
      </c>
      <c r="H5" s="6" t="n">
        <v>1329</v>
      </c>
      <c r="I5" s="6" t="n">
        <v>1359</v>
      </c>
      <c r="J5" s="6"/>
      <c r="M5" s="0" t="n">
        <f aca="false">1730/MIN(B5:J5)</f>
        <v>1.30173062452972</v>
      </c>
      <c r="N5" s="1" t="n">
        <f aca="false">M5*2.39</f>
        <v>3.11113619262603</v>
      </c>
      <c r="O5" s="1" t="n">
        <f aca="false">1642/MIN(B5:J5)</f>
        <v>1.23551542513168</v>
      </c>
      <c r="P5" s="2" t="n">
        <v>7.02</v>
      </c>
      <c r="Q5" s="3" t="n">
        <f aca="false">P5/MIN(B5:J5)</f>
        <v>0.00528216704288939</v>
      </c>
    </row>
    <row r="6" customFormat="false" ht="12.8" hidden="false" customHeight="false" outlineLevel="0" collapsed="false">
      <c r="A6" s="0" t="s">
        <v>20</v>
      </c>
      <c r="B6" s="6" t="n">
        <v>1798</v>
      </c>
      <c r="C6" s="6" t="n">
        <v>2378</v>
      </c>
      <c r="D6" s="6" t="n">
        <f aca="false">349/0.25</f>
        <v>1396</v>
      </c>
      <c r="E6" s="6"/>
      <c r="F6" s="6"/>
      <c r="G6" s="6" t="n">
        <v>1995</v>
      </c>
      <c r="H6" s="6" t="n">
        <f aca="false">375/0.2</f>
        <v>1875</v>
      </c>
      <c r="I6" s="6" t="n">
        <v>2495</v>
      </c>
      <c r="J6" s="6"/>
      <c r="M6" s="0" t="n">
        <f aca="false">4680/MIN(B6:J6)</f>
        <v>3.35243553008596</v>
      </c>
      <c r="N6" s="1" t="n">
        <f aca="false">M6*2.39</f>
        <v>8.01232091690545</v>
      </c>
      <c r="O6" s="1" t="n">
        <f aca="false">4514.9/MIN(B6:J6)</f>
        <v>3.23416905444126</v>
      </c>
      <c r="P6" s="2" t="n">
        <v>499</v>
      </c>
      <c r="Q6" s="3" t="n">
        <f aca="false">P6/MIN(B6:J6)</f>
        <v>0.357449856733524</v>
      </c>
    </row>
    <row r="7" customFormat="false" ht="12.8" hidden="false" customHeight="false" outlineLevel="0" collapsed="false">
      <c r="A7" s="0" t="s">
        <v>21</v>
      </c>
      <c r="B7" s="6" t="n">
        <v>1497</v>
      </c>
      <c r="C7" s="6" t="n">
        <v>1790</v>
      </c>
      <c r="D7" s="6" t="n">
        <f aca="false">399/0.2</f>
        <v>1995</v>
      </c>
      <c r="E7" s="6"/>
      <c r="F7" s="6"/>
      <c r="G7" s="6" t="n">
        <v>1390</v>
      </c>
      <c r="H7" s="6" t="n">
        <v>1790</v>
      </c>
      <c r="I7" s="6" t="n">
        <v>2659</v>
      </c>
      <c r="J7" s="6"/>
      <c r="M7" s="0" t="n">
        <f aca="false">4680/MIN(B7:J7)</f>
        <v>3.36690647482014</v>
      </c>
      <c r="N7" s="1" t="n">
        <f aca="false">M7*2.39</f>
        <v>8.04690647482014</v>
      </c>
      <c r="O7" s="1" t="n">
        <f aca="false">4514.9/MIN(B7:J7)</f>
        <v>3.24812949640288</v>
      </c>
      <c r="P7" s="2" t="n">
        <v>499</v>
      </c>
      <c r="Q7" s="3" t="n">
        <f aca="false">P7/MIN(B7:J7)</f>
        <v>0.358992805755396</v>
      </c>
    </row>
    <row r="8" customFormat="false" ht="12.8" hidden="false" customHeight="false" outlineLevel="0" collapsed="false">
      <c r="A8" s="0" t="s">
        <v>22</v>
      </c>
      <c r="B8" s="7" t="s">
        <v>23</v>
      </c>
      <c r="C8" s="7" t="n">
        <f aca="false">335/0.5</f>
        <v>670</v>
      </c>
      <c r="D8" s="7" t="s">
        <v>23</v>
      </c>
      <c r="E8" s="7"/>
      <c r="F8" s="7"/>
      <c r="G8" s="7"/>
      <c r="H8" s="7" t="n">
        <f aca="false">259/0.2</f>
        <v>1295</v>
      </c>
      <c r="I8" s="7" t="n">
        <v>1198</v>
      </c>
      <c r="J8" s="7"/>
      <c r="M8" s="0" t="n">
        <f aca="false">3580/MIN(B8:J8)</f>
        <v>5.34328358208955</v>
      </c>
      <c r="N8" s="1" t="n">
        <f aca="false">M8*2.39</f>
        <v>12.770447761194</v>
      </c>
      <c r="O8" s="1" t="n">
        <f aca="false">1151.7/MIN(B8:J8)</f>
        <v>1.7189552238806</v>
      </c>
      <c r="P8" s="2" t="n">
        <v>668</v>
      </c>
      <c r="Q8" s="3" t="n">
        <f aca="false">P8/MIN(B8:J8)</f>
        <v>0.997014925373134</v>
      </c>
    </row>
    <row r="9" customFormat="false" ht="12.8" hidden="false" customHeight="false" outlineLevel="0" collapsed="false">
      <c r="A9" s="0" t="s">
        <v>24</v>
      </c>
      <c r="B9" s="6" t="n">
        <v>239</v>
      </c>
      <c r="C9" s="6" t="n">
        <v>349</v>
      </c>
      <c r="D9" s="6" t="s">
        <v>23</v>
      </c>
      <c r="E9" s="6"/>
      <c r="F9" s="6"/>
      <c r="G9" s="6" t="n">
        <v>359</v>
      </c>
      <c r="H9" s="6" t="n">
        <v>500</v>
      </c>
      <c r="I9" s="6" t="n">
        <v>399</v>
      </c>
      <c r="J9" s="6"/>
      <c r="M9" s="0" t="n">
        <f aca="false">241/MIN(B9:J9)</f>
        <v>1.00836820083682</v>
      </c>
      <c r="N9" s="1" t="n">
        <f aca="false">M9*2.39</f>
        <v>2.41</v>
      </c>
      <c r="O9" s="1" t="n">
        <f aca="false">108.5/MIN(B9:J9)</f>
        <v>0.45397489539749</v>
      </c>
      <c r="P9" s="2" t="n">
        <v>380</v>
      </c>
      <c r="Q9" s="3" t="n">
        <f aca="false">P9/MIN(B9:J9)</f>
        <v>1.58995815899582</v>
      </c>
    </row>
    <row r="10" customFormat="false" ht="12.8" hidden="false" customHeight="false" outlineLevel="0" collapsed="false">
      <c r="A10" s="0" t="s">
        <v>25</v>
      </c>
      <c r="B10" s="6" t="n">
        <v>349</v>
      </c>
      <c r="C10" s="6"/>
      <c r="D10" s="6" t="s">
        <v>23</v>
      </c>
      <c r="E10" s="6"/>
      <c r="F10" s="6"/>
      <c r="G10" s="6"/>
      <c r="H10" s="6"/>
      <c r="I10" s="6" t="n">
        <v>489</v>
      </c>
      <c r="J10" s="6"/>
      <c r="M10" s="0" t="n">
        <f aca="false">219/MIN(B10:J10)</f>
        <v>0.627507163323782</v>
      </c>
      <c r="N10" s="1" t="n">
        <f aca="false">M10*2.39</f>
        <v>1.49974212034384</v>
      </c>
      <c r="O10" s="1" t="n">
        <f aca="false">67.1/MIN(B10:J10)</f>
        <v>0.192263610315186</v>
      </c>
      <c r="P10" s="2" t="n">
        <v>210</v>
      </c>
      <c r="Q10" s="3" t="n">
        <f aca="false">P10/MIN(B10:J10)</f>
        <v>0.601719197707736</v>
      </c>
    </row>
    <row r="11" customFormat="false" ht="12.8" hidden="false" customHeight="false" outlineLevel="0" collapsed="false">
      <c r="A11" s="0" t="s">
        <v>26</v>
      </c>
      <c r="B11" s="6" t="n">
        <f aca="false">649/0.3</f>
        <v>2163.33333333333</v>
      </c>
      <c r="C11" s="6" t="n">
        <v>2790</v>
      </c>
      <c r="D11" s="6"/>
      <c r="E11" s="6"/>
      <c r="F11" s="6" t="n">
        <v>2390</v>
      </c>
      <c r="G11" s="6" t="n">
        <v>2190</v>
      </c>
      <c r="H11" s="6" t="n">
        <v>2190</v>
      </c>
      <c r="I11" s="6" t="n">
        <v>2595</v>
      </c>
      <c r="J11" s="6"/>
      <c r="M11" s="0" t="n">
        <f aca="false">1450/MIN(B11:J11)</f>
        <v>0.670261941448382</v>
      </c>
      <c r="N11" s="1" t="n">
        <f aca="false">M11*2.39</f>
        <v>1.60192604006163</v>
      </c>
      <c r="O11" s="1" t="n">
        <f aca="false">1438/MIN(B11:J11)</f>
        <v>0.664714946070878</v>
      </c>
      <c r="P11" s="2" t="n">
        <v>287</v>
      </c>
      <c r="Q11" s="3" t="n">
        <f aca="false">P11/MIN(B11:J11)</f>
        <v>0.1326656394453</v>
      </c>
    </row>
    <row r="12" customFormat="false" ht="12.8" hidden="false" customHeight="false" outlineLevel="0" collapsed="false">
      <c r="A12" s="0" t="s">
        <v>27</v>
      </c>
      <c r="B12" s="6" t="n">
        <v>579</v>
      </c>
      <c r="C12" s="6" t="n">
        <v>469</v>
      </c>
      <c r="D12" s="6"/>
      <c r="E12" s="6"/>
      <c r="F12" s="6"/>
      <c r="G12" s="6"/>
      <c r="H12" s="6" t="n">
        <v>399</v>
      </c>
      <c r="I12" s="6"/>
      <c r="J12" s="6"/>
    </row>
    <row r="13" customFormat="false" ht="12.8" hidden="false" customHeight="false" outlineLevel="0" collapsed="false"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2.8" hidden="false" customHeight="false" outlineLevel="0" collapsed="false">
      <c r="A14" s="0" t="s">
        <v>28</v>
      </c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2.8" hidden="false" customHeight="false" outlineLevel="0" collapsed="false">
      <c r="A15" s="0" t="s">
        <v>29</v>
      </c>
      <c r="B15" s="6" t="n">
        <v>1330</v>
      </c>
      <c r="C15" s="6" t="n">
        <v>2197</v>
      </c>
      <c r="D15" s="6" t="n">
        <f aca="false">339/0.3</f>
        <v>1130</v>
      </c>
      <c r="E15" s="6"/>
      <c r="F15" s="6"/>
      <c r="G15" s="6"/>
      <c r="H15" s="6" t="n">
        <v>1995</v>
      </c>
      <c r="I15" s="6" t="n">
        <v>1325</v>
      </c>
      <c r="J15" s="6"/>
      <c r="M15" s="0" t="n">
        <f aca="false">8820/MIN(B15:J15)</f>
        <v>7.80530973451328</v>
      </c>
      <c r="N15" s="1" t="n">
        <f aca="false">M15*2.39</f>
        <v>18.6546902654867</v>
      </c>
      <c r="O15" s="1" t="n">
        <f aca="false">8820/MIN(B15:J15)</f>
        <v>7.80530973451328</v>
      </c>
      <c r="P15" s="2" t="n">
        <v>0</v>
      </c>
      <c r="Q15" s="3" t="n">
        <f aca="false">P15/MIN(B15:J15)</f>
        <v>0</v>
      </c>
    </row>
    <row r="16" customFormat="false" ht="12.8" hidden="false" customHeight="false" outlineLevel="0" collapsed="false">
      <c r="A16" s="0" t="s">
        <v>30</v>
      </c>
      <c r="B16" s="6" t="n">
        <v>697</v>
      </c>
      <c r="C16" s="6" t="n">
        <v>599</v>
      </c>
      <c r="D16" s="6" t="n">
        <f aca="false">99/0.2</f>
        <v>495</v>
      </c>
      <c r="E16" s="6"/>
      <c r="F16" s="6"/>
      <c r="G16" s="6"/>
      <c r="H16" s="6" t="n">
        <v>759</v>
      </c>
      <c r="I16" s="6" t="n">
        <v>747</v>
      </c>
      <c r="J16" s="6"/>
      <c r="M16" s="0" t="n">
        <f aca="false">9020/MIN(B16:J16)</f>
        <v>18.2222222222222</v>
      </c>
      <c r="N16" s="1" t="n">
        <f aca="false">M16*2.39</f>
        <v>43.5511111111111</v>
      </c>
      <c r="O16" s="1" t="n">
        <f aca="false">9020/MIN(B16:J16)</f>
        <v>18.2222222222222</v>
      </c>
      <c r="P16" s="2" t="n">
        <v>0</v>
      </c>
      <c r="Q16" s="3" t="n">
        <f aca="false">P16/MIN(B16:J16)</f>
        <v>0</v>
      </c>
    </row>
    <row r="17" customFormat="false" ht="12.8" hidden="false" customHeight="false" outlineLevel="0" collapsed="false">
      <c r="A17" s="0" t="s">
        <v>31</v>
      </c>
      <c r="B17" s="6" t="n">
        <v>676</v>
      </c>
      <c r="C17" s="6" t="n">
        <f aca="false">289/0.5</f>
        <v>578</v>
      </c>
      <c r="D17" s="6" t="n">
        <v>676</v>
      </c>
      <c r="E17" s="6"/>
      <c r="F17" s="6"/>
      <c r="G17" s="6"/>
      <c r="H17" s="6" t="n">
        <f aca="false">219/0.25</f>
        <v>876</v>
      </c>
      <c r="I17" s="6" t="n">
        <v>436</v>
      </c>
      <c r="J17" s="6"/>
      <c r="M17" s="0" t="n">
        <f aca="false">6050/MIN(B17:J17)</f>
        <v>13.8761467889908</v>
      </c>
      <c r="N17" s="1" t="n">
        <f aca="false">M17*2.39</f>
        <v>33.1639908256881</v>
      </c>
      <c r="O17" s="1" t="n">
        <f aca="false">6094/MIN(B17:J17)</f>
        <v>13.9770642201835</v>
      </c>
      <c r="P17" s="2" t="n">
        <f aca="false">460*0.014</f>
        <v>6.44</v>
      </c>
      <c r="Q17" s="3" t="n">
        <f aca="false">P17/MIN(B17:J17)</f>
        <v>0.0147706422018349</v>
      </c>
    </row>
    <row r="18" customFormat="false" ht="12.8" hidden="false" customHeight="false" outlineLevel="0" collapsed="false">
      <c r="A18" s="0" t="s">
        <v>32</v>
      </c>
      <c r="B18" s="6" t="n">
        <v>299</v>
      </c>
      <c r="C18" s="6" t="n">
        <v>329</v>
      </c>
      <c r="D18" s="6" t="n">
        <v>339</v>
      </c>
      <c r="E18" s="6"/>
      <c r="F18" s="6" t="n">
        <v>399</v>
      </c>
      <c r="G18" s="6" t="n">
        <v>299</v>
      </c>
      <c r="H18" s="6" t="n">
        <v>339</v>
      </c>
      <c r="I18" s="6" t="n">
        <v>339</v>
      </c>
      <c r="J18" s="6"/>
      <c r="M18" s="0" t="n">
        <f aca="false">8840/MIN(B18:J18)</f>
        <v>29.5652173913043</v>
      </c>
      <c r="N18" s="1" t="n">
        <f aca="false">M18*2.39</f>
        <v>70.6608695652174</v>
      </c>
      <c r="O18" s="1" t="n">
        <f aca="false">8840/MIN(B18:J18)</f>
        <v>29.5652173913043</v>
      </c>
      <c r="P18" s="2" t="n">
        <v>0</v>
      </c>
      <c r="Q18" s="3" t="n">
        <f aca="false">P18/MIN(B18:J18)</f>
        <v>0</v>
      </c>
    </row>
    <row r="19" customFormat="false" ht="12.8" hidden="false" customHeight="false" outlineLevel="0" collapsed="false">
      <c r="A19" s="0" t="s">
        <v>33</v>
      </c>
      <c r="B19" s="6" t="n">
        <v>2091</v>
      </c>
      <c r="C19" s="6" t="n">
        <f aca="false">949/0.5</f>
        <v>1898</v>
      </c>
      <c r="D19" s="6" t="s">
        <v>23</v>
      </c>
      <c r="E19" s="6"/>
      <c r="F19" s="6"/>
      <c r="G19" s="6"/>
      <c r="H19" s="6" t="n">
        <f aca="false">999/0.5</f>
        <v>1998</v>
      </c>
      <c r="I19" s="6"/>
      <c r="J19" s="6"/>
      <c r="M19" s="0" t="n">
        <f aca="false">5980/MIN(B19:J19)</f>
        <v>3.15068493150685</v>
      </c>
      <c r="N19" s="1" t="n">
        <f aca="false">M19*2.39</f>
        <v>7.53013698630137</v>
      </c>
      <c r="O19" s="1" t="n">
        <f aca="false">5510.8/MIN(B19:J19)</f>
        <v>2.90347734457323</v>
      </c>
      <c r="P19" s="2" t="n">
        <f aca="false">5580*0.015</f>
        <v>83.7</v>
      </c>
      <c r="Q19" s="3" t="n">
        <f aca="false">P19/MIN(B19:J19)</f>
        <v>0.0440990516332982</v>
      </c>
    </row>
    <row r="20" customFormat="false" ht="12.8" hidden="false" customHeight="false" outlineLevel="0" collapsed="false">
      <c r="A20" s="0" t="s">
        <v>34</v>
      </c>
      <c r="B20" s="6" t="n">
        <f aca="false">269/0.2</f>
        <v>1345</v>
      </c>
      <c r="C20" s="6" t="n">
        <v>1558</v>
      </c>
      <c r="D20" s="6" t="s">
        <v>23</v>
      </c>
      <c r="E20" s="6"/>
      <c r="F20" s="6"/>
      <c r="G20" s="6"/>
      <c r="H20" s="6" t="n">
        <v>1590</v>
      </c>
      <c r="I20" s="6" t="n">
        <v>1345</v>
      </c>
      <c r="J20" s="6"/>
      <c r="M20" s="0" t="n">
        <f aca="false">3889/MIN(B20:J20)</f>
        <v>2.89144981412639</v>
      </c>
      <c r="N20" s="1" t="n">
        <f aca="false">M20*2.39</f>
        <v>6.91056505576208</v>
      </c>
      <c r="O20" s="1" t="n">
        <f aca="false">6082.9/MIN(B20:J20)</f>
        <v>4.52260223048327</v>
      </c>
      <c r="P20" s="2" t="n">
        <f aca="false">5430*0.015</f>
        <v>81.45</v>
      </c>
      <c r="Q20" s="3" t="n">
        <f aca="false">P20/MIN(B20:J20)</f>
        <v>0.0605576208178439</v>
      </c>
    </row>
    <row r="21" customFormat="false" ht="12.8" hidden="false" customHeight="false" outlineLevel="0" collapsed="false">
      <c r="A21" s="0" t="s">
        <v>35</v>
      </c>
      <c r="B21" s="6" t="n">
        <f aca="false">149/20</f>
        <v>7.45</v>
      </c>
      <c r="C21" s="6" t="n">
        <v>7.5</v>
      </c>
      <c r="D21" s="6" t="n">
        <v>7.5</v>
      </c>
      <c r="E21" s="6"/>
      <c r="F21" s="6" t="n">
        <f aca="false">12.9</f>
        <v>12.9</v>
      </c>
      <c r="G21" s="6"/>
      <c r="H21" s="6"/>
      <c r="I21" s="6" t="n">
        <v>19.9</v>
      </c>
      <c r="J21" s="6"/>
      <c r="M21" s="0" t="n">
        <f aca="false">17/MIN(B21:J21)</f>
        <v>2.28187919463087</v>
      </c>
      <c r="N21" s="1" t="n">
        <f aca="false">M21*2.39</f>
        <v>5.45369127516779</v>
      </c>
      <c r="O21" s="1" t="n">
        <f aca="false">9.9/MIN(B21:J21)</f>
        <v>1.32885906040268</v>
      </c>
      <c r="P21" s="2" t="n">
        <v>0.01</v>
      </c>
      <c r="Q21" s="3" t="n">
        <f aca="false">P21/MIN(B21:J21)</f>
        <v>0.00134228187919463</v>
      </c>
    </row>
    <row r="22" customFormat="false" ht="12.8" hidden="false" customHeight="false" outlineLevel="0" collapsed="false">
      <c r="A22" s="0" t="s">
        <v>36</v>
      </c>
      <c r="B22" s="6" t="n">
        <v>2792</v>
      </c>
      <c r="C22" s="6" t="n">
        <f aca="false">279/0.1</f>
        <v>2790</v>
      </c>
      <c r="D22" s="6" t="n">
        <f aca="false">279/0.1</f>
        <v>2790</v>
      </c>
      <c r="E22" s="6"/>
      <c r="F22" s="6"/>
      <c r="G22" s="6"/>
      <c r="H22" s="6" t="n">
        <f aca="false">259/0.1</f>
        <v>2590</v>
      </c>
      <c r="I22" s="6" t="n">
        <v>1790</v>
      </c>
      <c r="J22" s="6"/>
      <c r="M22" s="0" t="n">
        <f aca="false">7170/MIN(B22:J22)</f>
        <v>4.00558659217877</v>
      </c>
      <c r="N22" s="1" t="n">
        <f aca="false">M22*2.39</f>
        <v>9.57335195530726</v>
      </c>
      <c r="O22" s="1" t="n">
        <f aca="false">7333.9/MIN(B22:J22)</f>
        <v>4.09715083798883</v>
      </c>
      <c r="P22" s="2" t="n">
        <v>3.41</v>
      </c>
      <c r="Q22" s="3" t="n">
        <f aca="false">P22/MIN(B22:J22)</f>
        <v>0.00190502793296089</v>
      </c>
    </row>
    <row r="23" customFormat="false" ht="12.8" hidden="false" customHeight="false" outlineLevel="0" collapsed="false">
      <c r="A23" s="0" t="s">
        <v>37</v>
      </c>
      <c r="B23" s="7" t="s">
        <v>38</v>
      </c>
      <c r="C23" s="7"/>
      <c r="D23" s="7" t="n">
        <f aca="false">300/0.25</f>
        <v>1200</v>
      </c>
      <c r="E23" s="7"/>
      <c r="F23" s="7"/>
      <c r="G23" s="7"/>
      <c r="H23" s="7"/>
      <c r="I23" s="7" t="n">
        <f aca="false">399/0.25</f>
        <v>1596</v>
      </c>
      <c r="J23" s="7"/>
      <c r="M23" s="0" t="n">
        <f aca="false">8920/MIN(B23:J23)</f>
        <v>7.43333333333333</v>
      </c>
      <c r="N23" s="1" t="n">
        <f aca="false">M23*2.39</f>
        <v>17.7656666666667</v>
      </c>
      <c r="O23" s="1" t="n">
        <f aca="false">8920/MIN(B23:J23)</f>
        <v>7.43333333333333</v>
      </c>
      <c r="P23" s="2" t="n">
        <v>0</v>
      </c>
      <c r="Q23" s="3" t="n">
        <f aca="false">P23/MIN(B23:J23)</f>
        <v>0</v>
      </c>
    </row>
    <row r="24" customFormat="false" ht="12.8" hidden="false" customHeight="false" outlineLevel="0" collapsed="false">
      <c r="A24" s="0" t="s">
        <v>39</v>
      </c>
      <c r="B24" s="7" t="n">
        <v>229</v>
      </c>
      <c r="C24" s="7" t="n">
        <v>219</v>
      </c>
      <c r="D24" s="7"/>
      <c r="E24" s="7"/>
      <c r="F24" s="7" t="n">
        <v>239</v>
      </c>
      <c r="G24" s="7"/>
      <c r="H24" s="7" t="n">
        <v>189</v>
      </c>
      <c r="I24" s="7" t="n">
        <v>229</v>
      </c>
      <c r="J24" s="7"/>
      <c r="M24" s="0" t="n">
        <f aca="false">610/MIN(B24:J24)</f>
        <v>3.22751322751323</v>
      </c>
      <c r="N24" s="1" t="n">
        <f aca="false">M24*2.39</f>
        <v>7.71375661375661</v>
      </c>
      <c r="O24" s="1" t="n">
        <f aca="false">418.5/MIN(B24:J24)</f>
        <v>2.21428571428571</v>
      </c>
      <c r="P24" s="2" t="n">
        <v>322.08</v>
      </c>
      <c r="Q24" s="3" t="n">
        <f aca="false">P24/MIN(B24:J24)</f>
        <v>1.70412698412698</v>
      </c>
    </row>
    <row r="25" customFormat="false" ht="12.8" hidden="false" customHeight="false" outlineLevel="0" collapsed="false">
      <c r="B25" s="7"/>
      <c r="C25" s="7"/>
      <c r="D25" s="7"/>
      <c r="E25" s="7"/>
      <c r="F25" s="7"/>
      <c r="G25" s="7"/>
      <c r="H25" s="7"/>
      <c r="I25" s="7"/>
      <c r="J25" s="7"/>
    </row>
    <row r="26" customFormat="false" ht="12.8" hidden="false" customHeight="false" outlineLevel="0" collapsed="false">
      <c r="A26" s="0" t="s">
        <v>40</v>
      </c>
      <c r="B26" s="6" t="n">
        <f aca="false">89/1.5</f>
        <v>59.3333333333333</v>
      </c>
      <c r="C26" s="6" t="n">
        <v>50</v>
      </c>
      <c r="D26" s="6" t="n">
        <f aca="false">69/2</f>
        <v>34.5</v>
      </c>
      <c r="E26" s="6" t="n">
        <v>73</v>
      </c>
      <c r="F26" s="6" t="n">
        <f aca="false">69/1.5</f>
        <v>46</v>
      </c>
      <c r="G26" s="6" t="n">
        <v>66</v>
      </c>
      <c r="H26" s="6" t="n">
        <v>50</v>
      </c>
      <c r="I26" s="6" t="n">
        <f aca="false">59/1.5</f>
        <v>39.3333333333333</v>
      </c>
      <c r="J26" s="6" t="n">
        <f aca="false">69/1.5</f>
        <v>46</v>
      </c>
      <c r="M26" s="0" t="n">
        <f aca="false">0.1/MIN(B26:J26)</f>
        <v>0.00289855072463768</v>
      </c>
      <c r="N26" s="1" t="n">
        <f aca="false">M26*2.39</f>
        <v>0.00692753623188406</v>
      </c>
      <c r="O26" s="1" t="n">
        <f aca="false">0.1/MIN(B26:J26)</f>
        <v>0.00289855072463768</v>
      </c>
      <c r="P26" s="2" t="n">
        <v>4.2</v>
      </c>
      <c r="Q26" s="3" t="n">
        <f aca="false">P26/MIN(B26:J26)</f>
        <v>0.121739130434783</v>
      </c>
    </row>
    <row r="27" customFormat="false" ht="12.8" hidden="false" customHeight="false" outlineLevel="0" collapsed="false">
      <c r="A27" s="0" t="s">
        <v>41</v>
      </c>
      <c r="B27" s="6" t="n">
        <f aca="false">299/25</f>
        <v>11.96</v>
      </c>
      <c r="C27" s="6" t="n">
        <f aca="false">369/20</f>
        <v>18.45</v>
      </c>
      <c r="D27" s="6" t="n">
        <f aca="false">85/20</f>
        <v>4.25</v>
      </c>
      <c r="E27" s="6"/>
      <c r="F27" s="6"/>
      <c r="G27" s="6"/>
      <c r="H27" s="6" t="n">
        <f aca="false">689/75</f>
        <v>9.18666666666667</v>
      </c>
      <c r="I27" s="6" t="n">
        <f aca="false">349/50</f>
        <v>6.98</v>
      </c>
      <c r="J27" s="6"/>
      <c r="M27" s="0" t="n">
        <f aca="false">0.1/MIN(B27:J27)</f>
        <v>0.0235294117647059</v>
      </c>
      <c r="N27" s="1" t="n">
        <f aca="false">M27*2.39</f>
        <v>0.0562352941176471</v>
      </c>
      <c r="O27" s="1" t="n">
        <f aca="false">0.1/MIN(B27:J27)</f>
        <v>0.0235294117647059</v>
      </c>
      <c r="P27" s="2" t="n">
        <v>87.63</v>
      </c>
      <c r="Q27" s="3" t="n">
        <f aca="false">P27/MIN(B27:J27)</f>
        <v>20.6188235294118</v>
      </c>
    </row>
    <row r="28" customFormat="false" ht="12.8" hidden="false" customHeight="false" outlineLevel="0" collapsed="false">
      <c r="A28" s="0" t="s">
        <v>42</v>
      </c>
      <c r="B28" s="6" t="n">
        <v>229</v>
      </c>
      <c r="C28" s="6" t="n">
        <v>459</v>
      </c>
      <c r="D28" s="6"/>
      <c r="E28" s="6"/>
      <c r="F28" s="6"/>
      <c r="G28" s="6"/>
      <c r="H28" s="6"/>
      <c r="I28" s="6" t="n">
        <v>229</v>
      </c>
      <c r="J28" s="6"/>
      <c r="M28" s="0" t="n">
        <f aca="false">0.1/MIN(B28:J28)</f>
        <v>0.000436681222707424</v>
      </c>
      <c r="N28" s="1" t="n">
        <f aca="false">M28*2.39</f>
        <v>0.00104366812227074</v>
      </c>
      <c r="O28" s="1" t="n">
        <f aca="false">0.1/MIN(B28:J28)</f>
        <v>0.000436681222707424</v>
      </c>
      <c r="P28" s="2" t="n">
        <v>0</v>
      </c>
      <c r="Q28" s="3" t="n">
        <f aca="false">P28/MIN(B28:J28)</f>
        <v>0</v>
      </c>
    </row>
    <row r="29" customFormat="false" ht="12.8" hidden="false" customHeight="false" outlineLevel="0" collapsed="false">
      <c r="A29" s="0" t="s">
        <v>43</v>
      </c>
      <c r="B29" s="6" t="n">
        <f aca="false">389/0.25</f>
        <v>1556</v>
      </c>
      <c r="C29" s="6" t="n">
        <f aca="false">389/0.25</f>
        <v>1556</v>
      </c>
      <c r="D29" s="6" t="n">
        <f aca="false">389/0.25</f>
        <v>1556</v>
      </c>
      <c r="E29" s="6"/>
      <c r="F29" s="6" t="n">
        <v>3196</v>
      </c>
      <c r="G29" s="6"/>
      <c r="H29" s="6"/>
      <c r="I29" s="6" t="n">
        <v>1556</v>
      </c>
      <c r="J29" s="6"/>
      <c r="M29" s="0" t="n">
        <f aca="false">600/MIN(B29:J29)</f>
        <v>0.38560411311054</v>
      </c>
      <c r="N29" s="1" t="n">
        <f aca="false">M29*2.39</f>
        <v>0.92159383033419</v>
      </c>
      <c r="O29" s="1" t="n">
        <f aca="false">140/MIN(B29:J29)</f>
        <v>0.089974293059126</v>
      </c>
      <c r="P29" s="2" t="n">
        <v>68.08</v>
      </c>
      <c r="Q29" s="3" t="n">
        <f aca="false">P29/MIN(B29:J29)</f>
        <v>0.0437532133676093</v>
      </c>
    </row>
    <row r="30" customFormat="false" ht="12.8" hidden="false" customHeight="false" outlineLevel="0" collapsed="false">
      <c r="A30" s="0" t="s">
        <v>44</v>
      </c>
      <c r="B30" s="6" t="n">
        <f aca="false">599/0.25</f>
        <v>2396</v>
      </c>
      <c r="C30" s="6" t="n">
        <f aca="false">819/0.1</f>
        <v>8190</v>
      </c>
      <c r="D30" s="6" t="s">
        <v>45</v>
      </c>
      <c r="E30" s="6"/>
      <c r="F30" s="6"/>
      <c r="G30" s="6"/>
      <c r="H30" s="6"/>
      <c r="I30" s="6" t="n">
        <v>1998</v>
      </c>
      <c r="J30" s="6"/>
      <c r="M30" s="0" t="n">
        <f aca="false">600/MIN(B30:J30)</f>
        <v>0.3003003003003</v>
      </c>
      <c r="N30" s="1" t="n">
        <f aca="false">M30*2.39</f>
        <v>0.717717717717718</v>
      </c>
      <c r="O30" s="1" t="n">
        <f aca="false">140/MIN(B30:J30)</f>
        <v>0.0700700700700701</v>
      </c>
      <c r="P30" s="2" t="n">
        <v>68.08</v>
      </c>
      <c r="Q30" s="3" t="n">
        <f aca="false">P30/MIN(B30:J30)</f>
        <v>0.0340740740740741</v>
      </c>
    </row>
    <row r="31" customFormat="false" ht="12.8" hidden="false" customHeight="false" outlineLevel="0" collapsed="false">
      <c r="B31" s="6"/>
      <c r="C31" s="6"/>
      <c r="D31" s="6"/>
      <c r="E31" s="6"/>
      <c r="F31" s="6"/>
      <c r="G31" s="6"/>
      <c r="H31" s="6"/>
      <c r="I31" s="6"/>
      <c r="J31" s="6"/>
      <c r="O31" s="1" t="s">
        <v>46</v>
      </c>
    </row>
    <row r="32" customFormat="false" ht="12.8" hidden="false" customHeight="false" outlineLevel="0" collapsed="false">
      <c r="A32" s="0" t="s">
        <v>47</v>
      </c>
      <c r="B32" s="6"/>
      <c r="C32" s="6"/>
      <c r="D32" s="6"/>
      <c r="E32" s="6"/>
      <c r="F32" s="6"/>
      <c r="G32" s="6"/>
      <c r="H32" s="6"/>
      <c r="I32" s="6"/>
      <c r="J32" s="6"/>
      <c r="O32" s="1" t="s">
        <v>46</v>
      </c>
    </row>
    <row r="33" customFormat="false" ht="12.8" hidden="false" customHeight="false" outlineLevel="0" collapsed="false">
      <c r="A33" s="0" t="s">
        <v>48</v>
      </c>
      <c r="B33" s="6" t="n">
        <v>198</v>
      </c>
      <c r="C33" s="6" t="n">
        <v>499</v>
      </c>
      <c r="D33" s="6" t="n">
        <v>199</v>
      </c>
      <c r="E33" s="6"/>
      <c r="F33" s="6"/>
      <c r="G33" s="6" t="n">
        <v>249</v>
      </c>
      <c r="H33" s="6" t="n">
        <v>329</v>
      </c>
      <c r="I33" s="6" t="n">
        <v>299</v>
      </c>
      <c r="J33" s="6"/>
      <c r="M33" s="0" t="n">
        <f aca="false">180/MIN(B33:J33)</f>
        <v>0.909090909090909</v>
      </c>
      <c r="N33" s="1" t="n">
        <f aca="false">M33*2.39</f>
        <v>2.17272727272727</v>
      </c>
      <c r="O33" s="1" t="n">
        <f aca="false">53.2/MIN(B33:J33)</f>
        <v>0.268686868686869</v>
      </c>
      <c r="P33" s="2" t="n">
        <v>291.51</v>
      </c>
      <c r="Q33" s="3" t="n">
        <f aca="false">P33/MIN(B33:J33)</f>
        <v>1.47227272727273</v>
      </c>
    </row>
    <row r="34" customFormat="false" ht="12.8" hidden="false" customHeight="false" outlineLevel="0" collapsed="false">
      <c r="A34" s="0" t="s">
        <v>49</v>
      </c>
      <c r="B34" s="6" t="n">
        <f aca="false">399/0.75</f>
        <v>532</v>
      </c>
      <c r="C34" s="6" t="n">
        <v>570</v>
      </c>
      <c r="D34" s="6" t="n">
        <v>299</v>
      </c>
      <c r="E34" s="6"/>
      <c r="F34" s="6"/>
      <c r="G34" s="6"/>
      <c r="H34" s="6" t="n">
        <v>355</v>
      </c>
      <c r="I34" s="6" t="n">
        <v>319</v>
      </c>
      <c r="J34" s="6"/>
      <c r="M34" s="0" t="n">
        <f aca="false">200/MIN(B34:J34)</f>
        <v>0.668896321070234</v>
      </c>
      <c r="N34" s="1" t="n">
        <f aca="false">M34*2.39</f>
        <v>1.59866220735786</v>
      </c>
      <c r="O34" s="1" t="n">
        <f aca="false">49.7/MIN(B34:J34)</f>
        <v>0.166220735785953</v>
      </c>
      <c r="P34" s="2" t="n">
        <v>129.5</v>
      </c>
      <c r="Q34" s="3" t="n">
        <f aca="false">P34/MIN(B34:J34)</f>
        <v>0.433110367892977</v>
      </c>
    </row>
    <row r="35" customFormat="false" ht="12.8" hidden="false" customHeight="false" outlineLevel="0" collapsed="false">
      <c r="A35" s="0" t="s">
        <v>50</v>
      </c>
      <c r="B35" s="6" t="n">
        <v>89</v>
      </c>
      <c r="C35" s="6" t="n">
        <v>89</v>
      </c>
      <c r="D35" s="6"/>
      <c r="E35" s="6"/>
      <c r="F35" s="6"/>
      <c r="G35" s="6" t="n">
        <v>99</v>
      </c>
      <c r="H35" s="6" t="n">
        <v>89</v>
      </c>
      <c r="I35" s="6" t="n">
        <v>89</v>
      </c>
      <c r="J35" s="6"/>
      <c r="M35" s="0" t="n">
        <f aca="false">960/MIN(B35:J35)</f>
        <v>10.7865168539326</v>
      </c>
      <c r="N35" s="1" t="n">
        <f aca="false">M35*2.39</f>
        <v>25.7797752808989</v>
      </c>
      <c r="O35" s="1" t="n">
        <f aca="false">271.4/MIN(B35:J35)</f>
        <v>3.04943820224719</v>
      </c>
      <c r="P35" s="2" t="n">
        <v>216.47</v>
      </c>
      <c r="Q35" s="3" t="n">
        <f aca="false">P35/MIN(B35:J35)</f>
        <v>2.43224719101124</v>
      </c>
    </row>
    <row r="36" customFormat="false" ht="12.8" hidden="false" customHeight="false" outlineLevel="0" collapsed="false">
      <c r="A36" s="0" t="s">
        <v>51</v>
      </c>
      <c r="B36" s="6" t="n">
        <f aca="false">129/0.3</f>
        <v>430</v>
      </c>
      <c r="C36" s="6" t="n">
        <v>149</v>
      </c>
      <c r="D36" s="6"/>
      <c r="E36" s="6"/>
      <c r="F36" s="6"/>
      <c r="G36" s="6"/>
      <c r="H36" s="6" t="n">
        <v>399</v>
      </c>
      <c r="I36" s="6" t="n">
        <v>399</v>
      </c>
      <c r="J36" s="6"/>
      <c r="M36" s="0" t="n">
        <f aca="false">150/MIN(B36:J36)</f>
        <v>1.00671140939597</v>
      </c>
      <c r="N36" s="1" t="n">
        <f aca="false">M36*2.39</f>
        <v>2.40604026845638</v>
      </c>
      <c r="O36" s="1" t="n">
        <f aca="false">35.9/MIN(B36:J36)</f>
        <v>0.240939597315436</v>
      </c>
      <c r="P36" s="2" t="n">
        <v>317.52</v>
      </c>
      <c r="Q36" s="3" t="n">
        <f aca="false">P36/MIN(B36:J36)</f>
        <v>2.1310067114094</v>
      </c>
    </row>
    <row r="37" customFormat="false" ht="12.8" hidden="false" customHeight="false" outlineLevel="0" collapsed="false">
      <c r="A37" s="0" t="s">
        <v>52</v>
      </c>
      <c r="B37" s="6" t="n">
        <v>199</v>
      </c>
      <c r="C37" s="6" t="n">
        <v>233</v>
      </c>
      <c r="D37" s="6" t="n">
        <v>169</v>
      </c>
      <c r="E37" s="6"/>
      <c r="F37" s="6"/>
      <c r="G37" s="6" t="n">
        <v>169</v>
      </c>
      <c r="H37" s="6" t="n">
        <v>189</v>
      </c>
      <c r="I37" s="6" t="n">
        <v>199</v>
      </c>
      <c r="J37" s="6"/>
      <c r="M37" s="0" t="n">
        <f aca="false">410/MIN(B37:J37)</f>
        <v>2.42603550295858</v>
      </c>
      <c r="N37" s="1" t="n">
        <f aca="false">M37*2.39</f>
        <v>5.79822485207101</v>
      </c>
      <c r="O37" s="1" t="n">
        <f aca="false">58.8/MIN(B37:J37)</f>
        <v>0.34792899408284</v>
      </c>
      <c r="P37" s="2" t="n">
        <v>160</v>
      </c>
      <c r="Q37" s="3" t="n">
        <f aca="false">P37/MIN(B37:J37)</f>
        <v>0.946745562130177</v>
      </c>
    </row>
    <row r="38" customFormat="false" ht="12.8" hidden="false" customHeight="false" outlineLevel="0" collapsed="false">
      <c r="A38" s="0" t="s">
        <v>53</v>
      </c>
      <c r="B38" s="6" t="n">
        <v>155</v>
      </c>
      <c r="C38" s="6" t="n">
        <v>169</v>
      </c>
      <c r="D38" s="6" t="n">
        <v>169</v>
      </c>
      <c r="E38" s="6"/>
      <c r="F38" s="6"/>
      <c r="G38" s="6" t="n">
        <v>169</v>
      </c>
      <c r="H38" s="6" t="n">
        <v>100</v>
      </c>
      <c r="I38" s="6" t="n">
        <v>219</v>
      </c>
      <c r="J38" s="6"/>
      <c r="M38" s="0" t="n">
        <f aca="false">400/MIN(B38:J38)</f>
        <v>4</v>
      </c>
      <c r="N38" s="1" t="n">
        <f aca="false">M38*2.39</f>
        <v>9.56</v>
      </c>
      <c r="O38" s="1" t="n">
        <f aca="false">53/MIN(B38:J38)</f>
        <v>0.53</v>
      </c>
      <c r="P38" s="2" t="n">
        <v>160.6</v>
      </c>
      <c r="Q38" s="3" t="n">
        <f aca="false">P38/MIN(B38:J38)</f>
        <v>1.606</v>
      </c>
    </row>
    <row r="39" customFormat="false" ht="12.8" hidden="false" customHeight="false" outlineLevel="0" collapsed="false">
      <c r="A39" s="0" t="s">
        <v>54</v>
      </c>
      <c r="B39" s="6" t="n">
        <v>698</v>
      </c>
      <c r="C39" s="6" t="n">
        <v>699</v>
      </c>
      <c r="D39" s="6" t="n">
        <v>598</v>
      </c>
      <c r="E39" s="6"/>
      <c r="F39" s="6"/>
      <c r="G39" s="6" t="n">
        <f aca="false">349/0.5</f>
        <v>698</v>
      </c>
      <c r="H39" s="6" t="n">
        <v>899</v>
      </c>
      <c r="I39" s="6" t="n">
        <f aca="false">299/0.5</f>
        <v>598</v>
      </c>
      <c r="J39" s="6"/>
      <c r="M39" s="0" t="n">
        <f aca="false">220/MIN(B39:J39)</f>
        <v>0.367892976588629</v>
      </c>
      <c r="N39" s="1" t="n">
        <f aca="false">M39*2.39</f>
        <v>0.879264214046823</v>
      </c>
      <c r="O39" s="1" t="n">
        <f aca="false">154.2/MIN(B39:J39)</f>
        <v>0.257859531772575</v>
      </c>
      <c r="P39" s="2" t="n">
        <v>305.26</v>
      </c>
      <c r="Q39" s="3" t="n">
        <f aca="false">P39/MIN(B39:J39)</f>
        <v>0.510468227424749</v>
      </c>
    </row>
    <row r="40" customFormat="false" ht="12.8" hidden="false" customHeight="false" outlineLevel="0" collapsed="false">
      <c r="A40" s="0" t="s">
        <v>55</v>
      </c>
      <c r="B40" s="6" t="n">
        <v>1895</v>
      </c>
      <c r="C40" s="6" t="n">
        <v>999</v>
      </c>
      <c r="D40" s="6" t="n">
        <v>899</v>
      </c>
      <c r="E40" s="6"/>
      <c r="F40" s="6"/>
      <c r="G40" s="6"/>
      <c r="H40" s="6" t="n">
        <v>999</v>
      </c>
      <c r="I40" s="6" t="n">
        <v>1895</v>
      </c>
      <c r="J40" s="6"/>
      <c r="M40" s="0" t="n">
        <f aca="false">1490/MIN(B40:J40)</f>
        <v>1.65739710789766</v>
      </c>
      <c r="N40" s="1" t="n">
        <f aca="false">M40*2.39</f>
        <v>3.96117908787542</v>
      </c>
      <c r="O40" s="1" t="n">
        <f aca="false">299.4/MIN(B40:J40)</f>
        <v>0.333036707452725</v>
      </c>
      <c r="P40" s="2" t="n">
        <v>12.03</v>
      </c>
      <c r="Q40" s="3" t="n">
        <f aca="false">P40/MIN(B40:J40)</f>
        <v>0.0133815350389321</v>
      </c>
    </row>
    <row r="41" customFormat="false" ht="12.8" hidden="false" customHeight="false" outlineLevel="0" collapsed="false">
      <c r="A41" s="0" t="s">
        <v>56</v>
      </c>
      <c r="B41" s="6" t="n">
        <v>379</v>
      </c>
      <c r="C41" s="6" t="n">
        <v>299</v>
      </c>
      <c r="D41" s="6" t="n">
        <v>399</v>
      </c>
      <c r="E41" s="6"/>
      <c r="F41" s="6"/>
      <c r="G41" s="6"/>
      <c r="H41" s="6"/>
      <c r="I41" s="6" t="n">
        <v>399</v>
      </c>
      <c r="J41" s="6"/>
      <c r="M41" s="0" t="n">
        <f aca="false">170/MIN(B41:J41)</f>
        <v>0.568561872909699</v>
      </c>
      <c r="N41" s="1" t="n">
        <f aca="false">M41*2.39</f>
        <v>1.35886287625418</v>
      </c>
      <c r="O41" s="1" t="n">
        <f aca="false">77.2/MIN(B41:J41)</f>
        <v>0.25819397993311</v>
      </c>
      <c r="P41" s="2" t="n">
        <v>307.98</v>
      </c>
      <c r="Q41" s="3" t="n">
        <f aca="false">P41/MIN(B41:J41)</f>
        <v>1.03003344481605</v>
      </c>
    </row>
    <row r="42" customFormat="false" ht="12.8" hidden="false" customHeight="false" outlineLevel="0" collapsed="false">
      <c r="A42" s="0" t="s">
        <v>57</v>
      </c>
      <c r="B42" s="6" t="n">
        <v>1499</v>
      </c>
      <c r="C42" s="6" t="n">
        <v>1999</v>
      </c>
      <c r="D42" s="6" t="n">
        <v>1499</v>
      </c>
      <c r="E42" s="6"/>
      <c r="F42" s="6"/>
      <c r="G42" s="6"/>
      <c r="H42" s="6"/>
      <c r="I42" s="6" t="n">
        <v>599</v>
      </c>
      <c r="J42" s="6"/>
      <c r="M42" s="0" t="n">
        <f aca="false">118/MIN(B42:J42)</f>
        <v>0.196994991652755</v>
      </c>
      <c r="N42" s="1" t="n">
        <f aca="false">M42*2.39</f>
        <v>0.470818030050083</v>
      </c>
      <c r="O42" s="1" t="n">
        <f aca="false">147.1/MIN(B42:J42)</f>
        <v>0.245575959933222</v>
      </c>
      <c r="P42" s="2" t="n">
        <v>0</v>
      </c>
      <c r="Q42" s="3" t="n">
        <f aca="false">P42/MIN(B42:J42)</f>
        <v>0</v>
      </c>
    </row>
    <row r="43" customFormat="false" ht="12.8" hidden="false" customHeight="false" outlineLevel="0" collapsed="false">
      <c r="A43" s="0" t="s">
        <v>58</v>
      </c>
      <c r="B43" s="6" t="n">
        <v>699</v>
      </c>
      <c r="C43" s="6"/>
      <c r="D43" s="6" t="n">
        <v>899</v>
      </c>
      <c r="E43" s="6"/>
      <c r="F43" s="6"/>
      <c r="G43" s="6"/>
      <c r="H43" s="6"/>
      <c r="I43" s="6" t="n">
        <v>999</v>
      </c>
      <c r="J43" s="6"/>
      <c r="M43" s="0" t="n">
        <f aca="false">800/MIN(B43:J43)</f>
        <v>1.1444921316166</v>
      </c>
      <c r="N43" s="1" t="n">
        <f aca="false">M43*2.39</f>
        <v>2.73533619456366</v>
      </c>
      <c r="O43" s="1" t="n">
        <f aca="false">140.3/MIN(B43:J43)</f>
        <v>0.20071530758226</v>
      </c>
      <c r="P43" s="2" t="n">
        <v>9.13</v>
      </c>
      <c r="Q43" s="3" t="n">
        <f aca="false">P43/MIN(B43:J43)</f>
        <v>0.0130615164520744</v>
      </c>
    </row>
    <row r="44" customFormat="false" ht="12.8" hidden="false" customHeight="false" outlineLevel="0" collapsed="false">
      <c r="A44" s="0" t="s">
        <v>59</v>
      </c>
      <c r="B44" s="6" t="n">
        <f aca="false">119/0.2</f>
        <v>595</v>
      </c>
      <c r="C44" s="6" t="n">
        <f aca="false">129/0.2</f>
        <v>645</v>
      </c>
      <c r="D44" s="6" t="n">
        <f aca="false">129/0.2</f>
        <v>645</v>
      </c>
      <c r="E44" s="6"/>
      <c r="F44" s="6"/>
      <c r="G44" s="6"/>
      <c r="H44" s="6" t="n">
        <f aca="false">119/0.2</f>
        <v>595</v>
      </c>
      <c r="I44" s="6" t="n">
        <f aca="false">199/0.2</f>
        <v>995</v>
      </c>
      <c r="J44" s="6"/>
      <c r="M44" s="0" t="n">
        <f aca="false">270/MIN(B44:J44)</f>
        <v>0.453781512605042</v>
      </c>
      <c r="N44" s="1" t="n">
        <f aca="false">M44*2.39</f>
        <v>1.08453781512605</v>
      </c>
      <c r="O44" s="1" t="n">
        <f aca="false">77/MIN(B44:J44)</f>
        <v>0.129411764705882</v>
      </c>
      <c r="P44" s="2" t="n">
        <v>472.52</v>
      </c>
      <c r="Q44" s="3" t="n">
        <f aca="false">P44/MIN(B44:J44)</f>
        <v>0.794151260504202</v>
      </c>
    </row>
    <row r="45" customFormat="false" ht="12.8" hidden="false" customHeight="false" outlineLevel="0" collapsed="false">
      <c r="A45" s="0" t="s">
        <v>60</v>
      </c>
      <c r="B45" s="6" t="n">
        <v>149</v>
      </c>
      <c r="C45" s="6" t="n">
        <v>129</v>
      </c>
      <c r="D45" s="6" t="n">
        <v>129</v>
      </c>
      <c r="E45" s="6"/>
      <c r="F45" s="6"/>
      <c r="G45" s="6"/>
      <c r="H45" s="6" t="n">
        <v>119</v>
      </c>
      <c r="I45" s="6" t="n">
        <v>199</v>
      </c>
      <c r="J45" s="6"/>
      <c r="M45" s="0" t="n">
        <f aca="false">260/MIN(B45:J45)</f>
        <v>2.18487394957983</v>
      </c>
      <c r="N45" s="1" t="n">
        <f aca="false">M45*2.39</f>
        <v>5.2218487394958</v>
      </c>
      <c r="O45" s="1" t="n">
        <f aca="false">49/MIN(B45:J45)</f>
        <v>0.411764705882353</v>
      </c>
      <c r="P45" s="2" t="n">
        <v>264</v>
      </c>
      <c r="Q45" s="3" t="n">
        <f aca="false">P45/MIN(B45:J45)</f>
        <v>2.21848739495798</v>
      </c>
    </row>
    <row r="46" customFormat="false" ht="12.8" hidden="false" customHeight="false" outlineLevel="0" collapsed="false">
      <c r="A46" s="0" t="s">
        <v>61</v>
      </c>
      <c r="B46" s="6" t="n">
        <v>598</v>
      </c>
      <c r="C46" s="6" t="n">
        <f aca="false">329/0.5</f>
        <v>658</v>
      </c>
      <c r="D46" s="6" t="n">
        <f aca="false">299/0.5</f>
        <v>598</v>
      </c>
      <c r="E46" s="6"/>
      <c r="F46" s="6"/>
      <c r="G46" s="6"/>
      <c r="H46" s="6"/>
      <c r="I46" s="6" t="n">
        <f aca="false">299/0.5</f>
        <v>598</v>
      </c>
      <c r="J46" s="6"/>
      <c r="M46" s="0" t="n">
        <f aca="false">340/MIN(B46:J46)</f>
        <v>0.568561872909699</v>
      </c>
      <c r="N46" s="1" t="n">
        <f aca="false">M46*2.39</f>
        <v>1.35886287625418</v>
      </c>
      <c r="O46" s="1" t="n">
        <f aca="false">146.1/MIN(B46:J46)</f>
        <v>0.244314381270903</v>
      </c>
      <c r="P46" s="2" t="n">
        <v>284.23</v>
      </c>
      <c r="Q46" s="3" t="n">
        <f aca="false">P46/MIN(B46:J46)</f>
        <v>0.475301003344482</v>
      </c>
    </row>
    <row r="47" customFormat="false" ht="12.8" hidden="false" customHeight="false" outlineLevel="0" collapsed="false">
      <c r="A47" s="0" t="s">
        <v>62</v>
      </c>
      <c r="B47" s="6" t="n">
        <f aca="false">599/0.9</f>
        <v>665.555555555556</v>
      </c>
      <c r="C47" s="6" t="n">
        <f aca="false">329/0.878</f>
        <v>374.715261958998</v>
      </c>
      <c r="D47" s="6"/>
      <c r="E47" s="6"/>
      <c r="F47" s="6"/>
      <c r="G47" s="6"/>
      <c r="H47" s="6"/>
      <c r="I47" s="6" t="n">
        <f aca="false">599/0.878</f>
        <v>682.232346241458</v>
      </c>
      <c r="J47" s="6"/>
      <c r="M47" s="0" t="n">
        <f aca="false">250/MIN(B47:J47)</f>
        <v>0.667173252279635</v>
      </c>
      <c r="N47" s="1" t="n">
        <f aca="false">M47*2.39</f>
        <v>1.59454407294833</v>
      </c>
      <c r="O47" s="1" t="n">
        <f aca="false">102/MIN(B47:J47)</f>
        <v>0.272206686930091</v>
      </c>
      <c r="P47" s="2" t="n">
        <v>319.92</v>
      </c>
      <c r="Q47" s="3" t="n">
        <f aca="false">P47/MIN(B47:J47)</f>
        <v>0.853768267477204</v>
      </c>
    </row>
    <row r="48" customFormat="false" ht="12.8" hidden="false" customHeight="false" outlineLevel="0" collapsed="false">
      <c r="A48" s="0" t="s">
        <v>63</v>
      </c>
      <c r="B48" s="7" t="s">
        <v>38</v>
      </c>
      <c r="C48" s="7" t="n">
        <f aca="false">169/0.5</f>
        <v>338</v>
      </c>
      <c r="D48" s="7" t="n">
        <v>239</v>
      </c>
      <c r="E48" s="7"/>
      <c r="F48" s="7"/>
      <c r="G48" s="7"/>
      <c r="H48" s="7"/>
      <c r="I48" s="7" t="n">
        <v>229</v>
      </c>
      <c r="J48" s="7"/>
      <c r="M48" s="0" t="n">
        <f aca="false">420/MIN(B48:J48)</f>
        <v>1.83406113537118</v>
      </c>
      <c r="N48" s="1" t="n">
        <f aca="false">M48*2.39</f>
        <v>4.38340611353712</v>
      </c>
      <c r="O48" s="1" t="n">
        <f aca="false">87/MIN(B48:J48)</f>
        <v>0.379912663755458</v>
      </c>
      <c r="P48" s="2" t="n">
        <v>467.99</v>
      </c>
      <c r="Q48" s="3" t="n">
        <f aca="false">P48/MIN(B48:J48)</f>
        <v>2.04362445414847</v>
      </c>
    </row>
    <row r="49" customFormat="false" ht="12.8" hidden="false" customHeight="false" outlineLevel="0" collapsed="false">
      <c r="A49" s="0" t="s">
        <v>64</v>
      </c>
      <c r="B49" s="6"/>
      <c r="C49" s="6" t="n">
        <v>199</v>
      </c>
      <c r="D49" s="6"/>
      <c r="E49" s="6"/>
      <c r="F49" s="6"/>
      <c r="G49" s="6"/>
      <c r="H49" s="6" t="n">
        <v>249</v>
      </c>
      <c r="I49" s="6"/>
      <c r="J49" s="6"/>
      <c r="M49" s="0" t="n">
        <f aca="false">227/MIN(B49:J49)</f>
        <v>1.14070351758794</v>
      </c>
      <c r="N49" s="1" t="n">
        <f aca="false">M49*2.39</f>
        <v>2.72628140703518</v>
      </c>
      <c r="O49" s="1" t="n">
        <f aca="false">199.8/MIN(B49:J49)</f>
        <v>1.00402010050251</v>
      </c>
      <c r="P49" s="2" t="n">
        <v>689.5</v>
      </c>
      <c r="Q49" s="1" t="n">
        <f aca="false">P49/MIN(B49:J49)</f>
        <v>3.46482412060302</v>
      </c>
    </row>
    <row r="50" customFormat="false" ht="12.8" hidden="false" customHeight="false" outlineLevel="0" collapsed="false">
      <c r="A50" s="0" t="s">
        <v>65</v>
      </c>
      <c r="B50" s="6" t="n">
        <v>578</v>
      </c>
      <c r="C50" s="6"/>
      <c r="D50" s="6"/>
      <c r="E50" s="6"/>
      <c r="F50" s="6"/>
      <c r="G50" s="6"/>
      <c r="H50" s="6"/>
      <c r="I50" s="6"/>
      <c r="J50" s="6"/>
    </row>
    <row r="51" customFormat="false" ht="12.8" hidden="false" customHeight="false" outlineLevel="0" collapsed="false">
      <c r="B51" s="6"/>
      <c r="C51" s="6"/>
      <c r="D51" s="6"/>
      <c r="E51" s="6"/>
      <c r="F51" s="6"/>
      <c r="G51" s="6"/>
      <c r="H51" s="6"/>
      <c r="I51" s="6"/>
      <c r="J51" s="6"/>
    </row>
    <row r="52" customFormat="false" ht="12.8" hidden="false" customHeight="false" outlineLevel="0" collapsed="false">
      <c r="A52" s="0" t="s">
        <v>66</v>
      </c>
      <c r="B52" s="6"/>
      <c r="C52" s="6"/>
      <c r="D52" s="6"/>
      <c r="E52" s="6"/>
      <c r="F52" s="6"/>
      <c r="G52" s="6"/>
      <c r="H52" s="6"/>
      <c r="I52" s="6"/>
      <c r="J52" s="6"/>
      <c r="O52" s="1" t="s">
        <v>46</v>
      </c>
    </row>
    <row r="53" customFormat="false" ht="12.8" hidden="false" customHeight="false" outlineLevel="0" collapsed="false">
      <c r="A53" s="0" t="s">
        <v>67</v>
      </c>
      <c r="B53" s="6" t="n">
        <v>199</v>
      </c>
      <c r="C53" s="6" t="n">
        <v>449</v>
      </c>
      <c r="D53" s="6" t="n">
        <v>199</v>
      </c>
      <c r="E53" s="6"/>
      <c r="F53" s="6"/>
      <c r="G53" s="6"/>
      <c r="H53" s="6" t="n">
        <v>299</v>
      </c>
      <c r="I53" s="6" t="n">
        <v>199</v>
      </c>
      <c r="J53" s="6"/>
      <c r="M53" s="0" t="n">
        <f aca="false">100/MIN(B53:J53)</f>
        <v>0.50251256281407</v>
      </c>
      <c r="N53" s="1" t="n">
        <f aca="false">M53*2.39</f>
        <v>1.20100502512563</v>
      </c>
      <c r="O53" s="1" t="n">
        <f aca="false">27.6/MIN(B53:J53)</f>
        <v>0.138693467336683</v>
      </c>
      <c r="P53" s="2" t="n">
        <v>458.39</v>
      </c>
      <c r="Q53" s="3" t="n">
        <f aca="false">P53/MIN(B53:J53)</f>
        <v>2.30346733668342</v>
      </c>
    </row>
    <row r="54" customFormat="false" ht="12.8" hidden="false" customHeight="false" outlineLevel="0" collapsed="false">
      <c r="A54" s="0" t="s">
        <v>68</v>
      </c>
      <c r="B54" s="6" t="n">
        <f aca="false">719*0.07</f>
        <v>50.33</v>
      </c>
      <c r="C54" s="6" t="n">
        <v>56</v>
      </c>
      <c r="D54" s="6" t="n">
        <v>159</v>
      </c>
      <c r="E54" s="6" t="n">
        <v>59</v>
      </c>
      <c r="F54" s="6"/>
      <c r="G54" s="6"/>
      <c r="H54" s="6" t="n">
        <v>55</v>
      </c>
      <c r="I54" s="6" t="n">
        <v>80</v>
      </c>
      <c r="J54" s="6"/>
      <c r="M54" s="0" t="n">
        <f aca="false">57/MIN(B54:J54)</f>
        <v>1.1325253328035</v>
      </c>
      <c r="N54" s="1" t="n">
        <f aca="false">M54*2.39</f>
        <v>2.70673554540036</v>
      </c>
      <c r="O54" s="1" t="n">
        <f aca="false">14.7/MIN(B54:J54)</f>
        <v>0.292072322670375</v>
      </c>
      <c r="P54" s="2" t="n">
        <v>304.2</v>
      </c>
      <c r="Q54" s="3" t="n">
        <f aca="false">P54/MIN(B54:J54)</f>
        <v>6.04410888138287</v>
      </c>
    </row>
    <row r="55" customFormat="false" ht="12.8" hidden="false" customHeight="false" outlineLevel="0" collapsed="false">
      <c r="A55" s="0" t="s">
        <v>69</v>
      </c>
      <c r="B55" s="6" t="n">
        <v>199</v>
      </c>
      <c r="C55" s="6" t="n">
        <v>225</v>
      </c>
      <c r="D55" s="6"/>
      <c r="E55" s="6"/>
      <c r="F55" s="6" t="n">
        <v>199</v>
      </c>
      <c r="G55" s="6"/>
      <c r="H55" s="6" t="n">
        <v>179</v>
      </c>
      <c r="I55" s="6" t="n">
        <v>199</v>
      </c>
      <c r="J55" s="6"/>
      <c r="M55" s="0" t="n">
        <f aca="false">298/MIN(B55:J55)</f>
        <v>1.66480446927374</v>
      </c>
      <c r="N55" s="1" t="n">
        <f aca="false">M55*2.39</f>
        <v>3.97888268156425</v>
      </c>
      <c r="O55" s="1" t="n">
        <f aca="false">99.3/MIN(B55:J55)</f>
        <v>0.554748603351955</v>
      </c>
      <c r="P55" s="2" t="n">
        <v>225</v>
      </c>
      <c r="Q55" s="3" t="n">
        <f aca="false">P55/MIN(B55:J55)</f>
        <v>1.25698324022346</v>
      </c>
    </row>
    <row r="56" customFormat="false" ht="12.8" hidden="false" customHeight="false" outlineLevel="0" collapsed="false">
      <c r="A56" s="0" t="s">
        <v>70</v>
      </c>
      <c r="B56" s="7" t="s">
        <v>38</v>
      </c>
      <c r="C56" s="7" t="n">
        <v>239</v>
      </c>
      <c r="D56" s="7"/>
      <c r="E56" s="7"/>
      <c r="F56" s="7"/>
      <c r="G56" s="7" t="n">
        <v>199</v>
      </c>
      <c r="H56" s="7" t="n">
        <v>179</v>
      </c>
      <c r="I56" s="7" t="n">
        <f aca="false">379/2</f>
        <v>189.5</v>
      </c>
      <c r="J56" s="7"/>
      <c r="M56" s="0" t="n">
        <f aca="false">338/MIN(B56:J56)</f>
        <v>1.88826815642458</v>
      </c>
      <c r="N56" s="1" t="n">
        <f aca="false">M56*2.39</f>
        <v>4.51296089385475</v>
      </c>
      <c r="O56" s="1" t="n">
        <f aca="false">92.8/MIN(B56:J56)</f>
        <v>0.518435754189944</v>
      </c>
      <c r="P56" s="2" t="n">
        <v>408.6</v>
      </c>
      <c r="Q56" s="3" t="n">
        <f aca="false">P56/MIN(B56:J56)</f>
        <v>2.28268156424581</v>
      </c>
    </row>
    <row r="57" customFormat="false" ht="12.8" hidden="false" customHeight="false" outlineLevel="0" collapsed="false">
      <c r="A57" s="0" t="s">
        <v>71</v>
      </c>
      <c r="B57" s="6" t="n">
        <v>479</v>
      </c>
      <c r="C57" s="6" t="n">
        <v>369</v>
      </c>
      <c r="D57" s="6"/>
      <c r="E57" s="6"/>
      <c r="F57" s="6"/>
      <c r="G57" s="6"/>
      <c r="H57" s="6"/>
      <c r="I57" s="6" t="n">
        <v>349</v>
      </c>
      <c r="J57" s="6"/>
      <c r="M57" s="0" t="n">
        <f aca="false">385/MIN(B57:J57)</f>
        <v>1.10315186246418</v>
      </c>
      <c r="N57" s="1" t="n">
        <f aca="false">M57*2.39</f>
        <v>2.6365329512894</v>
      </c>
      <c r="O57" s="1" t="n">
        <f aca="false">234.1/MIN(B57:J57)</f>
        <v>0.670773638968481</v>
      </c>
      <c r="P57" s="2" t="n">
        <v>261.99</v>
      </c>
      <c r="Q57" s="3" t="n">
        <f aca="false">P57/MIN(B57:J57)</f>
        <v>0.750687679083095</v>
      </c>
    </row>
    <row r="58" customFormat="false" ht="12.8" hidden="false" customHeight="false" outlineLevel="0" collapsed="false">
      <c r="A58" s="0" t="s">
        <v>50</v>
      </c>
      <c r="B58" s="6" t="n">
        <v>139</v>
      </c>
      <c r="C58" s="6" t="n">
        <v>199</v>
      </c>
      <c r="D58" s="6"/>
      <c r="E58" s="6"/>
      <c r="F58" s="6"/>
      <c r="G58" s="6"/>
      <c r="H58" s="6" t="n">
        <v>139</v>
      </c>
      <c r="I58" s="6" t="n">
        <v>169</v>
      </c>
      <c r="J58" s="6"/>
      <c r="M58" s="0" t="n">
        <f aca="false">141/MIN(B58:J58)</f>
        <v>1.01438848920863</v>
      </c>
      <c r="N58" s="1" t="n">
        <f aca="false">M58*2.39</f>
        <v>2.42438848920863</v>
      </c>
      <c r="O58" s="1" t="n">
        <f aca="false">42.6/MIN(B58:J58)</f>
        <v>0.306474820143885</v>
      </c>
      <c r="P58" s="2" t="n">
        <v>216.5</v>
      </c>
      <c r="Q58" s="3" t="n">
        <f aca="false">P58/MIN(B58:J58)</f>
        <v>1.55755395683453</v>
      </c>
    </row>
    <row r="59" customFormat="false" ht="12.8" hidden="false" customHeight="false" outlineLevel="0" collapsed="false">
      <c r="A59" s="0" t="s">
        <v>72</v>
      </c>
      <c r="B59" s="6" t="n">
        <v>169</v>
      </c>
      <c r="C59" s="6" t="n">
        <v>179</v>
      </c>
      <c r="D59" s="6"/>
      <c r="E59" s="6"/>
      <c r="F59" s="6"/>
      <c r="G59" s="6"/>
      <c r="H59" s="6" t="n">
        <v>169</v>
      </c>
      <c r="I59" s="6" t="n">
        <v>169</v>
      </c>
      <c r="J59" s="6"/>
      <c r="M59" s="0" t="n">
        <f aca="false">141/MIN(B59:J59)</f>
        <v>0.834319526627219</v>
      </c>
      <c r="N59" s="1" t="n">
        <f aca="false">M59*2.39</f>
        <v>1.99402366863905</v>
      </c>
      <c r="O59" s="1" t="n">
        <f aca="false">43/MIN(B59:J59)</f>
        <v>0.254437869822485</v>
      </c>
      <c r="P59" s="2" t="n">
        <v>439</v>
      </c>
      <c r="Q59" s="3" t="n">
        <f aca="false">P59/MIN(B59:J59)</f>
        <v>2.59763313609467</v>
      </c>
    </row>
    <row r="60" customFormat="false" ht="12.8" hidden="false" customHeight="false" outlineLevel="0" collapsed="false">
      <c r="B60" s="6"/>
      <c r="C60" s="6"/>
      <c r="D60" s="6"/>
      <c r="E60" s="6"/>
      <c r="F60" s="6"/>
      <c r="G60" s="6"/>
      <c r="H60" s="6"/>
      <c r="I60" s="6"/>
      <c r="J60" s="6"/>
      <c r="O60" s="1" t="s">
        <v>46</v>
      </c>
    </row>
    <row r="61" customFormat="false" ht="12.8" hidden="false" customHeight="false" outlineLevel="0" collapsed="false">
      <c r="A61" s="0" t="s">
        <v>73</v>
      </c>
      <c r="B61" s="6"/>
      <c r="C61" s="6"/>
      <c r="D61" s="6"/>
      <c r="E61" s="6"/>
      <c r="F61" s="6"/>
      <c r="G61" s="6"/>
      <c r="H61" s="6"/>
      <c r="I61" s="6"/>
      <c r="J61" s="6"/>
      <c r="O61" s="1" t="s">
        <v>46</v>
      </c>
    </row>
    <row r="62" customFormat="false" ht="12.8" hidden="false" customHeight="false" outlineLevel="0" collapsed="false">
      <c r="A62" s="0" t="s">
        <v>50</v>
      </c>
      <c r="B62" s="6" t="n">
        <f aca="false">555.3</f>
        <v>555.3</v>
      </c>
      <c r="C62" s="6" t="n">
        <v>333</v>
      </c>
      <c r="D62" s="6"/>
      <c r="E62" s="6"/>
      <c r="F62" s="6"/>
      <c r="G62" s="6"/>
      <c r="H62" s="6" t="n">
        <v>299</v>
      </c>
      <c r="I62" s="6" t="n">
        <v>379</v>
      </c>
      <c r="J62" s="6"/>
      <c r="M62" s="0" t="n">
        <f aca="false">810/MIN(B62:J62)</f>
        <v>2.70903010033445</v>
      </c>
      <c r="N62" s="1" t="n">
        <f aca="false">M62*2.39</f>
        <v>6.47458193979933</v>
      </c>
      <c r="O62" s="1" t="n">
        <f aca="false">162.3/MIN(B62:J62)</f>
        <v>0.542809364548495</v>
      </c>
      <c r="P62" s="2" t="n">
        <v>216.5</v>
      </c>
      <c r="Q62" s="3" t="n">
        <f aca="false">P62/MIN(B62:J62)</f>
        <v>0.724080267558528</v>
      </c>
    </row>
    <row r="63" customFormat="false" ht="12.8" hidden="false" customHeight="false" outlineLevel="0" collapsed="false">
      <c r="A63" s="0" t="s">
        <v>74</v>
      </c>
      <c r="B63" s="6" t="n">
        <f aca="false">269/0.45</f>
        <v>597.777777777778</v>
      </c>
      <c r="C63" s="6" t="n">
        <v>2396</v>
      </c>
      <c r="D63" s="6"/>
      <c r="E63" s="6"/>
      <c r="F63" s="6"/>
      <c r="G63" s="6"/>
      <c r="H63" s="6"/>
      <c r="I63" s="6" t="n">
        <f aca="false">269/0.45</f>
        <v>597.777777777778</v>
      </c>
      <c r="J63" s="6"/>
      <c r="M63" s="0" t="n">
        <f aca="false">340/MIN(B63:J63)</f>
        <v>0.568773234200744</v>
      </c>
      <c r="N63" s="1" t="n">
        <f aca="false">M63*2.39</f>
        <v>1.35936802973978</v>
      </c>
      <c r="O63" s="1" t="n">
        <f aca="false">196.5/MIN(B63:J63)</f>
        <v>0.328717472118959</v>
      </c>
      <c r="P63" s="2" t="n">
        <v>346</v>
      </c>
      <c r="Q63" s="3" t="n">
        <f aca="false">P63/MIN(B63:J63)</f>
        <v>0.578810408921933</v>
      </c>
    </row>
    <row r="64" customFormat="false" ht="12.8" hidden="false" customHeight="false" outlineLevel="0" collapsed="false">
      <c r="A64" s="0" t="s">
        <v>75</v>
      </c>
      <c r="B64" s="6" t="n">
        <f aca="false">259/0.45</f>
        <v>575.555555555556</v>
      </c>
      <c r="C64" s="6" t="n">
        <v>499</v>
      </c>
      <c r="D64" s="6"/>
      <c r="E64" s="6"/>
      <c r="F64" s="6"/>
      <c r="G64" s="6"/>
      <c r="H64" s="6" t="n">
        <v>499</v>
      </c>
      <c r="I64" s="6" t="n">
        <v>299</v>
      </c>
      <c r="J64" s="6"/>
      <c r="M64" s="0" t="n">
        <f aca="false">400/MIN(B64:J64)</f>
        <v>1.33779264214047</v>
      </c>
      <c r="N64" s="1" t="n">
        <f aca="false">M64*2.39</f>
        <v>3.19732441471572</v>
      </c>
      <c r="O64" s="1" t="n">
        <f aca="false">107.4/MIN(B64:J64)</f>
        <v>0.359197324414716</v>
      </c>
      <c r="P64" s="2" t="n">
        <v>123.58</v>
      </c>
      <c r="Q64" s="3" t="n">
        <f aca="false">P64/MIN(B64:J64)</f>
        <v>0.413311036789298</v>
      </c>
    </row>
    <row r="65" customFormat="false" ht="12.8" hidden="false" customHeight="false" outlineLevel="0" collapsed="false">
      <c r="A65" s="0" t="s">
        <v>76</v>
      </c>
      <c r="B65" s="6"/>
      <c r="C65" s="6" t="n">
        <f aca="false">329/0.45</f>
        <v>731.111111111111</v>
      </c>
      <c r="D65" s="6"/>
      <c r="E65" s="6"/>
      <c r="F65" s="6"/>
      <c r="G65" s="6"/>
      <c r="H65" s="6"/>
      <c r="I65" s="6"/>
      <c r="J65" s="6"/>
    </row>
    <row r="66" customFormat="false" ht="12.8" hidden="false" customHeight="false" outlineLevel="0" collapsed="false">
      <c r="A66" s="0" t="s">
        <v>61</v>
      </c>
      <c r="B66" s="6"/>
      <c r="C66" s="6" t="n">
        <f aca="false">229/0.45</f>
        <v>508.888888888889</v>
      </c>
      <c r="D66" s="6"/>
      <c r="E66" s="6"/>
      <c r="F66" s="6"/>
      <c r="G66" s="6"/>
      <c r="H66" s="6"/>
      <c r="I66" s="6"/>
      <c r="J66" s="6"/>
    </row>
    <row r="67" customFormat="false" ht="12.8" hidden="false" customHeight="false" outlineLevel="0" collapsed="false">
      <c r="B67" s="6"/>
      <c r="C67" s="6"/>
      <c r="D67" s="6"/>
      <c r="E67" s="6"/>
      <c r="F67" s="6"/>
      <c r="G67" s="6"/>
      <c r="H67" s="6"/>
      <c r="I67" s="6"/>
      <c r="J67" s="6"/>
      <c r="O67" s="1" t="s">
        <v>46</v>
      </c>
    </row>
    <row r="68" customFormat="false" ht="12.8" hidden="false" customHeight="false" outlineLevel="0" collapsed="false">
      <c r="A68" s="0" t="s">
        <v>77</v>
      </c>
      <c r="B68" s="6"/>
      <c r="C68" s="6"/>
      <c r="D68" s="6"/>
      <c r="E68" s="6"/>
      <c r="F68" s="6"/>
      <c r="G68" s="6"/>
      <c r="H68" s="6"/>
      <c r="I68" s="6"/>
      <c r="J68" s="6"/>
      <c r="O68" s="1" t="s">
        <v>46</v>
      </c>
    </row>
    <row r="69" customFormat="false" ht="12.8" hidden="false" customHeight="false" outlineLevel="0" collapsed="false">
      <c r="A69" s="0" t="s">
        <v>78</v>
      </c>
      <c r="B69" s="7" t="s">
        <v>79</v>
      </c>
      <c r="C69" s="7" t="n">
        <v>945</v>
      </c>
      <c r="D69" s="7"/>
      <c r="E69" s="7"/>
      <c r="F69" s="7"/>
      <c r="G69" s="7"/>
      <c r="H69" s="7" t="n">
        <f aca="false">179/0.2</f>
        <v>895</v>
      </c>
      <c r="I69" s="7" t="n">
        <v>1150</v>
      </c>
      <c r="J69" s="7"/>
      <c r="M69" s="0" t="n">
        <f aca="false">5820/MIN(B69:J69)</f>
        <v>6.50279329608939</v>
      </c>
      <c r="N69" s="1" t="n">
        <f aca="false">M69*2.39</f>
        <v>15.5416759776536</v>
      </c>
      <c r="O69" s="1" t="n">
        <f aca="false">5462.6/MIN(B69:J69)</f>
        <v>6.10346368715084</v>
      </c>
      <c r="P69" s="2" t="n">
        <v>193.5</v>
      </c>
      <c r="Q69" s="3" t="n">
        <f aca="false">P69/MIN(B69:J69)</f>
        <v>0.216201117318436</v>
      </c>
    </row>
    <row r="70" customFormat="false" ht="12.8" hidden="false" customHeight="false" outlineLevel="0" collapsed="false">
      <c r="A70" s="0" t="s">
        <v>80</v>
      </c>
      <c r="B70" s="6" t="n">
        <v>209</v>
      </c>
      <c r="C70" s="6" t="n">
        <v>319</v>
      </c>
      <c r="D70" s="6" t="n">
        <v>239</v>
      </c>
      <c r="E70" s="6"/>
      <c r="F70" s="6"/>
      <c r="G70" s="6"/>
      <c r="H70" s="6"/>
      <c r="I70" s="6" t="n">
        <v>379</v>
      </c>
      <c r="J70" s="6"/>
      <c r="M70" s="0" t="n">
        <f aca="false">154/MIN(B70:J70)</f>
        <v>0.736842105263158</v>
      </c>
      <c r="N70" s="1" t="n">
        <f aca="false">M70*2.39</f>
        <v>1.76105263157895</v>
      </c>
      <c r="O70" s="1" t="n">
        <f aca="false">127.3/MIN(B70:J70)</f>
        <v>0.609090909090909</v>
      </c>
      <c r="P70" s="2" t="n">
        <v>11</v>
      </c>
      <c r="Q70" s="3" t="n">
        <f aca="false">P70/MIN(B70:J70)</f>
        <v>0.0526315789473684</v>
      </c>
    </row>
    <row r="71" customFormat="false" ht="12.8" hidden="false" customHeight="false" outlineLevel="0" collapsed="false">
      <c r="A71" s="0" t="s">
        <v>81</v>
      </c>
      <c r="B71" s="6" t="n">
        <v>289</v>
      </c>
      <c r="C71" s="6" t="n">
        <v>299</v>
      </c>
      <c r="D71" s="6" t="n">
        <v>229</v>
      </c>
      <c r="E71" s="6"/>
      <c r="F71" s="6"/>
      <c r="G71" s="6"/>
      <c r="H71" s="6"/>
      <c r="I71" s="6" t="n">
        <v>1663</v>
      </c>
      <c r="J71" s="6"/>
      <c r="M71" s="0" t="n">
        <f aca="false">3767/MIN(B71:J71)</f>
        <v>16.4497816593886</v>
      </c>
      <c r="N71" s="1" t="n">
        <f aca="false">M71*2.39</f>
        <v>39.3149781659389</v>
      </c>
      <c r="O71" s="1" t="n">
        <f aca="false">452/MIN(B71:J71)</f>
        <v>1.97379912663755</v>
      </c>
      <c r="P71" s="2" t="n">
        <v>30</v>
      </c>
      <c r="Q71" s="3" t="n">
        <f aca="false">P71/MIN(B71:J71)</f>
        <v>0.131004366812227</v>
      </c>
    </row>
    <row r="72" customFormat="false" ht="12.8" hidden="false" customHeight="false" outlineLevel="0" collapsed="false">
      <c r="A72" s="0" t="s">
        <v>82</v>
      </c>
      <c r="B72" s="6" t="n">
        <f aca="false">349/1200</f>
        <v>0.290833333333333</v>
      </c>
      <c r="C72" s="6" t="n">
        <f aca="false">569/1200</f>
        <v>0.474166666666667</v>
      </c>
      <c r="D72" s="6"/>
      <c r="E72" s="6"/>
      <c r="F72" s="6"/>
      <c r="G72" s="6"/>
      <c r="H72" s="6" t="n">
        <f aca="false">399/650</f>
        <v>0.613846153846154</v>
      </c>
      <c r="I72" s="6" t="n">
        <f aca="false">349/1200</f>
        <v>0.290833333333333</v>
      </c>
      <c r="J72" s="6"/>
      <c r="M72" s="0" t="n">
        <f aca="false">1/MIN(B72:J72)</f>
        <v>3.43839541547278</v>
      </c>
      <c r="N72" s="1" t="n">
        <f aca="false">M72*2.39</f>
        <v>8.21776504297994</v>
      </c>
      <c r="O72" s="1" t="n">
        <f aca="false">0.1/MIN(B72:J72)</f>
        <v>0.343839541547278</v>
      </c>
      <c r="P72" s="2" t="n">
        <v>0.02</v>
      </c>
      <c r="Q72" s="3" t="n">
        <f aca="false">P72/MIN(B72:J72)</f>
        <v>0.0687679083094556</v>
      </c>
    </row>
    <row r="73" customFormat="false" ht="12.8" hidden="false" customHeight="false" outlineLevel="0" collapsed="false">
      <c r="A73" s="0" t="s">
        <v>83</v>
      </c>
      <c r="B73" s="6" t="n">
        <f aca="false">499/0.5</f>
        <v>998</v>
      </c>
      <c r="C73" s="6" t="n">
        <v>1089</v>
      </c>
      <c r="D73" s="6" t="n">
        <f aca="false">399/0.5</f>
        <v>798</v>
      </c>
      <c r="E73" s="6"/>
      <c r="F73" s="6"/>
      <c r="G73" s="6" t="n">
        <f aca="false">449/0.5</f>
        <v>898</v>
      </c>
      <c r="H73" s="6" t="n">
        <v>899</v>
      </c>
      <c r="I73" s="6" t="n">
        <v>998</v>
      </c>
      <c r="J73" s="6"/>
      <c r="M73" s="0" t="n">
        <f aca="false">5670/MIN(B73:J73)</f>
        <v>7.10526315789474</v>
      </c>
      <c r="N73" s="1" t="n">
        <f aca="false">M73*2.39</f>
        <v>16.9815789473684</v>
      </c>
      <c r="O73" s="1" t="n">
        <f aca="false">5463.6/MIN(B73:J73)</f>
        <v>6.84661654135338</v>
      </c>
      <c r="P73" s="2" t="n">
        <v>211.5</v>
      </c>
      <c r="Q73" s="3" t="n">
        <f aca="false">P73/MIN(B73:J73)</f>
        <v>0.265037593984962</v>
      </c>
    </row>
    <row r="74" customFormat="false" ht="12.8" hidden="false" customHeight="false" outlineLevel="0" collapsed="false">
      <c r="A74" s="0" t="s">
        <v>84</v>
      </c>
      <c r="B74" s="6" t="n">
        <v>429</v>
      </c>
      <c r="C74" s="6" t="n">
        <v>259</v>
      </c>
      <c r="D74" s="6"/>
      <c r="E74" s="6"/>
      <c r="F74" s="6"/>
      <c r="G74" s="6"/>
      <c r="H74" s="6"/>
      <c r="I74" s="6" t="n">
        <v>299</v>
      </c>
      <c r="J74" s="6"/>
      <c r="M74" s="0" t="n">
        <f aca="false">598/MIN(B74:J74)</f>
        <v>2.30888030888031</v>
      </c>
      <c r="N74" s="1" t="n">
        <f aca="false">M74*2.39</f>
        <v>5.51822393822394</v>
      </c>
      <c r="O74" s="1" t="n">
        <f aca="false">414.6/MIN(B74:J74)</f>
        <v>1.6007722007722</v>
      </c>
      <c r="P74" s="2" t="n">
        <v>293.15</v>
      </c>
      <c r="Q74" s="3" t="n">
        <f aca="false">P74/MIN(B74:J74)</f>
        <v>1.13185328185328</v>
      </c>
    </row>
    <row r="75" customFormat="false" ht="12.8" hidden="false" customHeight="false" outlineLevel="0" collapsed="false">
      <c r="A75" s="0" t="s">
        <v>85</v>
      </c>
      <c r="B75" s="6" t="n">
        <f aca="false">249/0.16</f>
        <v>1556.25</v>
      </c>
      <c r="C75" s="6"/>
      <c r="D75" s="6"/>
      <c r="E75" s="6"/>
      <c r="F75" s="6"/>
      <c r="G75" s="6"/>
      <c r="H75" s="6"/>
      <c r="I75" s="6" t="n">
        <v>2345</v>
      </c>
      <c r="J75" s="6"/>
      <c r="M75" s="0" t="n">
        <f aca="false">4860/MIN(B75:J75)</f>
        <v>3.12289156626506</v>
      </c>
      <c r="N75" s="1" t="n">
        <f aca="false">M75*2.39</f>
        <v>7.46371084337349</v>
      </c>
      <c r="O75" s="1" t="n">
        <f aca="false">3428.2/MIN(B75:J75)</f>
        <v>2.202859437751</v>
      </c>
      <c r="P75" s="2" t="n">
        <v>122.1</v>
      </c>
      <c r="Q75" s="3" t="n">
        <f aca="false">P75/MIN(B75:J75)</f>
        <v>0.0784578313253012</v>
      </c>
    </row>
    <row r="76" customFormat="false" ht="12.8" hidden="false" customHeight="false" outlineLevel="0" collapsed="false">
      <c r="A76" s="0" t="s">
        <v>86</v>
      </c>
      <c r="B76" s="6" t="n">
        <v>4790</v>
      </c>
      <c r="C76" s="6"/>
      <c r="D76" s="6"/>
      <c r="E76" s="6"/>
      <c r="F76" s="6"/>
      <c r="G76" s="6"/>
      <c r="H76" s="6"/>
      <c r="I76" s="6" t="n">
        <v>4790</v>
      </c>
      <c r="J76" s="6"/>
      <c r="M76" s="0" t="n">
        <f aca="false">5530/MIN(B76:J76)</f>
        <v>1.1544885177453</v>
      </c>
      <c r="N76" s="1" t="n">
        <f aca="false">M76*2.39</f>
        <v>2.75922755741127</v>
      </c>
      <c r="O76" s="1" t="n">
        <f aca="false">4675.3/MIN(B76:J76)</f>
        <v>0.976054279749478</v>
      </c>
      <c r="P76" s="2" t="n">
        <v>198</v>
      </c>
      <c r="Q76" s="3" t="n">
        <f aca="false">P76/MIN(B76:J76)</f>
        <v>0.0413361169102296</v>
      </c>
    </row>
    <row r="77" customFormat="false" ht="12.8" hidden="false" customHeight="false" outlineLevel="0" collapsed="false">
      <c r="B77" s="6"/>
      <c r="C77" s="6"/>
      <c r="D77" s="6"/>
      <c r="E77" s="6"/>
      <c r="F77" s="6"/>
      <c r="G77" s="6"/>
      <c r="H77" s="6"/>
      <c r="I77" s="6"/>
      <c r="J77" s="6"/>
      <c r="O77" s="1" t="s">
        <v>46</v>
      </c>
    </row>
    <row r="78" customFormat="false" ht="12.8" hidden="false" customHeight="false" outlineLevel="0" collapsed="false">
      <c r="A78" s="0" t="s">
        <v>87</v>
      </c>
      <c r="B78" s="6" t="n">
        <v>1997</v>
      </c>
      <c r="C78" s="6" t="n">
        <v>1199</v>
      </c>
      <c r="D78" s="6" t="n">
        <v>2193</v>
      </c>
      <c r="E78" s="6"/>
      <c r="F78" s="6" t="n">
        <v>1559</v>
      </c>
      <c r="G78" s="6" t="n">
        <v>1272</v>
      </c>
      <c r="H78" s="6" t="n">
        <v>1299</v>
      </c>
      <c r="I78" s="6" t="n">
        <v>1997</v>
      </c>
      <c r="J78" s="6"/>
      <c r="O78" s="1" t="s">
        <v>46</v>
      </c>
    </row>
    <row r="79" customFormat="false" ht="12.8" hidden="false" customHeight="false" outlineLevel="0" collapsed="false">
      <c r="A79" s="0" t="s">
        <v>88</v>
      </c>
      <c r="B79" s="6" t="n">
        <f aca="false">899/0.4</f>
        <v>2247.5</v>
      </c>
      <c r="C79" s="6" t="n">
        <v>3299</v>
      </c>
      <c r="D79" s="6" t="n">
        <f aca="false">329/0.15</f>
        <v>2193.33333333333</v>
      </c>
      <c r="E79" s="6"/>
      <c r="F79" s="6"/>
      <c r="G79" s="6"/>
      <c r="H79" s="6" t="n">
        <v>3999</v>
      </c>
      <c r="I79" s="6" t="n">
        <v>2082</v>
      </c>
      <c r="J79" s="6"/>
      <c r="M79" s="0" t="n">
        <f aca="false">4040/MIN(B79:J79)</f>
        <v>1.940441882805</v>
      </c>
      <c r="N79" s="1" t="n">
        <f aca="false">M79*2.39</f>
        <v>4.63765609990394</v>
      </c>
      <c r="O79" s="1" t="n">
        <f aca="false">3912.7/MIN(B79:J79)</f>
        <v>1.87929875120077</v>
      </c>
      <c r="P79" s="2" t="n">
        <v>21.55</v>
      </c>
      <c r="Q79" s="3" t="n">
        <f aca="false">P79/MIN(B79:J79)</f>
        <v>0.0103506243996158</v>
      </c>
    </row>
    <row r="80" customFormat="false" ht="12.8" hidden="false" customHeight="false" outlineLevel="0" collapsed="false">
      <c r="A80" s="0" t="s">
        <v>89</v>
      </c>
      <c r="B80" s="6" t="n">
        <v>1998</v>
      </c>
      <c r="C80" s="6" t="n">
        <v>1199</v>
      </c>
      <c r="D80" s="6"/>
      <c r="E80" s="6"/>
      <c r="F80" s="6" t="n">
        <v>1559</v>
      </c>
      <c r="G80" s="6" t="n">
        <v>1399</v>
      </c>
      <c r="H80" s="6" t="n">
        <v>1299</v>
      </c>
      <c r="I80" s="6" t="n">
        <v>2247</v>
      </c>
      <c r="J80" s="6"/>
      <c r="M80" s="0" t="n">
        <f aca="false">3600/MIN(B80:J80)</f>
        <v>3.00250208507089</v>
      </c>
      <c r="N80" s="1" t="n">
        <f aca="false">M80*2.39</f>
        <v>7.17597998331943</v>
      </c>
      <c r="O80" s="1" t="n">
        <f aca="false">3467.2/MIN(B80:J80)</f>
        <v>2.89174311926605</v>
      </c>
      <c r="P80" s="2" t="n">
        <v>36.3</v>
      </c>
      <c r="Q80" s="3" t="n">
        <f aca="false">P80/MIN(B80:J80)</f>
        <v>0.0302752293577982</v>
      </c>
    </row>
    <row r="81" customFormat="false" ht="12.8" hidden="false" customHeight="false" outlineLevel="0" collapsed="false">
      <c r="A81" s="0" t="s">
        <v>90</v>
      </c>
      <c r="B81" s="6" t="n">
        <v>1997</v>
      </c>
      <c r="C81" s="6" t="n">
        <v>1399</v>
      </c>
      <c r="D81" s="6"/>
      <c r="E81" s="6"/>
      <c r="F81" s="6"/>
      <c r="G81" s="6"/>
      <c r="H81" s="6" t="n">
        <v>1499</v>
      </c>
      <c r="I81" s="6" t="n">
        <v>1997</v>
      </c>
      <c r="J81" s="6"/>
      <c r="M81" s="0" t="n">
        <f aca="false">3560/MIN(B81:J81)</f>
        <v>2.54467476769121</v>
      </c>
      <c r="N81" s="1" t="n">
        <f aca="false">M81*2.39</f>
        <v>6.08177269478199</v>
      </c>
      <c r="O81" s="1" t="n">
        <f aca="false">3467.2/MIN(B81:J81)</f>
        <v>2.4783416726233</v>
      </c>
      <c r="P81" s="2" t="n">
        <v>36.3</v>
      </c>
      <c r="Q81" s="3" t="n">
        <f aca="false">P81/MIN(B81:J81)</f>
        <v>0.0259471050750536</v>
      </c>
    </row>
    <row r="82" customFormat="false" ht="12.8" hidden="false" customHeight="false" outlineLevel="0" collapsed="false">
      <c r="A82" s="0" t="s">
        <v>91</v>
      </c>
      <c r="B82" s="6" t="n">
        <v>1352</v>
      </c>
      <c r="C82" s="6"/>
      <c r="D82" s="6"/>
      <c r="E82" s="6"/>
      <c r="F82" s="6"/>
      <c r="G82" s="6" t="n">
        <f aca="false">159/0.125</f>
        <v>1272</v>
      </c>
      <c r="H82" s="6" t="n">
        <v>1990</v>
      </c>
      <c r="I82" s="6" t="n">
        <v>2592</v>
      </c>
      <c r="J82" s="6"/>
      <c r="M82" s="0" t="n">
        <f aca="false">3180/MIN(B82:J82)</f>
        <v>2.5</v>
      </c>
      <c r="N82" s="1" t="n">
        <f aca="false">M82*2.39</f>
        <v>5.975</v>
      </c>
      <c r="O82" s="1" t="n">
        <f aca="false">3081.6/MIN(B82:J82)</f>
        <v>2.42264150943396</v>
      </c>
      <c r="P82" s="2" t="n">
        <v>21.26</v>
      </c>
      <c r="Q82" s="3" t="n">
        <f aca="false">P82/MIN(B82:J82)</f>
        <v>0.0167138364779874</v>
      </c>
    </row>
    <row r="83" customFormat="false" ht="12.8" hidden="false" customHeight="false" outlineLevel="0" collapsed="false">
      <c r="A83" s="0" t="s">
        <v>92</v>
      </c>
      <c r="B83" s="6" t="n">
        <f aca="false">249/0.25</f>
        <v>996</v>
      </c>
      <c r="C83" s="6" t="n">
        <v>1795</v>
      </c>
      <c r="D83" s="6" t="n">
        <f aca="false">149/0.125</f>
        <v>1192</v>
      </c>
      <c r="E83" s="6"/>
      <c r="F83" s="6"/>
      <c r="G83" s="6" t="n">
        <f aca="false">359/0.2</f>
        <v>1795</v>
      </c>
      <c r="H83" s="6" t="n">
        <f aca="false">359/0.2</f>
        <v>1795</v>
      </c>
      <c r="I83" s="6" t="n">
        <v>1100</v>
      </c>
      <c r="J83" s="6"/>
      <c r="M83" s="0" t="n">
        <f aca="false">3900/MIN(B83:J83)</f>
        <v>3.91566265060241</v>
      </c>
      <c r="N83" s="1" t="n">
        <f aca="false">M83*2.39</f>
        <v>9.35843373493976</v>
      </c>
      <c r="O83" s="1" t="n">
        <f aca="false">2212/MIN(B83:J83)</f>
        <v>2.22088353413655</v>
      </c>
      <c r="P83" s="2" t="n">
        <v>7.8</v>
      </c>
      <c r="Q83" s="3" t="n">
        <f aca="false">P83/MIN(B83:J83)</f>
        <v>0.00783132530120482</v>
      </c>
    </row>
    <row r="84" customFormat="false" ht="12.8" hidden="false" customHeight="false" outlineLevel="0" collapsed="false">
      <c r="B84" s="6"/>
      <c r="C84" s="6"/>
      <c r="D84" s="6"/>
      <c r="E84" s="6"/>
      <c r="F84" s="6"/>
      <c r="G84" s="6"/>
      <c r="H84" s="6"/>
      <c r="I84" s="6"/>
      <c r="J84" s="6"/>
      <c r="O84" s="1" t="s">
        <v>46</v>
      </c>
    </row>
    <row r="85" customFormat="false" ht="12.8" hidden="false" customHeight="false" outlineLevel="0" collapsed="false">
      <c r="A85" s="0" t="s">
        <v>93</v>
      </c>
      <c r="B85" s="6"/>
      <c r="C85" s="6"/>
      <c r="D85" s="6"/>
      <c r="E85" s="6"/>
      <c r="F85" s="6"/>
      <c r="G85" s="6"/>
      <c r="H85" s="6"/>
      <c r="I85" s="6"/>
      <c r="J85" s="6"/>
      <c r="O85" s="1" t="s">
        <v>46</v>
      </c>
    </row>
    <row r="86" customFormat="false" ht="12.8" hidden="false" customHeight="false" outlineLevel="0" collapsed="false">
      <c r="A86" s="0" t="s">
        <v>94</v>
      </c>
      <c r="B86" s="6" t="n">
        <f aca="false">149/13</f>
        <v>11.4615384615385</v>
      </c>
      <c r="C86" s="6" t="n">
        <f aca="false">199/13</f>
        <v>15.3076923076923</v>
      </c>
      <c r="D86" s="6"/>
      <c r="E86" s="6"/>
      <c r="F86" s="6"/>
      <c r="G86" s="6"/>
      <c r="H86" s="6"/>
      <c r="I86" s="6" t="s">
        <v>38</v>
      </c>
      <c r="J86" s="6"/>
      <c r="M86" s="0" t="n">
        <f aca="false">5/MIN(B86:J86)</f>
        <v>0.436241610738255</v>
      </c>
      <c r="N86" s="1" t="n">
        <f aca="false">M86*2.39</f>
        <v>1.04261744966443</v>
      </c>
      <c r="O86" s="1" t="n">
        <f aca="false">4/MIN(B86:J86)</f>
        <v>0.348993288590604</v>
      </c>
      <c r="P86" s="2" t="n">
        <v>2</v>
      </c>
      <c r="Q86" s="3" t="n">
        <f aca="false">P86/MIN(B86:J86)</f>
        <v>0.174496644295302</v>
      </c>
    </row>
    <row r="87" customFormat="false" ht="12.8" hidden="false" customHeight="false" outlineLevel="0" collapsed="false">
      <c r="A87" s="0" t="s">
        <v>95</v>
      </c>
      <c r="B87" s="7" t="s">
        <v>38</v>
      </c>
      <c r="C87" s="7" t="n">
        <v>2330</v>
      </c>
      <c r="D87" s="7" t="n">
        <f aca="false">499/0.25</f>
        <v>1996</v>
      </c>
      <c r="E87" s="7"/>
      <c r="F87" s="7"/>
      <c r="G87" s="7"/>
      <c r="H87" s="7"/>
      <c r="I87" s="7"/>
      <c r="J87" s="7" t="n">
        <f aca="false">2100</f>
        <v>2100</v>
      </c>
      <c r="L87" s="0" t="s">
        <v>96</v>
      </c>
      <c r="M87" s="0" t="n">
        <f aca="false">0.1/MIN(B87:J87)</f>
        <v>5.01002004008016E-005</v>
      </c>
      <c r="N87" s="1" t="n">
        <f aca="false">M87*2.39</f>
        <v>0.000119739478957916</v>
      </c>
      <c r="O87" s="1" t="n">
        <f aca="false">0.1/MIN(B87:J87)</f>
        <v>5.01002004008016E-005</v>
      </c>
      <c r="P87" s="2" t="n">
        <v>0</v>
      </c>
      <c r="Q87" s="3" t="n">
        <f aca="false">P87/MIN(B87:J87)</f>
        <v>0</v>
      </c>
    </row>
    <row r="88" customFormat="false" ht="12.8" hidden="false" customHeight="false" outlineLevel="0" collapsed="false">
      <c r="A88" s="0" t="s">
        <v>97</v>
      </c>
      <c r="B88" s="6" t="n">
        <v>4990</v>
      </c>
      <c r="C88" s="6"/>
      <c r="D88" s="6" t="n">
        <f aca="false">179/0.21</f>
        <v>852.380952380952</v>
      </c>
      <c r="E88" s="6"/>
      <c r="F88" s="6" t="n">
        <f aca="false">179/0.05</f>
        <v>3580</v>
      </c>
      <c r="G88" s="6"/>
      <c r="H88" s="6"/>
      <c r="I88" s="6" t="n">
        <f aca="false">99/0.015</f>
        <v>6600</v>
      </c>
      <c r="J88" s="6"/>
      <c r="M88" s="0" t="n">
        <f aca="false">2820/MIN(B88:J88)</f>
        <v>3.30837988826816</v>
      </c>
      <c r="N88" s="1" t="n">
        <f aca="false">M88*2.39</f>
        <v>7.90702793296089</v>
      </c>
      <c r="O88" s="1" t="n">
        <f aca="false">1823.6/MIN(B88:J88)</f>
        <v>2.13941899441341</v>
      </c>
      <c r="P88" s="2" t="n">
        <v>13</v>
      </c>
      <c r="Q88" s="3" t="n">
        <f aca="false">P88/MIN(B88:J88)</f>
        <v>0.0152513966480447</v>
      </c>
    </row>
    <row r="89" customFormat="false" ht="12.8" hidden="false" customHeight="false" outlineLevel="0" collapsed="false">
      <c r="A89" s="0" t="s">
        <v>98</v>
      </c>
      <c r="B89" s="6" t="n">
        <v>3832</v>
      </c>
      <c r="C89" s="6" t="n">
        <v>4490</v>
      </c>
      <c r="D89" s="6" t="n">
        <f aca="false">335/0.2</f>
        <v>1675</v>
      </c>
      <c r="E89" s="6"/>
      <c r="F89" s="6"/>
      <c r="G89" s="6"/>
      <c r="H89" s="6"/>
      <c r="I89" s="6"/>
      <c r="J89" s="6"/>
      <c r="M89" s="0" t="n">
        <f aca="false">2010/MIN(B89:J89)</f>
        <v>1.2</v>
      </c>
      <c r="N89" s="1" t="n">
        <f aca="false">M89*2.39</f>
        <v>2.868</v>
      </c>
      <c r="O89" s="1" t="n">
        <f aca="false">1845/MIN(B89:J89)</f>
        <v>1.10149253731343</v>
      </c>
      <c r="P89" s="2" t="n">
        <v>27.31</v>
      </c>
      <c r="Q89" s="3" t="n">
        <f aca="false">P89/MIN(B89:J89)</f>
        <v>0.0163044776119403</v>
      </c>
    </row>
    <row r="90" customFormat="false" ht="12.8" hidden="false" customHeight="false" outlineLevel="0" collapsed="false">
      <c r="B90" s="6"/>
      <c r="C90" s="6"/>
      <c r="D90" s="6"/>
      <c r="E90" s="6"/>
      <c r="F90" s="6"/>
      <c r="G90" s="6"/>
      <c r="H90" s="6"/>
      <c r="I90" s="6"/>
      <c r="J90" s="6"/>
    </row>
    <row r="91" customFormat="false" ht="12.8" hidden="false" customHeight="false" outlineLevel="0" collapsed="false">
      <c r="B91" s="6"/>
      <c r="C91" s="6"/>
      <c r="D91" s="6"/>
      <c r="E91" s="6"/>
      <c r="F91" s="6"/>
      <c r="G91" s="6"/>
      <c r="H91" s="6"/>
      <c r="I91" s="6"/>
      <c r="J91" s="6"/>
      <c r="O91" s="1" t="s">
        <v>46</v>
      </c>
    </row>
    <row r="92" customFormat="false" ht="12.8" hidden="false" customHeight="false" outlineLevel="0" collapsed="false">
      <c r="A92" s="0" t="s">
        <v>99</v>
      </c>
      <c r="B92" s="6" t="n">
        <f aca="false">999/24/3</f>
        <v>13.875</v>
      </c>
      <c r="C92" s="6" t="n">
        <f aca="false">849/24/2</f>
        <v>17.6875</v>
      </c>
      <c r="D92" s="6" t="n">
        <f aca="false">319/8/2</f>
        <v>19.9375</v>
      </c>
      <c r="E92" s="6"/>
      <c r="F92" s="6"/>
      <c r="G92" s="6" t="n">
        <f aca="false">62.44/3</f>
        <v>20.8133333333333</v>
      </c>
      <c r="H92" s="6"/>
      <c r="I92" s="6" t="n">
        <f aca="false">85/3</f>
        <v>28.3333333333333</v>
      </c>
      <c r="J92" s="6" t="n">
        <f aca="false">899/24/3</f>
        <v>12.4861111111111</v>
      </c>
      <c r="L92" s="0" t="s">
        <v>100</v>
      </c>
      <c r="O92" s="1" t="s">
        <v>46</v>
      </c>
    </row>
    <row r="93" customFormat="false" ht="12.8" hidden="false" customHeight="false" outlineLevel="0" collapsed="false">
      <c r="A93" s="0" t="s">
        <v>101</v>
      </c>
      <c r="B93" s="6" t="n">
        <v>18.5</v>
      </c>
      <c r="C93" s="6" t="n">
        <f aca="false">299/20</f>
        <v>14.95</v>
      </c>
      <c r="D93" s="6"/>
      <c r="E93" s="6"/>
      <c r="F93" s="6"/>
      <c r="G93" s="6"/>
      <c r="H93" s="6"/>
      <c r="I93" s="6" t="n">
        <v>49.94</v>
      </c>
      <c r="J93" s="6"/>
      <c r="O93" s="1" t="s">
        <v>46</v>
      </c>
    </row>
    <row r="94" customFormat="false" ht="12.8" hidden="false" customHeight="false" outlineLevel="0" collapsed="false">
      <c r="A94" s="0" t="s">
        <v>102</v>
      </c>
      <c r="B94" s="6" t="n">
        <f aca="false">549/500</f>
        <v>1.098</v>
      </c>
      <c r="C94" s="6" t="n">
        <f aca="false">149/100</f>
        <v>1.49</v>
      </c>
      <c r="D94" s="6" t="n">
        <f aca="false">179/2/50</f>
        <v>1.79</v>
      </c>
      <c r="E94" s="6"/>
      <c r="F94" s="6"/>
      <c r="G94" s="6"/>
      <c r="H94" s="6" t="n">
        <f aca="false">599/500</f>
        <v>1.198</v>
      </c>
      <c r="I94" s="6" t="n">
        <f aca="false">299/200</f>
        <v>1.495</v>
      </c>
      <c r="J94" s="6"/>
      <c r="O94" s="1" t="s">
        <v>46</v>
      </c>
    </row>
    <row r="95" customFormat="false" ht="12.8" hidden="false" customHeight="false" outlineLevel="0" collapsed="false">
      <c r="A95" s="0" t="s">
        <v>103</v>
      </c>
      <c r="B95" s="6" t="n">
        <v>399</v>
      </c>
      <c r="C95" s="6" t="n">
        <v>449</v>
      </c>
      <c r="D95" s="6" t="n">
        <v>399</v>
      </c>
      <c r="E95" s="6" t="n">
        <v>219</v>
      </c>
      <c r="F95" s="6"/>
      <c r="G95" s="6"/>
      <c r="H95" s="6"/>
      <c r="I95" s="6" t="n">
        <v>299</v>
      </c>
      <c r="J95" s="6"/>
      <c r="O95" s="1" t="s">
        <v>46</v>
      </c>
    </row>
    <row r="96" customFormat="false" ht="12.8" hidden="false" customHeight="false" outlineLevel="0" collapsed="false">
      <c r="A96" s="0" t="s">
        <v>104</v>
      </c>
      <c r="B96" s="6" t="n">
        <f aca="false">599/10</f>
        <v>59.9</v>
      </c>
      <c r="C96" s="6" t="n">
        <f aca="false">599/5</f>
        <v>119.8</v>
      </c>
      <c r="D96" s="6"/>
      <c r="E96" s="6"/>
      <c r="F96" s="6"/>
      <c r="G96" s="6"/>
      <c r="H96" s="6"/>
      <c r="I96" s="6" t="n">
        <f aca="false">799/10</f>
        <v>79.9</v>
      </c>
      <c r="J96" s="6"/>
    </row>
    <row r="97" customFormat="false" ht="12.8" hidden="false" customHeight="false" outlineLevel="0" collapsed="false">
      <c r="B97" s="6"/>
      <c r="C97" s="6"/>
      <c r="D97" s="6"/>
      <c r="E97" s="6"/>
      <c r="F97" s="6"/>
      <c r="G97" s="6"/>
      <c r="H97" s="6"/>
      <c r="I97" s="6"/>
      <c r="J97" s="6"/>
    </row>
    <row r="98" customFormat="false" ht="12.8" hidden="false" customHeight="false" outlineLevel="0" collapsed="false">
      <c r="B98" s="6"/>
      <c r="C98" s="6"/>
      <c r="D98" s="6"/>
      <c r="E98" s="6"/>
      <c r="F98" s="6"/>
      <c r="G98" s="6"/>
      <c r="H98" s="6"/>
      <c r="I98" s="6"/>
      <c r="J98" s="6"/>
      <c r="O98" s="1" t="s">
        <v>46</v>
      </c>
    </row>
    <row r="99" customFormat="false" ht="12.8" hidden="false" customHeight="false" outlineLevel="0" collapsed="false">
      <c r="A99" s="0" t="s">
        <v>105</v>
      </c>
      <c r="B99" s="6"/>
      <c r="C99" s="6"/>
      <c r="D99" s="6"/>
      <c r="E99" s="6"/>
      <c r="F99" s="6"/>
      <c r="G99" s="6"/>
      <c r="H99" s="6"/>
      <c r="I99" s="6"/>
      <c r="J99" s="6"/>
      <c r="O99" s="1" t="s">
        <v>46</v>
      </c>
    </row>
    <row r="100" customFormat="false" ht="12.8" hidden="false" customHeight="false" outlineLevel="0" collapsed="false">
      <c r="A100" s="0" t="s">
        <v>106</v>
      </c>
      <c r="B100" s="6" t="n">
        <f aca="false">499/0.25</f>
        <v>1996</v>
      </c>
      <c r="C100" s="6"/>
      <c r="D100" s="6"/>
      <c r="E100" s="6"/>
      <c r="F100" s="6"/>
      <c r="G100" s="6"/>
      <c r="H100" s="6"/>
      <c r="I100" s="6"/>
      <c r="J100" s="6"/>
      <c r="M100" s="0" t="n">
        <f aca="false">4290/MIN(B100:J100)</f>
        <v>2.14929859719439</v>
      </c>
      <c r="N100" s="1" t="n">
        <f aca="false">M100*2.39</f>
        <v>5.13682364729459</v>
      </c>
      <c r="O100" s="1" t="n">
        <f aca="false">1847.7/MIN(B100:J100)</f>
        <v>0.925701402805611</v>
      </c>
      <c r="P100" s="2" t="n">
        <v>151.8</v>
      </c>
      <c r="Q100" s="3" t="n">
        <f aca="false">P100/MIN(B100:J100)</f>
        <v>0.0760521042084168</v>
      </c>
    </row>
    <row r="102" customFormat="false" ht="12.8" hidden="false" customHeight="false" outlineLevel="0" collapsed="false">
      <c r="A102" s="0" t="s">
        <v>107</v>
      </c>
      <c r="B102" s="6" t="n">
        <f aca="false">IFERROR(SUM(IF(B80,B80,MEDIAN($B$80:$J$80)),IF(B55,B55,MEDIAN($B$55:$J$55)),IF(B64,B64,MEDIAN($B$64:$J$64)),IF(B47,B47,MEDIAN($B$47:$J$47)),IF(B18,B18,MEDIAN($B$18:$J$18)),),"none")</f>
        <v>3737.11111111111</v>
      </c>
      <c r="C102" s="6" t="n">
        <f aca="false">IFERROR(SUM(IF(C80,C80,MEDIAN($B$80:$J$80)),IF(C55,C55,MEDIAN($B$55:$J$55)),IF(C64,C64,MEDIAN($B$64:$J$64)),IF(C47,C47,MEDIAN($B$47:$J$47)),IF(C18,C18,MEDIAN($B$18:$J$18)),),"none")</f>
        <v>2626.715261959</v>
      </c>
      <c r="D102" s="6" t="n">
        <f aca="false">IFERROR(SUM(IF(D80,D80,MEDIAN($B$80:$J$80)),IF(D55,D55,MEDIAN($B$55:$J$55)),IF(D64,D64,MEDIAN($B$64:$J$64)),IF(D47,D47,MEDIAN($B$47:$J$47)),IF(D18,D18,MEDIAN($B$18:$J$18)),),"none")</f>
        <v>3181.55555555556</v>
      </c>
      <c r="E102" s="6" t="n">
        <f aca="false">IFERROR(SUM(IF(E80,E80,MEDIAN($B$80:$J$80)),IF(E55,E55,MEDIAN($B$55:$J$55)),IF(E64,E64,MEDIAN($B$64:$J$64)),IF(E47,E47,MEDIAN($B$47:$J$47)),IF(E18,E18,MEDIAN($B$18:$J$18)),),"none")</f>
        <v>3181.55555555556</v>
      </c>
      <c r="F102" s="6" t="n">
        <f aca="false">IFERROR(SUM(IF(F80,F80,MEDIAN($B$80:$J$80)),IF(F55,F55,MEDIAN($B$55:$J$55)),IF(F64,F64,MEDIAN($B$64:$J$64)),IF(F47,F47,MEDIAN($B$47:$J$47)),IF(F18,F18,MEDIAN($B$18:$J$18)),),"none")</f>
        <v>3321.55555555556</v>
      </c>
      <c r="G102" s="6" t="n">
        <f aca="false">IFERROR(SUM(IF(G80,G80,MEDIAN($B$80:$J$80)),IF(G55,G55,MEDIAN($B$55:$J$55)),IF(G64,G64,MEDIAN($B$64:$J$64)),IF(G47,G47,MEDIAN($B$47:$J$47)),IF(G18,G18,MEDIAN($B$18:$J$18)),),"none")</f>
        <v>3061.55555555556</v>
      </c>
      <c r="H102" s="6" t="n">
        <f aca="false">IFERROR(SUM(IF(H80,H80,MEDIAN($B$80:$J$80)),IF(H55,H55,MEDIAN($B$55:$J$55)),IF(H64,H64,MEDIAN($B$64:$J$64)),IF(H47,H47,MEDIAN($B$47:$J$47)),IF(H18,H18,MEDIAN($B$18:$J$18)),),"none")</f>
        <v>2981.55555555556</v>
      </c>
      <c r="I102" s="6" t="n">
        <f aca="false">IFERROR(SUM(IF(I80,I80,MEDIAN($B$80:$J$80)),IF(I55,I55,MEDIAN($B$55:$J$55)),IF(I64,I64,MEDIAN($B$64:$J$64)),IF(I47,I47,MEDIAN($B$47:$J$47)),IF(I18,I18,MEDIAN($B$18:$J$18)),),"none")</f>
        <v>3766.23234624146</v>
      </c>
      <c r="J102" s="6" t="n">
        <f aca="false">IFERROR(SUM(IF(J80,J80,MEDIAN($B$80:$J$80)),IF(J55,J55,MEDIAN($B$55:$J$55)),IF(J64,J64,MEDIAN($B$64:$J$64)),IF(J47,J47,MEDIAN($B$47:$J$47)),IF(J18,J18,MEDIAN($B$18:$J$18)),),"none")</f>
        <v>3181.55555555556</v>
      </c>
      <c r="K102" s="0" t="s">
        <v>108</v>
      </c>
    </row>
    <row r="103" customFormat="false" ht="12.8" hidden="false" customHeight="false" outlineLevel="0" collapsed="false">
      <c r="B103" s="6"/>
      <c r="C103" s="6"/>
      <c r="D103" s="6"/>
      <c r="E103" s="6"/>
      <c r="F103" s="6"/>
      <c r="G103" s="6"/>
      <c r="H103" s="6"/>
      <c r="I103" s="6"/>
      <c r="J103" s="6"/>
      <c r="K103" s="0" t="s">
        <v>109</v>
      </c>
    </row>
  </sheetData>
  <conditionalFormatting sqref="B2:J2">
    <cfRule type="colorScale" priority="2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3:J3">
    <cfRule type="colorScale" priority="3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4:J4">
    <cfRule type="colorScale" priority="4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5:J5">
    <cfRule type="colorScale" priority="5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6:J6">
    <cfRule type="colorScale" priority="6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7:J7">
    <cfRule type="colorScale" priority="7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13:J13">
    <cfRule type="colorScale" priority="8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14:J14">
    <cfRule type="colorScale" priority="9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15:J15">
    <cfRule type="colorScale" priority="10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16:J16">
    <cfRule type="colorScale" priority="11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17:J17">
    <cfRule type="colorScale" priority="12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18:J18">
    <cfRule type="colorScale" priority="13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19:J19">
    <cfRule type="colorScale" priority="14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20:J20">
    <cfRule type="colorScale" priority="15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23:J25">
    <cfRule type="colorScale" priority="16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26:J26">
    <cfRule type="colorScale" priority="17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27:J27">
    <cfRule type="colorScale" priority="18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31:J31">
    <cfRule type="colorScale" priority="19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32:J32">
    <cfRule type="colorScale" priority="20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33:J33">
    <cfRule type="colorScale" priority="21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34:J34">
    <cfRule type="colorScale" priority="22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35:J35">
    <cfRule type="colorScale" priority="23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50:J51">
    <cfRule type="colorScale" priority="24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52:J52">
    <cfRule type="colorScale" priority="25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53:J53">
    <cfRule type="colorScale" priority="26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54:J54">
    <cfRule type="colorScale" priority="27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55:J55">
    <cfRule type="colorScale" priority="28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56:J56">
    <cfRule type="colorScale" priority="29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57:J57">
    <cfRule type="colorScale" priority="30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59:J60">
    <cfRule type="colorScale" priority="31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61:J61">
    <cfRule type="colorScale" priority="32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62:J62">
    <cfRule type="colorScale" priority="33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63:J63">
    <cfRule type="colorScale" priority="34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64:J64">
    <cfRule type="colorScale" priority="35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67:J67">
    <cfRule type="colorScale" priority="36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68:J68">
    <cfRule type="colorScale" priority="37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69:J69">
    <cfRule type="colorScale" priority="38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70:J70">
    <cfRule type="colorScale" priority="39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71:J71">
    <cfRule type="colorScale" priority="40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77:J77">
    <cfRule type="colorScale" priority="41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78:J78">
    <cfRule type="colorScale" priority="42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79:J79">
    <cfRule type="colorScale" priority="43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84:J84">
    <cfRule type="colorScale" priority="44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85:J85">
    <cfRule type="colorScale" priority="45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86:J86">
    <cfRule type="colorScale" priority="46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91:J91">
    <cfRule type="colorScale" priority="47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92:J92">
    <cfRule type="colorScale" priority="48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58:J58">
    <cfRule type="colorScale" priority="49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59:J59">
    <cfRule type="colorScale" priority="50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40:J40">
    <cfRule type="colorScale" priority="51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80:J80">
    <cfRule type="colorScale" priority="52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81:J81">
    <cfRule type="colorScale" priority="53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8:J8">
    <cfRule type="colorScale" priority="54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9:J9">
    <cfRule type="colorScale" priority="55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10:J10">
    <cfRule type="colorScale" priority="56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36:J36">
    <cfRule type="colorScale" priority="57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37:J37">
    <cfRule type="colorScale" priority="58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38:J38">
    <cfRule type="colorScale" priority="59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39:J39">
    <cfRule type="colorScale" priority="60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28:J28">
    <cfRule type="colorScale" priority="61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21:J21">
    <cfRule type="colorScale" priority="62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22:J22">
    <cfRule type="colorScale" priority="63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29:J29">
    <cfRule type="colorScale" priority="64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30:J30">
    <cfRule type="colorScale" priority="65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72:J72">
    <cfRule type="colorScale" priority="66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73:J73">
    <cfRule type="colorScale" priority="67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42:J42">
    <cfRule type="colorScale" priority="68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41:J41">
    <cfRule type="colorScale" priority="69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93:J93">
    <cfRule type="colorScale" priority="70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94:J94">
    <cfRule type="colorScale" priority="71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74:J74">
    <cfRule type="colorScale" priority="72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75:J75">
    <cfRule type="colorScale" priority="73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87:J87">
    <cfRule type="colorScale" priority="74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88:J88">
    <cfRule type="colorScale" priority="75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95:J97">
    <cfRule type="colorScale" priority="76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98:J98">
    <cfRule type="colorScale" priority="77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43:J43">
    <cfRule type="colorScale" priority="78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44:J44">
    <cfRule type="colorScale" priority="79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99:J99">
    <cfRule type="colorScale" priority="80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100:J100">
    <cfRule type="colorScale" priority="81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82:J82">
    <cfRule type="colorScale" priority="82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83:J83">
    <cfRule type="colorScale" priority="83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11:J11">
    <cfRule type="colorScale" priority="84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12:J12">
    <cfRule type="colorScale" priority="85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76:J76">
    <cfRule type="colorScale" priority="86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N67:N100 N2:N64">
    <cfRule type="colorScale" priority="87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B45:J45">
    <cfRule type="colorScale" priority="88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46:J46">
    <cfRule type="colorScale" priority="89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M67:M100 M2:M64">
    <cfRule type="colorScale" priority="90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O67:O100 O2:O64">
    <cfRule type="colorScale" priority="91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B47:J47">
    <cfRule type="colorScale" priority="92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89:J89">
    <cfRule type="colorScale" priority="93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90:J90">
    <cfRule type="colorScale" priority="94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103:J103 B102:B103">
    <cfRule type="colorScale" priority="95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P67:P100 P2:P64">
    <cfRule type="colorScale" priority="96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B48:J48">
    <cfRule type="colorScale" priority="97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Q67:Q100 Q2:Q64">
    <cfRule type="colorScale" priority="98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B49:J49">
    <cfRule type="colorScale" priority="99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50:J50">
    <cfRule type="colorScale" priority="100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102:J102">
    <cfRule type="colorScale" priority="101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B65:J65">
    <cfRule type="colorScale" priority="102">
      <colorScale>
        <cfvo type="min" val="0"/>
        <cfvo type="percentile" val="50"/>
        <cfvo type="max" val="0"/>
        <color rgb="FF94BD5E"/>
        <color rgb="FFFFFF00"/>
        <color rgb="FFFFCC99"/>
      </colorScale>
    </cfRule>
  </conditionalFormatting>
  <conditionalFormatting sqref="B66:J66">
    <cfRule type="colorScale" priority="103">
      <colorScale>
        <cfvo type="min" val="0"/>
        <cfvo type="percentile" val="50"/>
        <cfvo type="max" val="0"/>
        <color rgb="FF94BD5E"/>
        <color rgb="FFFFFF99"/>
        <color rgb="FFFFCC99"/>
      </colorScale>
    </cfRule>
  </conditionalFormatting>
  <conditionalFormatting sqref="N65:N66">
    <cfRule type="colorScale" priority="104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M65:M66">
    <cfRule type="colorScale" priority="105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O65:O66">
    <cfRule type="colorScale" priority="106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P65:P66">
    <cfRule type="colorScale" priority="107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conditionalFormatting sqref="Q65:Q66">
    <cfRule type="colorScale" priority="108">
      <colorScale>
        <cfvo type="min" val="0"/>
        <cfvo type="percentile" val="50"/>
        <cfvo type="max" val="0"/>
        <color rgb="FFFF8080"/>
        <color rgb="FFFFFF99"/>
        <color rgb="FF94BD5E"/>
      </colorScale>
    </cfRule>
  </conditionalFormatting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>&amp;C&amp;"DejaVu Sans,Book"&amp;P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true" verticalCentered="false"/>
  <pageMargins left="0.7875" right="0.7875" top="0.7875" bottom="1.025" header="0.51180555555555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&amp;C&amp;"DejaVu Sans,Book"&amp;P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2018-07-08T17:05:25Z</dcterms:created>
  <dc:creator>Hanna Babér</dc:creator>
  <dc:description/>
  <dc:language>hu-HU</dc:language>
  <cp:lastModifiedBy>M </cp:lastModifiedBy>
  <dcterms:modified xsi:type="dcterms:W3CDTF">2018-10-25T14:36:21Z</dcterms:modified>
  <cp:revision>86</cp:revision>
  <dc:subject/>
  <dc:title/>
</cp:coreProperties>
</file>