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1796" yWindow="420" windowWidth="14328" windowHeight="10620"/>
  </bookViews>
  <sheets>
    <sheet name="Sheet1" sheetId="3" r:id="rId1"/>
  </sheets>
  <calcPr calcId="125725"/>
</workbook>
</file>

<file path=xl/calcChain.xml><?xml version="1.0" encoding="utf-8"?>
<calcChain xmlns="http://schemas.openxmlformats.org/spreadsheetml/2006/main">
  <c r="K39" i="3"/>
  <c r="B15"/>
  <c r="B17" s="1"/>
  <c r="I3"/>
  <c r="J41" s="1"/>
  <c r="H3"/>
  <c r="F3"/>
  <c r="E3"/>
  <c r="K52"/>
  <c r="K51"/>
  <c r="K50"/>
  <c r="K49"/>
  <c r="K48"/>
  <c r="K47"/>
  <c r="K46"/>
  <c r="J46" s="1"/>
  <c r="K45"/>
  <c r="K44"/>
  <c r="K43"/>
  <c r="J43"/>
  <c r="K42"/>
  <c r="K41"/>
  <c r="K40"/>
  <c r="J40" s="1"/>
  <c r="K38"/>
  <c r="K37"/>
  <c r="K36"/>
  <c r="K35"/>
  <c r="K34"/>
  <c r="K33"/>
  <c r="K32"/>
  <c r="K31"/>
  <c r="K30"/>
  <c r="J30" s="1"/>
  <c r="K29"/>
  <c r="K28"/>
  <c r="K27"/>
  <c r="J27"/>
  <c r="K26"/>
  <c r="K25"/>
  <c r="K24"/>
  <c r="J24" s="1"/>
  <c r="K23"/>
  <c r="K22"/>
  <c r="K21"/>
  <c r="K20"/>
  <c r="K19"/>
  <c r="K18"/>
  <c r="K17"/>
  <c r="K16"/>
  <c r="K15"/>
  <c r="K14"/>
  <c r="K13"/>
  <c r="K12"/>
  <c r="K11"/>
  <c r="K10"/>
  <c r="K9"/>
  <c r="J9" s="1"/>
  <c r="K8"/>
  <c r="K7"/>
  <c r="K6"/>
  <c r="J6"/>
  <c r="K5"/>
  <c r="K4"/>
  <c r="K3"/>
  <c r="J3" s="1"/>
  <c r="J16" l="1"/>
  <c r="J12"/>
  <c r="J17"/>
  <c r="J33"/>
  <c r="J49"/>
  <c r="J11"/>
  <c r="J14"/>
  <c r="J19"/>
  <c r="J22"/>
  <c r="J32"/>
  <c r="J35"/>
  <c r="J38"/>
  <c r="J48"/>
  <c r="J51"/>
  <c r="J4"/>
  <c r="J25"/>
  <c r="G3"/>
  <c r="J5"/>
  <c r="J8"/>
  <c r="J13"/>
  <c r="J15"/>
  <c r="J18"/>
  <c r="J21"/>
  <c r="J26"/>
  <c r="J29"/>
  <c r="J34"/>
  <c r="J37"/>
  <c r="J42"/>
  <c r="J45"/>
  <c r="J50"/>
  <c r="J7"/>
  <c r="J10"/>
  <c r="J20"/>
  <c r="J23"/>
  <c r="J28"/>
  <c r="J31"/>
  <c r="J36"/>
  <c r="J39"/>
  <c r="J44"/>
  <c r="J47"/>
  <c r="J52"/>
</calcChain>
</file>

<file path=xl/sharedStrings.xml><?xml version="1.0" encoding="utf-8"?>
<sst xmlns="http://schemas.openxmlformats.org/spreadsheetml/2006/main" count="34" uniqueCount="32">
  <si>
    <t>长</t>
  </si>
  <si>
    <t>宽</t>
  </si>
  <si>
    <t>高</t>
  </si>
  <si>
    <t>油杆长</t>
  </si>
  <si>
    <t>上盲区</t>
  </si>
  <si>
    <t>下盲区</t>
  </si>
  <si>
    <t>测量低位</t>
  </si>
  <si>
    <t>测量高位</t>
  </si>
  <si>
    <t>量程</t>
  </si>
  <si>
    <t>客户容积</t>
  </si>
  <si>
    <t>升</t>
  </si>
  <si>
    <t>重要提醒：</t>
  </si>
  <si>
    <t>绿色为用户输入项！</t>
  </si>
  <si>
    <t>黄色数据请不要动！</t>
  </si>
  <si>
    <t>油杆长度小于或等于油箱高度！</t>
  </si>
  <si>
    <t>1、填写长方型油箱长，宽，高参数。</t>
  </si>
  <si>
    <t>4、如客户要求容积自己提供。则填写客户容积。</t>
  </si>
  <si>
    <t>5、采用电压输出的油杆，填写最大输出电压。</t>
  </si>
  <si>
    <t>6、根据用户所使用油杆类型选择油杆对应输出做为标定值。</t>
  </si>
  <si>
    <t>7、使用理论油量值做为标定油量值。如用户提供油箱容积，则使用客户油量值。</t>
  </si>
  <si>
    <t>油箱壁厚</t>
    <phoneticPr fontId="7" type="noConversion"/>
  </si>
  <si>
    <t>理论容积</t>
    <phoneticPr fontId="7" type="noConversion"/>
  </si>
  <si>
    <t>容积系数：</t>
    <phoneticPr fontId="7" type="noConversion"/>
  </si>
  <si>
    <t>油杆理论高度</t>
    <phoneticPr fontId="7" type="noConversion"/>
  </si>
  <si>
    <t>油杆理论AD值</t>
    <phoneticPr fontId="7" type="noConversion"/>
  </si>
  <si>
    <t>本列计算出来</t>
    <phoneticPr fontId="7" type="noConversion"/>
  </si>
  <si>
    <t>本列人工标定输入</t>
    <phoneticPr fontId="7" type="noConversion"/>
  </si>
  <si>
    <t>客户油量值（升）</t>
    <phoneticPr fontId="7" type="noConversion"/>
  </si>
  <si>
    <t>油箱标定表</t>
    <phoneticPr fontId="7" type="noConversion"/>
  </si>
  <si>
    <t>填写说明(单位：mm)：</t>
    <phoneticPr fontId="7" type="noConversion"/>
  </si>
  <si>
    <t>2、油杆长请填写油杆铭牌中的长度。例如：油杆铭牌标660mm，</t>
    <phoneticPr fontId="7" type="noConversion"/>
  </si>
  <si>
    <t>3、填写油箱厚度。默认为：3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</si>
</sst>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000_);[Red]\(0.0000\)"/>
    <numFmt numFmtId="178" formatCode="0_ "/>
    <numFmt numFmtId="179" formatCode="0.00_);[Red]\(0.00\)"/>
  </numFmts>
  <fonts count="13">
    <font>
      <sz val="11"/>
      <color indexed="8"/>
      <name val="宋体"/>
      <charset val="134"/>
    </font>
    <font>
      <sz val="11"/>
      <name val="宋体"/>
      <family val="3"/>
      <charset val="134"/>
    </font>
    <font>
      <b/>
      <sz val="26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2"/>
      <color indexed="62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62"/>
      <name val="宋体"/>
      <family val="3"/>
      <charset val="134"/>
    </font>
    <font>
      <sz val="9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vertical="center" textRotation="255"/>
    </xf>
    <xf numFmtId="0" fontId="3" fillId="0" borderId="0" xfId="0" applyFont="1" applyBorder="1" applyAlignment="1">
      <alignment vertical="center" textRotation="255"/>
    </xf>
    <xf numFmtId="0" fontId="5" fillId="0" borderId="0" xfId="0" applyFont="1" applyBorder="1" applyAlignment="1">
      <alignment vertical="center" textRotation="255"/>
    </xf>
    <xf numFmtId="0" fontId="1" fillId="2" borderId="1" xfId="0" applyFont="1" applyFill="1" applyBorder="1" applyAlignment="1">
      <alignment horizontal="center" vertical="center"/>
    </xf>
    <xf numFmtId="179" fontId="6" fillId="5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76" fontId="9" fillId="0" borderId="0" xfId="0" applyNumberFormat="1" applyFont="1" applyBorder="1" applyAlignment="1">
      <alignment vertical="center"/>
    </xf>
    <xf numFmtId="0" fontId="10" fillId="0" borderId="0" xfId="0" applyFont="1">
      <alignment vertical="center"/>
    </xf>
    <xf numFmtId="0" fontId="11" fillId="0" borderId="0" xfId="0" applyFont="1" applyBorder="1" applyAlignment="1">
      <alignment vertical="center" textRotation="255"/>
    </xf>
    <xf numFmtId="176" fontId="9" fillId="0" borderId="0" xfId="0" applyNumberFormat="1" applyFont="1" applyBorder="1" applyAlignment="1">
      <alignment horizontal="center" vertical="center"/>
    </xf>
    <xf numFmtId="177" fontId="10" fillId="0" borderId="0" xfId="0" applyNumberFormat="1" applyFont="1">
      <alignment vertical="center"/>
    </xf>
    <xf numFmtId="0" fontId="0" fillId="0" borderId="1" xfId="0" applyBorder="1" applyAlignment="1">
      <alignment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5"/>
  <sheetViews>
    <sheetView tabSelected="1" workbookViewId="0">
      <selection activeCell="G11" sqref="G11"/>
    </sheetView>
  </sheetViews>
  <sheetFormatPr defaultColWidth="9" defaultRowHeight="14.4"/>
  <cols>
    <col min="1" max="1" width="11.6640625" style="27" bestFit="1" customWidth="1"/>
    <col min="2" max="2" width="8.44140625" style="27" customWidth="1"/>
    <col min="3" max="3" width="5.6640625" style="27" customWidth="1"/>
    <col min="4" max="4" width="8.88671875" style="27" customWidth="1"/>
    <col min="5" max="5" width="7.44140625" style="27" customWidth="1"/>
    <col min="6" max="6" width="8.44140625" style="27" customWidth="1"/>
    <col min="7" max="8" width="9.44140625" style="27" bestFit="1" customWidth="1"/>
    <col min="9" max="9" width="5.44140625" style="27" bestFit="1" customWidth="1"/>
    <col min="10" max="10" width="14.6640625" style="1" customWidth="1"/>
    <col min="11" max="11" width="21.21875" style="1" bestFit="1" customWidth="1"/>
    <col min="12" max="12" width="21.21875" style="2" bestFit="1" customWidth="1"/>
    <col min="13" max="16384" width="9" style="27"/>
  </cols>
  <sheetData>
    <row r="1" spans="1:12" ht="20.399999999999999">
      <c r="A1" s="29" t="s">
        <v>28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27" t="s">
        <v>6</v>
      </c>
      <c r="H2" s="27" t="s">
        <v>7</v>
      </c>
      <c r="I2" s="27" t="s">
        <v>8</v>
      </c>
      <c r="J2" s="25" t="s">
        <v>23</v>
      </c>
      <c r="K2" s="25" t="s">
        <v>24</v>
      </c>
      <c r="L2" s="26" t="s">
        <v>27</v>
      </c>
    </row>
    <row r="3" spans="1:12">
      <c r="A3" s="8">
        <v>1010</v>
      </c>
      <c r="B3" s="8">
        <v>610</v>
      </c>
      <c r="C3" s="8">
        <v>550</v>
      </c>
      <c r="D3" s="8">
        <v>500</v>
      </c>
      <c r="E3" s="10">
        <f>10-B5-2</f>
        <v>5</v>
      </c>
      <c r="F3" s="10">
        <f>C3+22-D3-B5*2</f>
        <v>66</v>
      </c>
      <c r="G3" s="10">
        <f>F3</f>
        <v>66</v>
      </c>
      <c r="H3" s="10">
        <f>(D3-10-20)+F3</f>
        <v>536</v>
      </c>
      <c r="I3" s="10">
        <f>D3-30</f>
        <v>470</v>
      </c>
      <c r="J3" s="9">
        <f>I3*(K3/65535)</f>
        <v>9.4</v>
      </c>
      <c r="K3" s="23">
        <f>(65535*1)/50</f>
        <v>1310.7</v>
      </c>
      <c r="L3" s="8"/>
    </row>
    <row r="4" spans="1:12">
      <c r="B4" s="4"/>
      <c r="C4" s="4"/>
      <c r="D4" s="4"/>
      <c r="E4" s="4"/>
      <c r="F4" s="4"/>
      <c r="I4" s="24"/>
      <c r="J4" s="9">
        <f>I3*(K4/65535)</f>
        <v>18.8</v>
      </c>
      <c r="K4" s="23">
        <f>(65535*2)/50</f>
        <v>2621.4</v>
      </c>
      <c r="L4" s="8"/>
    </row>
    <row r="5" spans="1:12">
      <c r="A5" s="11" t="s">
        <v>20</v>
      </c>
      <c r="B5" s="8">
        <v>3</v>
      </c>
      <c r="E5" s="3"/>
      <c r="J5" s="9">
        <f>I3*(K5/65535)</f>
        <v>28.2</v>
      </c>
      <c r="K5" s="23">
        <f>(65535*3)/50</f>
        <v>3932.1</v>
      </c>
      <c r="L5" s="8"/>
    </row>
    <row r="6" spans="1:12">
      <c r="E6" s="3"/>
      <c r="J6" s="9">
        <f>I3*(K6/65535)</f>
        <v>37.6</v>
      </c>
      <c r="K6" s="23">
        <f>(65535*4)/50</f>
        <v>5242.8</v>
      </c>
      <c r="L6" s="8"/>
    </row>
    <row r="7" spans="1:12">
      <c r="A7" s="22" t="s">
        <v>9</v>
      </c>
      <c r="B7" s="13">
        <v>310</v>
      </c>
      <c r="C7" s="27" t="s">
        <v>10</v>
      </c>
      <c r="E7" s="3"/>
      <c r="F7" s="3"/>
      <c r="J7" s="9">
        <f>I3*(K7/65535)</f>
        <v>47</v>
      </c>
      <c r="K7" s="23">
        <f>(65535*5)/50</f>
        <v>6553.5</v>
      </c>
      <c r="L7" s="8"/>
    </row>
    <row r="8" spans="1:12">
      <c r="A8" s="3"/>
      <c r="D8" s="3"/>
      <c r="E8" s="3"/>
      <c r="F8" s="3"/>
      <c r="J8" s="9">
        <f>I3*(K8/65535)</f>
        <v>56.4</v>
      </c>
      <c r="K8" s="23">
        <f>(65535*6)/50</f>
        <v>7864.2</v>
      </c>
      <c r="L8" s="8"/>
    </row>
    <row r="9" spans="1:12">
      <c r="E9" s="3"/>
      <c r="J9" s="9">
        <f>I3*(K9/65535)</f>
        <v>65.8</v>
      </c>
      <c r="K9" s="23">
        <f>(65535*7)/50</f>
        <v>9174.9</v>
      </c>
      <c r="L9" s="8"/>
    </row>
    <row r="10" spans="1:12">
      <c r="E10" s="3"/>
      <c r="J10" s="9">
        <f>I3*(K10/65535)</f>
        <v>75.2</v>
      </c>
      <c r="K10" s="23">
        <f>(65535*8)/50</f>
        <v>10485.6</v>
      </c>
      <c r="L10" s="8"/>
    </row>
    <row r="11" spans="1:12">
      <c r="A11" s="3"/>
      <c r="D11" s="3"/>
      <c r="E11" s="3"/>
      <c r="F11" s="3"/>
      <c r="J11" s="9">
        <f>I3*(K11/65535)</f>
        <v>84.6</v>
      </c>
      <c r="K11" s="23">
        <f>(65535*9)/50</f>
        <v>11796.3</v>
      </c>
      <c r="L11" s="8"/>
    </row>
    <row r="12" spans="1:12">
      <c r="A12" s="3"/>
      <c r="E12" s="3"/>
      <c r="F12" s="3"/>
      <c r="J12" s="9">
        <f>I3*(K12/65535)</f>
        <v>94</v>
      </c>
      <c r="K12" s="23">
        <f>(65535*10)/50</f>
        <v>13107</v>
      </c>
      <c r="L12" s="8"/>
    </row>
    <row r="13" spans="1:12">
      <c r="A13" s="3"/>
      <c r="E13" s="3"/>
      <c r="F13" s="3"/>
      <c r="J13" s="9">
        <f>I3*(K13/65535)</f>
        <v>103.4</v>
      </c>
      <c r="K13" s="23">
        <f>(65535*11)/50</f>
        <v>14417.7</v>
      </c>
      <c r="L13" s="8"/>
    </row>
    <row r="14" spans="1:12">
      <c r="A14" s="3"/>
      <c r="B14" s="3"/>
      <c r="C14" s="3"/>
      <c r="D14" s="3"/>
      <c r="E14" s="3"/>
      <c r="F14" s="3"/>
      <c r="J14" s="9">
        <f>I3*(K14/65535)</f>
        <v>112.8</v>
      </c>
      <c r="K14" s="23">
        <f>(65535*12)/50</f>
        <v>15728.4</v>
      </c>
      <c r="L14" s="8"/>
    </row>
    <row r="15" spans="1:12">
      <c r="A15" s="12" t="s">
        <v>21</v>
      </c>
      <c r="B15" s="14">
        <f>((A3-2*B5)*(B3-2*B5))*(C3-2*B5)/1000000</f>
        <v>329.89030400000001</v>
      </c>
      <c r="C15" s="15" t="s">
        <v>10</v>
      </c>
      <c r="D15" s="3"/>
      <c r="E15" s="3"/>
      <c r="F15" s="3"/>
      <c r="J15" s="9">
        <f>I3*(K15/65535)</f>
        <v>122.19999999999997</v>
      </c>
      <c r="K15" s="23">
        <f>(65535*13)/50</f>
        <v>17039.099999999999</v>
      </c>
      <c r="L15" s="8"/>
    </row>
    <row r="16" spans="1:12" ht="14.1" customHeight="1">
      <c r="B16" s="3"/>
      <c r="D16" s="5"/>
      <c r="J16" s="9">
        <f>I3*(K16/65535)</f>
        <v>131.6</v>
      </c>
      <c r="K16" s="23">
        <f>(65535*14)/50</f>
        <v>18349.8</v>
      </c>
      <c r="L16" s="8"/>
    </row>
    <row r="17" spans="1:12">
      <c r="A17" s="16" t="s">
        <v>22</v>
      </c>
      <c r="B17" s="14">
        <f>B7/B15</f>
        <v>0.93970630916148412</v>
      </c>
      <c r="C17" s="11"/>
      <c r="D17" s="6"/>
      <c r="J17" s="9">
        <f>I3*(K17/65535)</f>
        <v>141</v>
      </c>
      <c r="K17" s="23">
        <f>(65535*15)/50</f>
        <v>19660.5</v>
      </c>
      <c r="L17" s="8"/>
    </row>
    <row r="18" spans="1:12">
      <c r="B18" s="3"/>
      <c r="D18" s="6"/>
      <c r="J18" s="9">
        <f>I3*(K18/65535)</f>
        <v>150.4</v>
      </c>
      <c r="K18" s="23">
        <f>(65535*16)/50</f>
        <v>20971.2</v>
      </c>
      <c r="L18" s="8"/>
    </row>
    <row r="19" spans="1:12">
      <c r="D19" s="6"/>
      <c r="J19" s="9">
        <f>I3*(K19/65535)</f>
        <v>159.80000000000001</v>
      </c>
      <c r="K19" s="23">
        <f>(65535*17)/50</f>
        <v>22281.9</v>
      </c>
      <c r="L19" s="8"/>
    </row>
    <row r="20" spans="1:12">
      <c r="D20" s="6"/>
      <c r="J20" s="9">
        <f>I3*(K20/65535)</f>
        <v>169.2</v>
      </c>
      <c r="K20" s="23">
        <f>(65535*18)/50</f>
        <v>23592.6</v>
      </c>
      <c r="L20" s="8"/>
    </row>
    <row r="21" spans="1:12">
      <c r="D21" s="6"/>
      <c r="J21" s="9">
        <f>I3*(K21/65535)</f>
        <v>178.6</v>
      </c>
      <c r="K21" s="23">
        <f>(65535*19)/50</f>
        <v>24903.3</v>
      </c>
      <c r="L21" s="8"/>
    </row>
    <row r="22" spans="1:12">
      <c r="D22" s="6"/>
      <c r="J22" s="9">
        <f>I3*(K22/65535)</f>
        <v>188</v>
      </c>
      <c r="K22" s="23">
        <f>(65535*20)/50</f>
        <v>26214</v>
      </c>
      <c r="L22" s="8"/>
    </row>
    <row r="23" spans="1:12">
      <c r="D23" s="6"/>
      <c r="J23" s="9">
        <f>I3*(K23/65535)</f>
        <v>197.4</v>
      </c>
      <c r="K23" s="23">
        <f>(65535*21)/50</f>
        <v>27524.7</v>
      </c>
      <c r="L23" s="8"/>
    </row>
    <row r="24" spans="1:12">
      <c r="D24" s="6"/>
      <c r="J24" s="9">
        <f>I3*(K24/65535)</f>
        <v>206.8</v>
      </c>
      <c r="K24" s="23">
        <f>(65535*22)/50</f>
        <v>28835.4</v>
      </c>
      <c r="L24" s="8"/>
    </row>
    <row r="25" spans="1:12">
      <c r="D25" s="6"/>
      <c r="J25" s="9">
        <f>I3*(K25/65535)</f>
        <v>216.2</v>
      </c>
      <c r="K25" s="23">
        <f>(65535*23)/50</f>
        <v>30146.1</v>
      </c>
      <c r="L25" s="8"/>
    </row>
    <row r="26" spans="1:12">
      <c r="D26" s="6"/>
      <c r="J26" s="9">
        <f>I3*(K26/65535)</f>
        <v>225.6</v>
      </c>
      <c r="K26" s="23">
        <f>(65535*24)/50</f>
        <v>31456.799999999999</v>
      </c>
      <c r="L26" s="8"/>
    </row>
    <row r="27" spans="1:12">
      <c r="D27" s="6"/>
      <c r="J27" s="9">
        <f>I3*(K27/65535)</f>
        <v>235</v>
      </c>
      <c r="K27" s="23">
        <f>(65535*25)/50</f>
        <v>32767.5</v>
      </c>
      <c r="L27" s="8"/>
    </row>
    <row r="28" spans="1:12">
      <c r="D28" s="6"/>
      <c r="J28" s="9">
        <f>I3*(K28/65535)</f>
        <v>244.39999999999995</v>
      </c>
      <c r="K28" s="23">
        <f>(65535*26)/50</f>
        <v>34078.199999999997</v>
      </c>
      <c r="L28" s="8"/>
    </row>
    <row r="29" spans="1:12">
      <c r="D29" s="6"/>
      <c r="J29" s="9">
        <f>I3*(K29/65535)</f>
        <v>253.8</v>
      </c>
      <c r="K29" s="23">
        <f>(65535*27)/50</f>
        <v>35388.9</v>
      </c>
      <c r="L29" s="8"/>
    </row>
    <row r="30" spans="1:12">
      <c r="D30" s="6"/>
      <c r="J30" s="9">
        <f>I3*(K30/65535)</f>
        <v>263.2</v>
      </c>
      <c r="K30" s="23">
        <f>(65535*28)/50</f>
        <v>36699.599999999999</v>
      </c>
      <c r="L30" s="8"/>
    </row>
    <row r="31" spans="1:12">
      <c r="D31" s="6"/>
      <c r="J31" s="9">
        <f>I3*(K31/65535)</f>
        <v>272.60000000000002</v>
      </c>
      <c r="K31" s="23">
        <f>(65535*29)/50</f>
        <v>38010.300000000003</v>
      </c>
      <c r="L31" s="8"/>
    </row>
    <row r="32" spans="1:12">
      <c r="D32" s="6"/>
      <c r="J32" s="9">
        <f>I3*(K32/65535)</f>
        <v>282</v>
      </c>
      <c r="K32" s="23">
        <f>(65535*30)/50</f>
        <v>39321</v>
      </c>
      <c r="L32" s="8"/>
    </row>
    <row r="33" spans="4:12">
      <c r="D33" s="6"/>
      <c r="J33" s="9">
        <f>I3*(K33/65535)</f>
        <v>291.39999999999998</v>
      </c>
      <c r="K33" s="23">
        <f>(65535*31)/50</f>
        <v>40631.699999999997</v>
      </c>
      <c r="L33" s="8"/>
    </row>
    <row r="34" spans="4:12">
      <c r="D34" s="6"/>
      <c r="J34" s="9">
        <f>I3*(K34/65535)</f>
        <v>300.8</v>
      </c>
      <c r="K34" s="23">
        <f>(65535*32)/50</f>
        <v>41942.400000000001</v>
      </c>
      <c r="L34" s="8"/>
    </row>
    <row r="35" spans="4:12">
      <c r="D35" s="6"/>
      <c r="J35" s="9">
        <f>I3*(K35/65535)</f>
        <v>310.2</v>
      </c>
      <c r="K35" s="23">
        <f>(65535*33)/50</f>
        <v>43253.1</v>
      </c>
      <c r="L35" s="8"/>
    </row>
    <row r="36" spans="4:12">
      <c r="D36" s="6"/>
      <c r="J36" s="9">
        <f>I3*(K36/65535)</f>
        <v>319.60000000000002</v>
      </c>
      <c r="K36" s="23">
        <f>(65535*34)/50</f>
        <v>44563.8</v>
      </c>
      <c r="L36" s="8"/>
    </row>
    <row r="37" spans="4:12">
      <c r="D37" s="6"/>
      <c r="J37" s="9">
        <f>I3*(K37/65535)</f>
        <v>329</v>
      </c>
      <c r="K37" s="23">
        <f>(65535*35)/50</f>
        <v>45874.5</v>
      </c>
      <c r="L37" s="8"/>
    </row>
    <row r="38" spans="4:12">
      <c r="D38" s="6"/>
      <c r="J38" s="9">
        <f>I3*(K38/65535)</f>
        <v>338.4</v>
      </c>
      <c r="K38" s="23">
        <f>(65535*36)/50</f>
        <v>47185.2</v>
      </c>
      <c r="L38" s="8"/>
    </row>
    <row r="39" spans="4:12">
      <c r="D39" s="6"/>
      <c r="J39" s="9">
        <f>I3*(K39/65535)</f>
        <v>347.8</v>
      </c>
      <c r="K39" s="23">
        <f>(65535*37)/50</f>
        <v>48495.9</v>
      </c>
      <c r="L39" s="8"/>
    </row>
    <row r="40" spans="4:12">
      <c r="D40" s="6"/>
      <c r="J40" s="9">
        <f>I3*(K40/65535)</f>
        <v>357.2</v>
      </c>
      <c r="K40" s="23">
        <f>(65535*38)/50</f>
        <v>49806.6</v>
      </c>
      <c r="L40" s="8"/>
    </row>
    <row r="41" spans="4:12">
      <c r="D41" s="6"/>
      <c r="J41" s="9">
        <f>I3*(K41/65535)</f>
        <v>366.6</v>
      </c>
      <c r="K41" s="23">
        <f>(65535*39)/50</f>
        <v>51117.3</v>
      </c>
      <c r="L41" s="8"/>
    </row>
    <row r="42" spans="4:12">
      <c r="D42" s="6"/>
      <c r="J42" s="9">
        <f>I3*(K42/65535)</f>
        <v>376</v>
      </c>
      <c r="K42" s="23">
        <f>(65535*40)/50</f>
        <v>52428</v>
      </c>
      <c r="L42" s="8"/>
    </row>
    <row r="43" spans="4:12">
      <c r="D43" s="6"/>
      <c r="J43" s="9">
        <f>I3*(K43/65535)</f>
        <v>385.4</v>
      </c>
      <c r="K43" s="23">
        <f>(65535*41)/50</f>
        <v>53738.7</v>
      </c>
      <c r="L43" s="8"/>
    </row>
    <row r="44" spans="4:12">
      <c r="D44" s="6"/>
      <c r="J44" s="9">
        <f>I3*(K44/65535)</f>
        <v>394.8</v>
      </c>
      <c r="K44" s="23">
        <f>(65535*42)/50</f>
        <v>55049.4</v>
      </c>
      <c r="L44" s="8"/>
    </row>
    <row r="45" spans="4:12">
      <c r="D45" s="6"/>
      <c r="J45" s="9">
        <f>I3*(K45/65535)</f>
        <v>404.2</v>
      </c>
      <c r="K45" s="23">
        <f>(65535*43)/50</f>
        <v>56360.1</v>
      </c>
      <c r="L45" s="8"/>
    </row>
    <row r="46" spans="4:12">
      <c r="D46" s="6"/>
      <c r="J46" s="9">
        <f>I3*(K46/65535)</f>
        <v>413.6</v>
      </c>
      <c r="K46" s="23">
        <f>(65535*44)/50</f>
        <v>57670.8</v>
      </c>
      <c r="L46" s="8"/>
    </row>
    <row r="47" spans="4:12">
      <c r="D47" s="6"/>
      <c r="J47" s="9">
        <f>I3*(K47/65535)</f>
        <v>423</v>
      </c>
      <c r="K47" s="23">
        <f>(65535*45)/50</f>
        <v>58981.5</v>
      </c>
      <c r="L47" s="8"/>
    </row>
    <row r="48" spans="4:12">
      <c r="D48" s="6"/>
      <c r="J48" s="9">
        <f>I3*(K48/65535)</f>
        <v>432.4</v>
      </c>
      <c r="K48" s="23">
        <f>(65535*46)/50</f>
        <v>60292.2</v>
      </c>
      <c r="L48" s="8"/>
    </row>
    <row r="49" spans="1:12">
      <c r="D49" s="6"/>
      <c r="J49" s="9">
        <f>I3*(K49/65535)</f>
        <v>441.8</v>
      </c>
      <c r="K49" s="23">
        <f>(65535*47)/50</f>
        <v>61602.9</v>
      </c>
      <c r="L49" s="8"/>
    </row>
    <row r="50" spans="1:12">
      <c r="A50" s="30" t="s">
        <v>11</v>
      </c>
      <c r="B50" s="30"/>
      <c r="C50" s="30"/>
      <c r="D50" s="30"/>
      <c r="J50" s="9">
        <f>I3*(K50/65535)</f>
        <v>451.2</v>
      </c>
      <c r="K50" s="23">
        <f>(65535*48)/50</f>
        <v>62913.599999999999</v>
      </c>
      <c r="L50" s="8"/>
    </row>
    <row r="51" spans="1:12">
      <c r="A51" s="31" t="s">
        <v>12</v>
      </c>
      <c r="B51" s="31"/>
      <c r="C51" s="31"/>
      <c r="D51" s="31"/>
      <c r="J51" s="9">
        <f>I3*(K51/65535)</f>
        <v>460.6</v>
      </c>
      <c r="K51" s="23">
        <f>(65535*49)/50</f>
        <v>64224.3</v>
      </c>
      <c r="L51" s="8"/>
    </row>
    <row r="52" spans="1:12">
      <c r="A52" s="32" t="s">
        <v>13</v>
      </c>
      <c r="B52" s="32"/>
      <c r="C52" s="32"/>
      <c r="D52" s="32"/>
      <c r="J52" s="9">
        <f>I3*(K52/65535)</f>
        <v>470</v>
      </c>
      <c r="K52" s="23">
        <f>(65535*50)/50</f>
        <v>65535</v>
      </c>
      <c r="L52" s="8"/>
    </row>
    <row r="53" spans="1:12">
      <c r="A53" s="33" t="s">
        <v>14</v>
      </c>
      <c r="B53" s="33"/>
      <c r="C53" s="33"/>
      <c r="D53" s="33"/>
    </row>
    <row r="54" spans="1:12" s="18" customFormat="1" ht="15.6">
      <c r="D54" s="19"/>
      <c r="J54" s="17" t="s">
        <v>25</v>
      </c>
      <c r="K54" s="20" t="s">
        <v>26</v>
      </c>
      <c r="L54" s="20" t="s">
        <v>26</v>
      </c>
    </row>
    <row r="55" spans="1:12" s="18" customFormat="1" ht="15.6">
      <c r="D55" s="19"/>
      <c r="J55" s="17"/>
      <c r="K55" s="17"/>
      <c r="L55" s="21"/>
    </row>
    <row r="56" spans="1:12">
      <c r="A56" s="28" t="s">
        <v>29</v>
      </c>
      <c r="B56" s="28"/>
      <c r="C56" s="28"/>
      <c r="D56" s="7"/>
    </row>
    <row r="57" spans="1:12">
      <c r="A57" s="28" t="s">
        <v>15</v>
      </c>
      <c r="B57" s="28"/>
      <c r="C57" s="28"/>
      <c r="D57" s="28"/>
      <c r="E57" s="28"/>
      <c r="F57" s="28"/>
      <c r="G57" s="28"/>
      <c r="H57" s="28"/>
      <c r="I57" s="28"/>
    </row>
    <row r="58" spans="1:12">
      <c r="A58" s="28" t="s">
        <v>30</v>
      </c>
      <c r="B58" s="28"/>
      <c r="C58" s="28"/>
      <c r="D58" s="28"/>
      <c r="E58" s="28"/>
      <c r="F58" s="28"/>
      <c r="G58" s="28"/>
      <c r="H58" s="28"/>
      <c r="I58" s="28"/>
      <c r="J58" s="28"/>
      <c r="K58" s="27"/>
    </row>
    <row r="59" spans="1:12">
      <c r="A59" s="28" t="s">
        <v>31</v>
      </c>
      <c r="B59" s="28"/>
      <c r="C59" s="28"/>
      <c r="D59" s="28"/>
    </row>
    <row r="60" spans="1:12">
      <c r="A60" s="28" t="s">
        <v>16</v>
      </c>
      <c r="B60" s="28"/>
      <c r="C60" s="28"/>
      <c r="D60" s="28"/>
      <c r="E60" s="28"/>
      <c r="F60" s="28"/>
      <c r="G60" s="28"/>
      <c r="H60" s="28"/>
      <c r="I60" s="28"/>
      <c r="J60" s="28"/>
      <c r="K60" s="27"/>
    </row>
    <row r="61" spans="1:12">
      <c r="A61" s="28" t="s">
        <v>17</v>
      </c>
      <c r="B61" s="28"/>
      <c r="C61" s="28"/>
      <c r="D61" s="28"/>
      <c r="E61" s="28"/>
      <c r="F61" s="28"/>
      <c r="G61" s="28"/>
      <c r="H61" s="28"/>
      <c r="I61" s="28"/>
    </row>
    <row r="62" spans="1:12">
      <c r="A62" s="28" t="s">
        <v>18</v>
      </c>
      <c r="B62" s="28"/>
      <c r="C62" s="28"/>
      <c r="D62" s="28"/>
      <c r="E62" s="28"/>
      <c r="F62" s="28"/>
      <c r="G62" s="28"/>
      <c r="H62" s="28"/>
      <c r="I62" s="28"/>
      <c r="J62" s="28"/>
      <c r="K62" s="27"/>
    </row>
    <row r="63" spans="1:12">
      <c r="A63" s="28" t="s">
        <v>19</v>
      </c>
      <c r="B63" s="28"/>
      <c r="C63" s="28"/>
      <c r="D63" s="28"/>
      <c r="E63" s="28"/>
      <c r="F63" s="28"/>
      <c r="G63" s="28"/>
      <c r="H63" s="28"/>
      <c r="I63" s="28"/>
      <c r="J63" s="28"/>
      <c r="K63" s="27"/>
    </row>
    <row r="64" spans="1:12">
      <c r="D64" s="6"/>
    </row>
    <row r="65" spans="4:4">
      <c r="D65" s="6"/>
    </row>
  </sheetData>
  <protectedRanges>
    <protectedRange sqref="A3:D7" name="区域1_1"/>
  </protectedRanges>
  <mergeCells count="13">
    <mergeCell ref="A63:J63"/>
    <mergeCell ref="A57:I57"/>
    <mergeCell ref="A58:J58"/>
    <mergeCell ref="A59:D59"/>
    <mergeCell ref="A60:J60"/>
    <mergeCell ref="A61:I61"/>
    <mergeCell ref="A62:J62"/>
    <mergeCell ref="A1:L1"/>
    <mergeCell ref="A50:D50"/>
    <mergeCell ref="A51:D51"/>
    <mergeCell ref="A52:D52"/>
    <mergeCell ref="A53:D53"/>
    <mergeCell ref="A56:C56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ppzhu</dc:creator>
  <cp:lastModifiedBy>PCOS.CN</cp:lastModifiedBy>
  <dcterms:created xsi:type="dcterms:W3CDTF">2014-07-28T03:17:00Z</dcterms:created>
  <dcterms:modified xsi:type="dcterms:W3CDTF">2016-11-01T02:07:14Z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2052-9.1.0.4833</vt:lpwstr>
  </property>
</Properties>
</file>