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1790" yWindow="420" windowWidth="14325" windowHeight="10620"/>
  </bookViews>
  <sheets>
    <sheet name="Sheet1" sheetId="3" r:id="rId1"/>
  </sheets>
  <calcPr calcId="125725"/>
</workbook>
</file>

<file path=xl/calcChain.xml><?xml version="1.0" encoding="utf-8"?>
<calcChain xmlns="http://schemas.openxmlformats.org/spreadsheetml/2006/main">
  <c r="J6" i="3"/>
  <c r="J7"/>
  <c r="J8"/>
  <c r="J9"/>
  <c r="J10"/>
  <c r="J11"/>
  <c r="J12"/>
  <c r="J13"/>
  <c r="J14"/>
  <c r="J15"/>
  <c r="J16"/>
  <c r="I3" l="1"/>
  <c r="G3"/>
  <c r="H3" s="1"/>
  <c r="K39"/>
  <c r="K52"/>
  <c r="K51"/>
  <c r="K50"/>
  <c r="K49"/>
  <c r="K48"/>
  <c r="K47"/>
  <c r="K46"/>
  <c r="J46" s="1"/>
  <c r="K45"/>
  <c r="K44"/>
  <c r="K43"/>
  <c r="J43" s="1"/>
  <c r="K42"/>
  <c r="K41"/>
  <c r="J41" s="1"/>
  <c r="K40"/>
  <c r="J40" s="1"/>
  <c r="K38"/>
  <c r="K37"/>
  <c r="K36"/>
  <c r="K35"/>
  <c r="K34"/>
  <c r="K33"/>
  <c r="K32"/>
  <c r="K31"/>
  <c r="K30"/>
  <c r="J30" s="1"/>
  <c r="K29"/>
  <c r="K28"/>
  <c r="K27"/>
  <c r="J27" s="1"/>
  <c r="K26"/>
  <c r="K25"/>
  <c r="K24"/>
  <c r="J24" s="1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J3" l="1"/>
  <c r="J17"/>
  <c r="J33"/>
  <c r="J49"/>
  <c r="J19"/>
  <c r="J22"/>
  <c r="J32"/>
  <c r="J35"/>
  <c r="J38"/>
  <c r="J48"/>
  <c r="J51"/>
  <c r="J4"/>
  <c r="J25"/>
  <c r="J5"/>
  <c r="J18"/>
  <c r="J21"/>
  <c r="J26"/>
  <c r="J29"/>
  <c r="J34"/>
  <c r="J37"/>
  <c r="J42"/>
  <c r="J45"/>
  <c r="J50"/>
  <c r="J20"/>
  <c r="J23"/>
  <c r="J28"/>
  <c r="J31"/>
  <c r="J36"/>
  <c r="J39"/>
  <c r="J44"/>
  <c r="J47"/>
  <c r="J52"/>
</calcChain>
</file>

<file path=xl/sharedStrings.xml><?xml version="1.0" encoding="utf-8"?>
<sst xmlns="http://schemas.openxmlformats.org/spreadsheetml/2006/main" count="33" uniqueCount="32">
  <si>
    <t>长</t>
  </si>
  <si>
    <t>宽</t>
  </si>
  <si>
    <t>高</t>
  </si>
  <si>
    <t>油杆长</t>
  </si>
  <si>
    <t>测量高位</t>
  </si>
  <si>
    <t>量程</t>
  </si>
  <si>
    <t>重要提醒：</t>
  </si>
  <si>
    <t>油杆长度小于或等于油箱高度！</t>
  </si>
  <si>
    <t>4、如客户要求容积自己提供。则填写客户容积。</t>
  </si>
  <si>
    <t>5、采用电压输出的油杆，填写最大输出电压。</t>
  </si>
  <si>
    <t>6、根据用户所使用油杆类型选择油杆对应输出做为标定值。</t>
  </si>
  <si>
    <t>7、使用理论油量值做为标定油量值。如用户提供油箱容积，则使用客户油量值。</t>
  </si>
  <si>
    <t>填写说明(单位：mm)：</t>
  </si>
  <si>
    <t>1、填写长方型油箱长，宽，高参数。</t>
  </si>
  <si>
    <t>2、油杆长请填写油杆铭牌中的长度，与上盲区和下盲区。例如：油杆铭牌标660mm，
   油杆长度为法兰下表面至油杆末端的长度；</t>
  </si>
  <si>
    <t>3、填写油箱厚度。默认为：3</t>
  </si>
  <si>
    <t>油杆上盲区</t>
    <phoneticPr fontId="4" type="noConversion"/>
  </si>
  <si>
    <t>油杆下盲区</t>
    <phoneticPr fontId="4" type="noConversion"/>
  </si>
  <si>
    <t>测量低位</t>
    <phoneticPr fontId="4" type="noConversion"/>
  </si>
  <si>
    <t>油杆检测高度</t>
    <phoneticPr fontId="2" type="noConversion"/>
  </si>
  <si>
    <t>油杆理论AD值</t>
    <phoneticPr fontId="2" type="noConversion"/>
  </si>
  <si>
    <t>油量值（升）</t>
    <phoneticPr fontId="2" type="noConversion"/>
  </si>
  <si>
    <t>油箱壁厚</t>
    <phoneticPr fontId="2" type="noConversion"/>
  </si>
  <si>
    <t>淡蓝色数据请不要动！</t>
    <phoneticPr fontId="4" type="noConversion"/>
  </si>
  <si>
    <t>8、标定组数不满50组的，后面全部清除</t>
  </si>
  <si>
    <t>AD值标定法</t>
    <phoneticPr fontId="4" type="noConversion"/>
  </si>
  <si>
    <t>本列计算出来</t>
    <phoneticPr fontId="2" type="noConversion"/>
  </si>
  <si>
    <t>本列人工标定输入</t>
    <phoneticPr fontId="2" type="noConversion"/>
  </si>
  <si>
    <t>油箱标定 AD值标定法</t>
    <phoneticPr fontId="2" type="noConversion"/>
  </si>
  <si>
    <t>蓝色为用户输入项！</t>
    <phoneticPr fontId="4" type="noConversion"/>
  </si>
  <si>
    <t>下圆角半径</t>
    <phoneticPr fontId="2" type="noConversion"/>
  </si>
  <si>
    <t>上圆角半径</t>
    <phoneticPr fontId="2" type="noConversion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</si>
</sst>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000_);[Red]\(0.0000\)"/>
    <numFmt numFmtId="178" formatCode="0_ "/>
    <numFmt numFmtId="179" formatCode="0.0_ "/>
  </numFmts>
  <fonts count="20">
    <font>
      <sz val="11"/>
      <color indexed="8"/>
      <name val="宋体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charset val="134"/>
    </font>
    <font>
      <b/>
      <sz val="14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6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theme="4" tint="-0.249977111117893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62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indexed="62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b/>
      <sz val="12"/>
      <color indexed="62"/>
      <name val="微软雅黑"/>
      <family val="2"/>
      <charset val="134"/>
    </font>
    <font>
      <i/>
      <sz val="11"/>
      <color theme="0"/>
      <name val="微软雅黑"/>
      <family val="2"/>
      <charset val="134"/>
    </font>
    <font>
      <b/>
      <sz val="1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4E1F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BD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3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 applyBorder="1" applyAlignment="1">
      <alignment vertical="center" textRotation="255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178" fontId="9" fillId="5" borderId="1" xfId="0" applyNumberFormat="1" applyFont="1" applyFill="1" applyBorder="1" applyAlignment="1">
      <alignment horizontal="center" vertical="center"/>
    </xf>
    <xf numFmtId="177" fontId="10" fillId="5" borderId="1" xfId="0" applyNumberFormat="1" applyFont="1" applyFill="1" applyBorder="1" applyAlignment="1">
      <alignment horizontal="center" vertical="center"/>
    </xf>
    <xf numFmtId="176" fontId="9" fillId="4" borderId="1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0" xfId="0" applyFont="1" applyBorder="1" applyAlignment="1">
      <alignment vertical="center" textRotation="255"/>
    </xf>
    <xf numFmtId="0" fontId="8" fillId="0" borderId="0" xfId="0" applyFont="1" applyAlignment="1">
      <alignment vertical="center"/>
    </xf>
    <xf numFmtId="176" fontId="8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0" borderId="0" xfId="0" applyFont="1" applyBorder="1" applyAlignment="1">
      <alignment vertical="center" textRotation="255"/>
    </xf>
    <xf numFmtId="0" fontId="16" fillId="0" borderId="0" xfId="0" applyFont="1" applyAlignment="1">
      <alignment vertical="center"/>
    </xf>
    <xf numFmtId="176" fontId="17" fillId="0" borderId="0" xfId="0" applyNumberFormat="1" applyFont="1" applyBorder="1" applyAlignment="1">
      <alignment vertical="center"/>
    </xf>
    <xf numFmtId="176" fontId="17" fillId="0" borderId="0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177" fontId="14" fillId="0" borderId="0" xfId="0" applyNumberFormat="1" applyFont="1">
      <alignment vertical="center"/>
    </xf>
    <xf numFmtId="178" fontId="18" fillId="6" borderId="1" xfId="0" applyNumberFormat="1" applyFont="1" applyFill="1" applyBorder="1" applyAlignment="1">
      <alignment horizontal="center" vertical="center"/>
    </xf>
    <xf numFmtId="179" fontId="18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8" fillId="6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4E1F6"/>
      <color rgb="FF4BD0FF"/>
      <color rgb="FF53B0C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5"/>
  <sheetViews>
    <sheetView tabSelected="1" workbookViewId="0">
      <selection activeCell="E6" sqref="E6"/>
    </sheetView>
  </sheetViews>
  <sheetFormatPr defaultColWidth="9" defaultRowHeight="13.5"/>
  <cols>
    <col min="1" max="1" width="11.625" style="5" bestFit="1" customWidth="1"/>
    <col min="2" max="2" width="8.5" style="5" customWidth="1"/>
    <col min="3" max="3" width="5.625" style="5" customWidth="1"/>
    <col min="4" max="4" width="8.875" style="5" customWidth="1"/>
    <col min="5" max="6" width="11.625" style="5" bestFit="1" customWidth="1"/>
    <col min="7" max="8" width="9.5" style="5" bestFit="1" customWidth="1"/>
    <col min="9" max="9" width="5.5" style="5" bestFit="1" customWidth="1"/>
    <col min="10" max="10" width="14.625" style="1" customWidth="1"/>
    <col min="11" max="11" width="21.25" style="1" bestFit="1" customWidth="1"/>
    <col min="12" max="12" width="21.25" style="2" bestFit="1" customWidth="1"/>
    <col min="13" max="13" width="4.125" style="5" customWidth="1"/>
    <col min="14" max="16384" width="9" style="5"/>
  </cols>
  <sheetData>
    <row r="1" spans="1:12" ht="22.5">
      <c r="A1" s="32" t="s">
        <v>28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16.5">
      <c r="A2" s="7" t="s">
        <v>0</v>
      </c>
      <c r="B2" s="7" t="s">
        <v>1</v>
      </c>
      <c r="C2" s="7" t="s">
        <v>2</v>
      </c>
      <c r="D2" s="7" t="s">
        <v>3</v>
      </c>
      <c r="E2" s="7" t="s">
        <v>16</v>
      </c>
      <c r="F2" s="7" t="s">
        <v>17</v>
      </c>
      <c r="G2" s="8" t="s">
        <v>18</v>
      </c>
      <c r="H2" s="8" t="s">
        <v>4</v>
      </c>
      <c r="I2" s="8" t="s">
        <v>5</v>
      </c>
      <c r="J2" s="9" t="s">
        <v>19</v>
      </c>
      <c r="K2" s="9" t="s">
        <v>20</v>
      </c>
      <c r="L2" s="10" t="s">
        <v>21</v>
      </c>
    </row>
    <row r="3" spans="1:12" ht="16.5">
      <c r="A3" s="28">
        <v>1010</v>
      </c>
      <c r="B3" s="28">
        <v>610</v>
      </c>
      <c r="C3" s="28">
        <v>550</v>
      </c>
      <c r="D3" s="28">
        <v>500</v>
      </c>
      <c r="E3" s="28">
        <v>22</v>
      </c>
      <c r="F3" s="28">
        <v>11</v>
      </c>
      <c r="G3" s="29">
        <f>C3-D3+F3-B5</f>
        <v>58</v>
      </c>
      <c r="H3" s="29">
        <f>I3+G3</f>
        <v>525</v>
      </c>
      <c r="I3" s="29">
        <f>D3-E3-F3</f>
        <v>467</v>
      </c>
      <c r="J3" s="11">
        <f>I3*(K3/65535)</f>
        <v>9.34</v>
      </c>
      <c r="K3" s="26">
        <f>(65535*1)/50</f>
        <v>1310.7</v>
      </c>
      <c r="L3" s="27">
        <v>37.200000000000003</v>
      </c>
    </row>
    <row r="4" spans="1:12" ht="16.5">
      <c r="A4" s="8"/>
      <c r="B4" s="12"/>
      <c r="C4" s="12"/>
      <c r="D4" s="12"/>
      <c r="E4" s="12"/>
      <c r="F4" s="12"/>
      <c r="G4" s="8"/>
      <c r="H4" s="8"/>
      <c r="I4" s="13"/>
      <c r="J4" s="11">
        <f>I3*(K4/65535)</f>
        <v>18.68</v>
      </c>
      <c r="K4" s="26">
        <f>(65535*2)/50</f>
        <v>2621.4</v>
      </c>
      <c r="L4" s="28">
        <v>42.5</v>
      </c>
    </row>
    <row r="5" spans="1:12" ht="16.5">
      <c r="A5" s="14" t="s">
        <v>22</v>
      </c>
      <c r="B5" s="28">
        <v>3</v>
      </c>
      <c r="C5" s="8"/>
      <c r="D5" s="8"/>
      <c r="E5" s="7"/>
      <c r="F5" s="8"/>
      <c r="G5" s="8"/>
      <c r="H5" s="8"/>
      <c r="I5" s="8"/>
      <c r="J5" s="11">
        <f>I3*(K5/65535)</f>
        <v>28.02</v>
      </c>
      <c r="K5" s="26">
        <f>(65535*3)/50</f>
        <v>3932.1</v>
      </c>
      <c r="L5" s="28">
        <v>47.9</v>
      </c>
    </row>
    <row r="6" spans="1:12" ht="16.5">
      <c r="A6" s="14" t="s">
        <v>30</v>
      </c>
      <c r="B6" s="28">
        <v>50</v>
      </c>
      <c r="C6" s="8"/>
      <c r="D6" s="8"/>
      <c r="E6" s="7"/>
      <c r="F6" s="8"/>
      <c r="G6" s="8"/>
      <c r="H6" s="8"/>
      <c r="I6" s="8"/>
      <c r="J6" s="11">
        <f>I3*(K6/65535)</f>
        <v>37.36</v>
      </c>
      <c r="K6" s="26">
        <f>(65535*4)/50</f>
        <v>5242.8</v>
      </c>
      <c r="L6" s="28">
        <v>53.5</v>
      </c>
    </row>
    <row r="7" spans="1:12" ht="16.5">
      <c r="A7" s="14" t="s">
        <v>31</v>
      </c>
      <c r="B7" s="28">
        <v>50</v>
      </c>
      <c r="C7" s="8"/>
      <c r="D7" s="8"/>
      <c r="E7" s="7"/>
      <c r="F7" s="7"/>
      <c r="G7" s="8"/>
      <c r="H7" s="8"/>
      <c r="I7" s="8"/>
      <c r="J7" s="11">
        <f>I3*(K7/65535)</f>
        <v>46.7</v>
      </c>
      <c r="K7" s="26">
        <f>(65535*5)/50</f>
        <v>6553.5</v>
      </c>
      <c r="L7" s="28">
        <v>58.9</v>
      </c>
    </row>
    <row r="8" spans="1:12" ht="16.5">
      <c r="A8" s="7"/>
      <c r="B8" s="7"/>
      <c r="C8" s="7"/>
      <c r="D8" s="7"/>
      <c r="E8" s="7"/>
      <c r="F8" s="7"/>
      <c r="G8" s="8"/>
      <c r="H8" s="8"/>
      <c r="I8" s="8"/>
      <c r="J8" s="11">
        <f>I3*(K8/65535)</f>
        <v>56.04</v>
      </c>
      <c r="K8" s="26">
        <f>(65535*6)/50</f>
        <v>7864.2</v>
      </c>
      <c r="L8" s="28">
        <v>64.099999999999994</v>
      </c>
    </row>
    <row r="9" spans="1:12" ht="16.5">
      <c r="A9" s="7"/>
      <c r="B9" s="7"/>
      <c r="C9" s="7"/>
      <c r="D9" s="7"/>
      <c r="E9" s="7"/>
      <c r="F9" s="8"/>
      <c r="G9" s="8"/>
      <c r="H9" s="8"/>
      <c r="I9" s="8"/>
      <c r="J9" s="11">
        <f>I3*(K9/65535)</f>
        <v>65.38</v>
      </c>
      <c r="K9" s="26">
        <f>(65535*7)/50</f>
        <v>9174.9</v>
      </c>
      <c r="L9" s="28">
        <v>70.599999999999994</v>
      </c>
    </row>
    <row r="10" spans="1:12" ht="16.5">
      <c r="A10" s="8"/>
      <c r="B10" s="8"/>
      <c r="C10" s="8"/>
      <c r="D10" s="8"/>
      <c r="E10" s="7"/>
      <c r="F10" s="8"/>
      <c r="G10" s="8"/>
      <c r="H10" s="8"/>
      <c r="I10" s="8"/>
      <c r="J10" s="11">
        <f>I3*(K10/65535)</f>
        <v>74.72</v>
      </c>
      <c r="K10" s="26">
        <f>(65535*8)/50</f>
        <v>10485.6</v>
      </c>
      <c r="L10" s="28">
        <v>76</v>
      </c>
    </row>
    <row r="11" spans="1:12" ht="16.5">
      <c r="A11" s="7"/>
      <c r="B11" s="7"/>
      <c r="C11" s="7"/>
      <c r="D11" s="7"/>
      <c r="E11" s="7"/>
      <c r="F11" s="7"/>
      <c r="G11" s="8"/>
      <c r="H11" s="8"/>
      <c r="I11" s="8"/>
      <c r="J11" s="11">
        <f>I3*(K11/65535)</f>
        <v>84.06</v>
      </c>
      <c r="K11" s="26">
        <f>(65535*9)/50</f>
        <v>11796.3</v>
      </c>
      <c r="L11" s="28">
        <v>81.5</v>
      </c>
    </row>
    <row r="12" spans="1:12" ht="16.5">
      <c r="A12" s="7"/>
      <c r="B12" s="7"/>
      <c r="C12" s="7"/>
      <c r="D12" s="7"/>
      <c r="E12" s="7"/>
      <c r="F12" s="7"/>
      <c r="G12" s="8"/>
      <c r="H12" s="8"/>
      <c r="I12" s="8"/>
      <c r="J12" s="11">
        <f>I3*(K12/65535)</f>
        <v>93.4</v>
      </c>
      <c r="K12" s="26">
        <f>(65535*10)/50</f>
        <v>13107</v>
      </c>
      <c r="L12" s="28">
        <v>87</v>
      </c>
    </row>
    <row r="13" spans="1:12" ht="16.5">
      <c r="A13" s="8"/>
      <c r="B13" s="8"/>
      <c r="C13" s="8"/>
      <c r="D13" s="8"/>
      <c r="E13" s="7"/>
      <c r="F13" s="7"/>
      <c r="G13" s="8"/>
      <c r="H13" s="8"/>
      <c r="I13" s="8"/>
      <c r="J13" s="11">
        <f>I3*(K13/65535)</f>
        <v>102.74</v>
      </c>
      <c r="K13" s="26">
        <f>(65535*11)/50</f>
        <v>14417.7</v>
      </c>
      <c r="L13" s="28">
        <v>92</v>
      </c>
    </row>
    <row r="14" spans="1:12" ht="16.5">
      <c r="A14" s="7"/>
      <c r="B14" s="7"/>
      <c r="C14" s="7"/>
      <c r="D14" s="7"/>
      <c r="E14" s="7"/>
      <c r="F14" s="7"/>
      <c r="G14" s="8"/>
      <c r="H14" s="8"/>
      <c r="I14" s="8"/>
      <c r="J14" s="11">
        <f>I3*(K14/65535)</f>
        <v>112.08</v>
      </c>
      <c r="K14" s="26">
        <f>(65535*12)/50</f>
        <v>15728.4</v>
      </c>
      <c r="L14" s="28">
        <v>97.1</v>
      </c>
    </row>
    <row r="15" spans="1:12" ht="16.5">
      <c r="A15" s="7"/>
      <c r="B15" s="7"/>
      <c r="C15" s="7"/>
      <c r="D15" s="7"/>
      <c r="E15" s="7"/>
      <c r="F15" s="7"/>
      <c r="G15" s="8"/>
      <c r="H15" s="8"/>
      <c r="I15" s="8"/>
      <c r="J15" s="11">
        <f>I3*(K15/65535)</f>
        <v>121.41999999999997</v>
      </c>
      <c r="K15" s="26">
        <f>(65535*13)/50</f>
        <v>17039.099999999999</v>
      </c>
      <c r="L15" s="28">
        <v>102.6</v>
      </c>
    </row>
    <row r="16" spans="1:12" ht="14.1" customHeight="1">
      <c r="A16" s="8"/>
      <c r="B16" s="8"/>
      <c r="C16" s="8"/>
      <c r="D16" s="8"/>
      <c r="E16" s="8"/>
      <c r="F16" s="8"/>
      <c r="G16" s="8"/>
      <c r="H16" s="8"/>
      <c r="I16" s="8"/>
      <c r="J16" s="11">
        <f>I3*(K16/65535)</f>
        <v>130.76</v>
      </c>
      <c r="K16" s="26">
        <f>(65535*14)/50</f>
        <v>18349.8</v>
      </c>
      <c r="L16" s="28">
        <v>108</v>
      </c>
    </row>
    <row r="17" spans="1:12" ht="16.5">
      <c r="A17" s="7"/>
      <c r="B17" s="7"/>
      <c r="C17" s="7"/>
      <c r="D17" s="7"/>
      <c r="E17" s="8"/>
      <c r="F17" s="8"/>
      <c r="G17" s="8"/>
      <c r="H17" s="8"/>
      <c r="I17" s="8"/>
      <c r="J17" s="11">
        <f>I3*(K17/65535)</f>
        <v>140.1</v>
      </c>
      <c r="K17" s="26">
        <f>(65535*15)/50</f>
        <v>19660.5</v>
      </c>
      <c r="L17" s="28">
        <v>113.2</v>
      </c>
    </row>
    <row r="18" spans="1:12" ht="16.5">
      <c r="A18" s="7"/>
      <c r="B18" s="7"/>
      <c r="C18" s="7"/>
      <c r="D18" s="7"/>
      <c r="E18" s="8"/>
      <c r="F18" s="8"/>
      <c r="G18" s="8"/>
      <c r="H18" s="8"/>
      <c r="I18" s="8"/>
      <c r="J18" s="11">
        <f>I3*(K18/65535)</f>
        <v>149.44</v>
      </c>
      <c r="K18" s="26">
        <f>(65535*16)/50</f>
        <v>20971.2</v>
      </c>
      <c r="L18" s="28">
        <v>118.8</v>
      </c>
    </row>
    <row r="19" spans="1:12" ht="16.5">
      <c r="A19" s="8"/>
      <c r="B19" s="8"/>
      <c r="C19" s="8"/>
      <c r="D19" s="8"/>
      <c r="E19" s="8"/>
      <c r="F19" s="8"/>
      <c r="G19" s="8"/>
      <c r="H19" s="8"/>
      <c r="I19" s="8"/>
      <c r="J19" s="11">
        <f>I3*(K19/65535)</f>
        <v>158.78</v>
      </c>
      <c r="K19" s="26">
        <f>(65535*17)/50</f>
        <v>22281.9</v>
      </c>
      <c r="L19" s="28">
        <v>124</v>
      </c>
    </row>
    <row r="20" spans="1:12" ht="16.5">
      <c r="A20" s="8"/>
      <c r="B20" s="8"/>
      <c r="C20" s="8"/>
      <c r="D20" s="15"/>
      <c r="E20" s="8"/>
      <c r="F20" s="8"/>
      <c r="G20" s="8"/>
      <c r="H20" s="8"/>
      <c r="I20" s="8"/>
      <c r="J20" s="11">
        <f>I3*(K20/65535)</f>
        <v>168.12</v>
      </c>
      <c r="K20" s="26">
        <f>(65535*18)/50</f>
        <v>23592.6</v>
      </c>
      <c r="L20" s="28">
        <v>129.30000000000001</v>
      </c>
    </row>
    <row r="21" spans="1:12" ht="16.5">
      <c r="A21" s="8"/>
      <c r="B21" s="8"/>
      <c r="C21" s="8"/>
      <c r="D21" s="15"/>
      <c r="E21" s="8"/>
      <c r="F21" s="8"/>
      <c r="G21" s="8"/>
      <c r="H21" s="8"/>
      <c r="I21" s="8"/>
      <c r="J21" s="11">
        <f>I3*(K21/65535)</f>
        <v>177.46</v>
      </c>
      <c r="K21" s="26">
        <f>(65535*19)/50</f>
        <v>24903.3</v>
      </c>
      <c r="L21" s="28">
        <v>134.9</v>
      </c>
    </row>
    <row r="22" spans="1:12" ht="16.5">
      <c r="A22" s="8"/>
      <c r="B22" s="8"/>
      <c r="C22" s="8"/>
      <c r="D22" s="15"/>
      <c r="E22" s="8"/>
      <c r="F22" s="8"/>
      <c r="G22" s="8"/>
      <c r="H22" s="8"/>
      <c r="I22" s="8"/>
      <c r="J22" s="11">
        <f>I3*(K22/65535)</f>
        <v>186.8</v>
      </c>
      <c r="K22" s="26">
        <f>(65535*20)/50</f>
        <v>26214</v>
      </c>
      <c r="L22" s="28">
        <v>140.6</v>
      </c>
    </row>
    <row r="23" spans="1:12" ht="16.5">
      <c r="A23" s="8"/>
      <c r="B23" s="8"/>
      <c r="C23" s="8"/>
      <c r="D23" s="15"/>
      <c r="E23" s="8"/>
      <c r="F23" s="8"/>
      <c r="G23" s="8"/>
      <c r="H23" s="8"/>
      <c r="I23" s="8"/>
      <c r="J23" s="11">
        <f>I3*(K23/65535)</f>
        <v>196.14</v>
      </c>
      <c r="K23" s="26">
        <f>(65535*21)/50</f>
        <v>27524.7</v>
      </c>
      <c r="L23" s="28">
        <v>146</v>
      </c>
    </row>
    <row r="24" spans="1:12" ht="16.5">
      <c r="A24" s="8"/>
      <c r="B24" s="8"/>
      <c r="C24" s="8"/>
      <c r="D24" s="15"/>
      <c r="E24" s="8"/>
      <c r="F24" s="8"/>
      <c r="G24" s="8"/>
      <c r="H24" s="8"/>
      <c r="I24" s="8"/>
      <c r="J24" s="11">
        <f>I3*(K24/65535)</f>
        <v>205.48</v>
      </c>
      <c r="K24" s="26">
        <f>(65535*22)/50</f>
        <v>28835.4</v>
      </c>
      <c r="L24" s="28">
        <v>151</v>
      </c>
    </row>
    <row r="25" spans="1:12" ht="16.5">
      <c r="A25" s="8"/>
      <c r="B25" s="8"/>
      <c r="C25" s="8"/>
      <c r="D25" s="15"/>
      <c r="E25" s="8"/>
      <c r="F25" s="8"/>
      <c r="G25" s="8"/>
      <c r="H25" s="8"/>
      <c r="I25" s="8"/>
      <c r="J25" s="11">
        <f>I3*(K25/65535)</f>
        <v>214.82</v>
      </c>
      <c r="K25" s="26">
        <f>(65535*23)/50</f>
        <v>30146.1</v>
      </c>
      <c r="L25" s="28">
        <v>156.4</v>
      </c>
    </row>
    <row r="26" spans="1:12" ht="16.5">
      <c r="A26" s="8"/>
      <c r="B26" s="8"/>
      <c r="C26" s="8"/>
      <c r="D26" s="15"/>
      <c r="E26" s="8"/>
      <c r="F26" s="8"/>
      <c r="G26" s="8"/>
      <c r="H26" s="8"/>
      <c r="I26" s="8"/>
      <c r="J26" s="11">
        <f>I3*(K26/65535)</f>
        <v>224.16</v>
      </c>
      <c r="K26" s="26">
        <f>(65535*24)/50</f>
        <v>31456.799999999999</v>
      </c>
      <c r="L26" s="28">
        <v>161</v>
      </c>
    </row>
    <row r="27" spans="1:12" ht="16.5">
      <c r="A27" s="8"/>
      <c r="B27" s="8"/>
      <c r="C27" s="8"/>
      <c r="D27" s="15"/>
      <c r="E27" s="8"/>
      <c r="F27" s="8"/>
      <c r="G27" s="8"/>
      <c r="H27" s="8"/>
      <c r="I27" s="8"/>
      <c r="J27" s="11">
        <f>I3*(K27/65535)</f>
        <v>233.5</v>
      </c>
      <c r="K27" s="26">
        <f>(65535*25)/50</f>
        <v>32767.5</v>
      </c>
      <c r="L27" s="28">
        <v>166.5</v>
      </c>
    </row>
    <row r="28" spans="1:12" ht="16.5">
      <c r="A28" s="8"/>
      <c r="B28" s="8"/>
      <c r="C28" s="8"/>
      <c r="D28" s="15"/>
      <c r="E28" s="8"/>
      <c r="F28" s="8"/>
      <c r="G28" s="8"/>
      <c r="H28" s="8"/>
      <c r="I28" s="8"/>
      <c r="J28" s="11">
        <f>I3*(K28/65535)</f>
        <v>242.83999999999995</v>
      </c>
      <c r="K28" s="26">
        <f>(65535*26)/50</f>
        <v>34078.199999999997</v>
      </c>
      <c r="L28" s="28">
        <v>171</v>
      </c>
    </row>
    <row r="29" spans="1:12" ht="16.5">
      <c r="A29" s="8"/>
      <c r="B29" s="8"/>
      <c r="C29" s="8"/>
      <c r="D29" s="15"/>
      <c r="E29" s="8"/>
      <c r="F29" s="8"/>
      <c r="G29" s="8"/>
      <c r="H29" s="8"/>
      <c r="I29" s="8"/>
      <c r="J29" s="11">
        <f>I3*(K29/65535)</f>
        <v>252.18</v>
      </c>
      <c r="K29" s="26">
        <f>(65535*27)/50</f>
        <v>35388.9</v>
      </c>
      <c r="L29" s="28">
        <v>176.9</v>
      </c>
    </row>
    <row r="30" spans="1:12" ht="16.5">
      <c r="A30" s="8"/>
      <c r="B30" s="8"/>
      <c r="C30" s="8"/>
      <c r="D30" s="15"/>
      <c r="E30" s="8"/>
      <c r="F30" s="8"/>
      <c r="G30" s="8"/>
      <c r="H30" s="8"/>
      <c r="I30" s="8"/>
      <c r="J30" s="11">
        <f>I3*(K30/65535)</f>
        <v>261.52</v>
      </c>
      <c r="K30" s="26">
        <f>(65535*28)/50</f>
        <v>36699.599999999999</v>
      </c>
      <c r="L30" s="28">
        <v>182.5</v>
      </c>
    </row>
    <row r="31" spans="1:12" ht="16.5">
      <c r="A31" s="8"/>
      <c r="B31" s="8"/>
      <c r="C31" s="8"/>
      <c r="D31" s="15"/>
      <c r="E31" s="8"/>
      <c r="F31" s="8"/>
      <c r="G31" s="8"/>
      <c r="H31" s="8"/>
      <c r="I31" s="8"/>
      <c r="J31" s="11">
        <f>I3*(K31/65535)</f>
        <v>270.86</v>
      </c>
      <c r="K31" s="26">
        <f>(65535*29)/50</f>
        <v>38010.300000000003</v>
      </c>
      <c r="L31" s="28">
        <v>188.1</v>
      </c>
    </row>
    <row r="32" spans="1:12" ht="16.5">
      <c r="A32" s="8"/>
      <c r="B32" s="8"/>
      <c r="C32" s="8"/>
      <c r="D32" s="15"/>
      <c r="E32" s="8"/>
      <c r="F32" s="8"/>
      <c r="G32" s="8"/>
      <c r="H32" s="8"/>
      <c r="I32" s="8"/>
      <c r="J32" s="11">
        <f>I3*(K32/65535)</f>
        <v>280.2</v>
      </c>
      <c r="K32" s="26">
        <f>(65535*30)/50</f>
        <v>39321</v>
      </c>
      <c r="L32" s="28">
        <v>193.9</v>
      </c>
    </row>
    <row r="33" spans="1:12" ht="16.5">
      <c r="A33" s="8"/>
      <c r="B33" s="8"/>
      <c r="C33" s="8"/>
      <c r="D33" s="15"/>
      <c r="E33" s="8"/>
      <c r="F33" s="8"/>
      <c r="G33" s="8"/>
      <c r="H33" s="8"/>
      <c r="I33" s="8"/>
      <c r="J33" s="11">
        <f>I3*(K33/65535)</f>
        <v>289.54000000000002</v>
      </c>
      <c r="K33" s="26">
        <f>(65535*31)/50</f>
        <v>40631.699999999997</v>
      </c>
      <c r="L33" s="28">
        <v>199.8</v>
      </c>
    </row>
    <row r="34" spans="1:12" ht="16.5">
      <c r="A34" s="8"/>
      <c r="B34" s="8"/>
      <c r="C34" s="8"/>
      <c r="D34" s="15"/>
      <c r="E34" s="8"/>
      <c r="F34" s="8"/>
      <c r="G34" s="8"/>
      <c r="H34" s="8"/>
      <c r="I34" s="8"/>
      <c r="J34" s="11">
        <f>I3*(K34/65535)</f>
        <v>298.88</v>
      </c>
      <c r="K34" s="26">
        <f>(65535*32)/50</f>
        <v>41942.400000000001</v>
      </c>
      <c r="L34" s="28">
        <v>205</v>
      </c>
    </row>
    <row r="35" spans="1:12" ht="16.5">
      <c r="A35" s="8"/>
      <c r="B35" s="8"/>
      <c r="C35" s="8"/>
      <c r="D35" s="15"/>
      <c r="E35" s="8"/>
      <c r="F35" s="8"/>
      <c r="G35" s="8"/>
      <c r="H35" s="8"/>
      <c r="I35" s="8"/>
      <c r="J35" s="11">
        <f>I3*(K35/65535)</f>
        <v>308.22000000000003</v>
      </c>
      <c r="K35" s="26">
        <f>(65535*33)/50</f>
        <v>43253.1</v>
      </c>
      <c r="L35" s="28">
        <v>210.6</v>
      </c>
    </row>
    <row r="36" spans="1:12" ht="16.5">
      <c r="A36" s="8"/>
      <c r="B36" s="8"/>
      <c r="C36" s="8"/>
      <c r="D36" s="15"/>
      <c r="E36" s="8"/>
      <c r="F36" s="8"/>
      <c r="G36" s="8"/>
      <c r="H36" s="8"/>
      <c r="I36" s="8"/>
      <c r="J36" s="11">
        <f>I3*(K36/65535)</f>
        <v>317.56</v>
      </c>
      <c r="K36" s="26">
        <f>(65535*34)/50</f>
        <v>44563.8</v>
      </c>
      <c r="L36" s="28">
        <v>216.2</v>
      </c>
    </row>
    <row r="37" spans="1:12" ht="16.5">
      <c r="A37" s="8"/>
      <c r="B37" s="8"/>
      <c r="C37" s="8"/>
      <c r="D37" s="15"/>
      <c r="E37" s="8"/>
      <c r="F37" s="8"/>
      <c r="G37" s="8"/>
      <c r="H37" s="8"/>
      <c r="I37" s="8"/>
      <c r="J37" s="11">
        <f>I3*(K37/65535)</f>
        <v>326.89999999999998</v>
      </c>
      <c r="K37" s="26">
        <f>(65535*35)/50</f>
        <v>45874.5</v>
      </c>
      <c r="L37" s="28">
        <v>222</v>
      </c>
    </row>
    <row r="38" spans="1:12" ht="16.5">
      <c r="A38" s="33" t="s">
        <v>6</v>
      </c>
      <c r="B38" s="33"/>
      <c r="C38" s="33"/>
      <c r="D38" s="33"/>
      <c r="E38" s="8"/>
      <c r="F38" s="8"/>
      <c r="G38" s="8"/>
      <c r="H38" s="8"/>
      <c r="I38" s="8"/>
      <c r="J38" s="11">
        <f>I3*(K38/65535)</f>
        <v>336.24</v>
      </c>
      <c r="K38" s="26">
        <f>(65535*36)/50</f>
        <v>47185.2</v>
      </c>
      <c r="L38" s="28">
        <v>227.9</v>
      </c>
    </row>
    <row r="39" spans="1:12" ht="16.5">
      <c r="A39" s="34" t="s">
        <v>29</v>
      </c>
      <c r="B39" s="34"/>
      <c r="C39" s="34"/>
      <c r="D39" s="34"/>
      <c r="E39" s="8"/>
      <c r="F39" s="8"/>
      <c r="G39" s="8"/>
      <c r="H39" s="8"/>
      <c r="I39" s="8"/>
      <c r="J39" s="11">
        <f>I3*(K39/65535)</f>
        <v>345.58</v>
      </c>
      <c r="K39" s="26">
        <f>(65535*37)/50</f>
        <v>48495.9</v>
      </c>
      <c r="L39" s="28">
        <v>233.5</v>
      </c>
    </row>
    <row r="40" spans="1:12" ht="16.5">
      <c r="A40" s="35" t="s">
        <v>23</v>
      </c>
      <c r="B40" s="35"/>
      <c r="C40" s="35"/>
      <c r="D40" s="35"/>
      <c r="E40" s="8"/>
      <c r="F40" s="8"/>
      <c r="G40" s="8"/>
      <c r="H40" s="8"/>
      <c r="I40" s="8"/>
      <c r="J40" s="11">
        <f>I3*(K40/65535)</f>
        <v>354.92</v>
      </c>
      <c r="K40" s="26">
        <f>(65535*38)/50</f>
        <v>49806.6</v>
      </c>
      <c r="L40" s="28">
        <v>239.1</v>
      </c>
    </row>
    <row r="41" spans="1:12" ht="16.5">
      <c r="A41" s="36" t="s">
        <v>7</v>
      </c>
      <c r="B41" s="36"/>
      <c r="C41" s="36"/>
      <c r="D41" s="36"/>
      <c r="E41" s="8"/>
      <c r="F41" s="8"/>
      <c r="G41" s="8"/>
      <c r="H41" s="8"/>
      <c r="I41" s="8"/>
      <c r="J41" s="11">
        <f>I3*(K41/65535)</f>
        <v>364.26</v>
      </c>
      <c r="K41" s="26">
        <f>(65535*39)/50</f>
        <v>51117.3</v>
      </c>
      <c r="L41" s="28">
        <v>244.6</v>
      </c>
    </row>
    <row r="42" spans="1:12" ht="16.5">
      <c r="A42" s="8"/>
      <c r="B42" s="8"/>
      <c r="C42" s="8"/>
      <c r="D42" s="15"/>
      <c r="E42" s="8"/>
      <c r="F42" s="8"/>
      <c r="G42" s="8"/>
      <c r="H42" s="8"/>
      <c r="I42" s="8"/>
      <c r="J42" s="11">
        <f>I3*(K42/65535)</f>
        <v>373.6</v>
      </c>
      <c r="K42" s="26">
        <f>(65535*40)/50</f>
        <v>52428</v>
      </c>
      <c r="L42" s="28">
        <v>250.1</v>
      </c>
    </row>
    <row r="43" spans="1:12" ht="16.5">
      <c r="A43" s="38" t="s">
        <v>12</v>
      </c>
      <c r="B43" s="38"/>
      <c r="C43" s="38"/>
      <c r="D43" s="15"/>
      <c r="E43" s="8"/>
      <c r="F43" s="8"/>
      <c r="G43" s="8"/>
      <c r="H43" s="8"/>
      <c r="I43" s="8"/>
      <c r="J43" s="11">
        <f>I3*(K43/65535)</f>
        <v>382.94</v>
      </c>
      <c r="K43" s="26">
        <f>(65535*41)/50</f>
        <v>53738.7</v>
      </c>
      <c r="L43" s="28">
        <v>255.8</v>
      </c>
    </row>
    <row r="44" spans="1:12" ht="16.5">
      <c r="A44" s="16" t="s">
        <v>13</v>
      </c>
      <c r="B44" s="16"/>
      <c r="C44" s="16"/>
      <c r="D44" s="16"/>
      <c r="E44" s="16"/>
      <c r="F44" s="16"/>
      <c r="G44" s="16"/>
      <c r="H44" s="16"/>
      <c r="I44" s="8"/>
      <c r="J44" s="11">
        <f>I3*(K44/65535)</f>
        <v>392.28</v>
      </c>
      <c r="K44" s="26">
        <f>(65535*42)/50</f>
        <v>55049.4</v>
      </c>
      <c r="L44" s="28">
        <v>261.3</v>
      </c>
    </row>
    <row r="45" spans="1:12" ht="16.5">
      <c r="A45" s="37" t="s">
        <v>14</v>
      </c>
      <c r="B45" s="37"/>
      <c r="C45" s="37"/>
      <c r="D45" s="37"/>
      <c r="E45" s="37"/>
      <c r="F45" s="37"/>
      <c r="G45" s="37"/>
      <c r="H45" s="37"/>
      <c r="I45" s="8"/>
      <c r="J45" s="11">
        <f>I3*(K45/65535)</f>
        <v>401.62</v>
      </c>
      <c r="K45" s="26">
        <f>(65535*43)/50</f>
        <v>56360.1</v>
      </c>
      <c r="L45" s="28">
        <v>267</v>
      </c>
    </row>
    <row r="46" spans="1:12" ht="16.5">
      <c r="A46" s="37"/>
      <c r="B46" s="37"/>
      <c r="C46" s="37"/>
      <c r="D46" s="37"/>
      <c r="E46" s="37"/>
      <c r="F46" s="37"/>
      <c r="G46" s="37"/>
      <c r="H46" s="37"/>
      <c r="I46" s="8"/>
      <c r="J46" s="11">
        <f>I3*(K46/65535)</f>
        <v>410.96</v>
      </c>
      <c r="K46" s="26">
        <f>(65535*44)/50</f>
        <v>57670.8</v>
      </c>
      <c r="L46" s="28">
        <v>272</v>
      </c>
    </row>
    <row r="47" spans="1:12" ht="16.5">
      <c r="A47" s="38" t="s">
        <v>15</v>
      </c>
      <c r="B47" s="38"/>
      <c r="C47" s="38"/>
      <c r="D47" s="38"/>
      <c r="E47" s="16"/>
      <c r="F47" s="16"/>
      <c r="G47" s="16"/>
      <c r="H47" s="16"/>
      <c r="I47" s="8"/>
      <c r="J47" s="11">
        <f>I3*(K47/65535)</f>
        <v>420.3</v>
      </c>
      <c r="K47" s="26">
        <f>(65535*45)/50</f>
        <v>58981.5</v>
      </c>
      <c r="L47" s="28">
        <v>278.2</v>
      </c>
    </row>
    <row r="48" spans="1:12" ht="16.5">
      <c r="A48" s="16" t="s">
        <v>8</v>
      </c>
      <c r="B48" s="16"/>
      <c r="C48" s="16"/>
      <c r="D48" s="16"/>
      <c r="E48" s="16"/>
      <c r="F48" s="16"/>
      <c r="G48" s="16"/>
      <c r="H48" s="16"/>
      <c r="I48" s="8"/>
      <c r="J48" s="11">
        <f>I3*(K48/65535)</f>
        <v>429.64</v>
      </c>
      <c r="K48" s="26">
        <f>(65535*46)/50</f>
        <v>60292.2</v>
      </c>
      <c r="L48" s="28">
        <v>284</v>
      </c>
    </row>
    <row r="49" spans="1:12" ht="16.5">
      <c r="A49" s="16" t="s">
        <v>9</v>
      </c>
      <c r="B49" s="16"/>
      <c r="C49" s="16"/>
      <c r="D49" s="16"/>
      <c r="E49" s="16"/>
      <c r="F49" s="16"/>
      <c r="G49" s="16"/>
      <c r="H49" s="16"/>
      <c r="I49" s="8"/>
      <c r="J49" s="11">
        <f>I3*(K49/65535)</f>
        <v>438.98</v>
      </c>
      <c r="K49" s="26">
        <f>(65535*47)/50</f>
        <v>61602.9</v>
      </c>
      <c r="L49" s="28">
        <v>290</v>
      </c>
    </row>
    <row r="50" spans="1:12" ht="16.5">
      <c r="A50" s="16" t="s">
        <v>10</v>
      </c>
      <c r="B50" s="16"/>
      <c r="C50" s="16"/>
      <c r="D50" s="16"/>
      <c r="E50" s="16"/>
      <c r="F50" s="16"/>
      <c r="G50" s="16"/>
      <c r="H50" s="16"/>
      <c r="I50" s="8"/>
      <c r="J50" s="11">
        <f>I3*(K50/65535)</f>
        <v>448.32</v>
      </c>
      <c r="K50" s="26">
        <f>(65535*48)/50</f>
        <v>62913.599999999999</v>
      </c>
      <c r="L50" s="28">
        <v>296.3</v>
      </c>
    </row>
    <row r="51" spans="1:12" ht="16.5">
      <c r="A51" s="16" t="s">
        <v>11</v>
      </c>
      <c r="B51" s="16"/>
      <c r="C51" s="16"/>
      <c r="D51" s="16"/>
      <c r="E51" s="8"/>
      <c r="F51" s="8"/>
      <c r="G51" s="8"/>
      <c r="H51" s="8"/>
      <c r="I51" s="8"/>
      <c r="J51" s="11">
        <f>I3*(K51/65535)</f>
        <v>457.66</v>
      </c>
      <c r="K51" s="26">
        <f>(65535*49)/50</f>
        <v>64224.3</v>
      </c>
      <c r="L51" s="28">
        <v>302</v>
      </c>
    </row>
    <row r="52" spans="1:12" ht="16.5">
      <c r="A52" s="16" t="s">
        <v>24</v>
      </c>
      <c r="B52" s="8"/>
      <c r="C52" s="8"/>
      <c r="D52" s="8"/>
      <c r="E52" s="8"/>
      <c r="F52" s="8"/>
      <c r="G52" s="8"/>
      <c r="H52" s="8"/>
      <c r="I52" s="8"/>
      <c r="J52" s="11">
        <f>I3*(K52/65535)</f>
        <v>467</v>
      </c>
      <c r="K52" s="26">
        <f>(65535*50)/50</f>
        <v>65535</v>
      </c>
      <c r="L52" s="28">
        <v>308</v>
      </c>
    </row>
    <row r="53" spans="1:12" ht="16.5">
      <c r="A53" s="8"/>
      <c r="B53" s="8"/>
      <c r="C53" s="8"/>
      <c r="D53" s="8"/>
      <c r="E53" s="8"/>
      <c r="F53" s="8"/>
      <c r="G53" s="8"/>
      <c r="H53" s="8"/>
      <c r="I53" s="8"/>
      <c r="J53" s="17"/>
      <c r="K53" s="17"/>
      <c r="L53" s="18"/>
    </row>
    <row r="54" spans="1:12" s="4" customFormat="1" ht="21">
      <c r="A54" s="19"/>
      <c r="B54" s="19"/>
      <c r="C54" s="19"/>
      <c r="D54" s="20"/>
      <c r="E54" s="19"/>
      <c r="F54" s="21"/>
      <c r="G54" s="31" t="s">
        <v>25</v>
      </c>
      <c r="H54" s="31"/>
      <c r="I54" s="19"/>
      <c r="J54" s="22" t="s">
        <v>26</v>
      </c>
      <c r="K54" s="23" t="s">
        <v>27</v>
      </c>
      <c r="L54" s="23" t="s">
        <v>27</v>
      </c>
    </row>
    <row r="55" spans="1:12" s="4" customFormat="1" ht="18">
      <c r="A55" s="19"/>
      <c r="B55" s="19"/>
      <c r="C55" s="19"/>
      <c r="D55" s="20"/>
      <c r="E55" s="19"/>
      <c r="F55" s="19"/>
      <c r="G55" s="24"/>
      <c r="H55" s="24"/>
      <c r="I55" s="19"/>
      <c r="J55" s="22"/>
      <c r="K55" s="22"/>
      <c r="L55" s="25"/>
    </row>
    <row r="56" spans="1:12" ht="18.75">
      <c r="G56" s="30"/>
      <c r="H56" s="30"/>
    </row>
    <row r="57" spans="1:12">
      <c r="I57" s="6"/>
    </row>
    <row r="58" spans="1:12">
      <c r="I58" s="6"/>
      <c r="K58" s="5"/>
    </row>
    <row r="59" spans="1:12">
      <c r="J59" s="6"/>
    </row>
    <row r="60" spans="1:12">
      <c r="I60" s="6"/>
      <c r="J60" s="6"/>
      <c r="K60" s="5"/>
    </row>
    <row r="61" spans="1:12">
      <c r="I61" s="6"/>
    </row>
    <row r="62" spans="1:12">
      <c r="I62" s="6"/>
      <c r="J62" s="6"/>
      <c r="K62" s="5"/>
    </row>
    <row r="63" spans="1:12">
      <c r="I63" s="6"/>
      <c r="J63" s="6"/>
      <c r="K63" s="5"/>
    </row>
    <row r="64" spans="1:12">
      <c r="D64" s="3"/>
    </row>
    <row r="65" spans="4:4">
      <c r="D65" s="3"/>
    </row>
  </sheetData>
  <protectedRanges>
    <protectedRange sqref="A3:D7" name="区域1_1"/>
  </protectedRanges>
  <mergeCells count="10">
    <mergeCell ref="G56:H56"/>
    <mergeCell ref="G54:H54"/>
    <mergeCell ref="A1:L1"/>
    <mergeCell ref="A38:D38"/>
    <mergeCell ref="A39:D39"/>
    <mergeCell ref="A40:D40"/>
    <mergeCell ref="A41:D41"/>
    <mergeCell ref="A45:H46"/>
    <mergeCell ref="A43:C43"/>
    <mergeCell ref="A47:D47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ppzhu</dc:creator>
  <cp:lastModifiedBy>PCOS.CN</cp:lastModifiedBy>
  <dcterms:created xsi:type="dcterms:W3CDTF">2014-07-28T03:17:00Z</dcterms:created>
  <dcterms:modified xsi:type="dcterms:W3CDTF">2017-12-14T09:38:35Z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2052-9.1.0.4833</vt:lpwstr>
  </property>
</Properties>
</file>