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3B990037-CA82-41F1-8E76-05AE71E5F8D7}" xr6:coauthVersionLast="47" xr6:coauthVersionMax="47" xr10:uidLastSave="{00000000-0000-0000-0000-000000000000}"/>
  <bookViews>
    <workbookView xWindow="-120" yWindow="-120" windowWidth="29040" windowHeight="15840" tabRatio="769" activeTab="3"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779" i="29"/>
  <c r="J778" i="29"/>
  <c r="J777" i="29"/>
  <c r="J776" i="29"/>
  <c r="J775" i="29"/>
  <c r="J774" i="29"/>
  <c r="J773" i="29"/>
  <c r="J772" i="29"/>
  <c r="J771" i="29"/>
  <c r="J770" i="29"/>
  <c r="J769" i="29"/>
  <c r="J768" i="29"/>
  <c r="J767" i="29"/>
  <c r="J766" i="29"/>
  <c r="J765" i="29"/>
  <c r="J738" i="29"/>
  <c r="J737" i="29"/>
  <c r="J736" i="29"/>
  <c r="J735" i="29"/>
  <c r="J734" i="29"/>
  <c r="J733" i="29"/>
  <c r="J732" i="29"/>
  <c r="J731" i="29"/>
  <c r="J730" i="29"/>
  <c r="J729" i="29"/>
  <c r="J728" i="29"/>
  <c r="J727" i="29"/>
  <c r="J726" i="29"/>
  <c r="J725" i="29"/>
  <c r="J724"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574" i="29"/>
  <c r="J573" i="29"/>
  <c r="J572" i="29"/>
  <c r="J571" i="29"/>
  <c r="J570"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51" i="29"/>
  <c r="J450" i="29"/>
  <c r="J449" i="29"/>
  <c r="J448" i="29"/>
  <c r="J447" i="29"/>
  <c r="J446" i="29"/>
  <c r="J445" i="29"/>
  <c r="J444" i="29"/>
  <c r="J443" i="29"/>
  <c r="J442" i="29"/>
  <c r="J441" i="29"/>
  <c r="J440" i="29"/>
  <c r="J439" i="29"/>
  <c r="J438" i="29"/>
  <c r="J437"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29" i="29" l="1"/>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I135" i="29" s="1"/>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W1588" i="29" s="1"/>
  <c r="AA1591" i="29" s="1"/>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Y568" i="29"/>
  <c r="Y567" i="29"/>
  <c r="W567" i="29" s="1"/>
  <c r="Y566" i="29"/>
  <c r="W566" i="29" s="1"/>
  <c r="Y565" i="29"/>
  <c r="Y564" i="29"/>
  <c r="W564" i="29" s="1"/>
  <c r="Y563" i="29"/>
  <c r="W563" i="29" s="1"/>
  <c r="Y562" i="29"/>
  <c r="W562" i="29" s="1"/>
  <c r="Y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I561" i="29" s="1"/>
  <c r="H561" i="29" s="1"/>
  <c r="I562" i="29" s="1"/>
  <c r="H562" i="29" s="1"/>
  <c r="I563" i="29" s="1"/>
  <c r="H563" i="29" s="1"/>
  <c r="I564" i="29" s="1"/>
  <c r="H564" i="29" s="1"/>
  <c r="I565" i="29" s="1"/>
  <c r="H565" i="29" s="1"/>
  <c r="I566" i="29" s="1"/>
  <c r="H566" i="29" s="1"/>
  <c r="I567" i="29" s="1"/>
  <c r="H567" i="29" s="1"/>
  <c r="I568" i="29" s="1"/>
  <c r="H568" i="29" s="1"/>
  <c r="I569" i="29" s="1"/>
  <c r="H569"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217" i="29" l="1"/>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AA810" i="29"/>
  <c r="Z1962" i="29"/>
  <c r="Z858" i="29"/>
  <c r="Z1593" i="29"/>
  <c r="AA1143" i="29"/>
  <c r="Z1763" i="29"/>
  <c r="I463" i="29"/>
  <c r="M464" i="29"/>
  <c r="AK471" i="29"/>
  <c r="I500" i="29"/>
  <c r="AA1188" i="29"/>
  <c r="AA1270" i="29"/>
  <c r="L1484" i="29"/>
  <c r="AA1801" i="29"/>
  <c r="AA1925" i="29"/>
  <c r="Z1999" i="29"/>
  <c r="I172" i="29"/>
  <c r="AA1761" i="29"/>
  <c r="I459" i="29"/>
  <c r="I623" i="29"/>
  <c r="Z735" i="29"/>
  <c r="Z940" i="29"/>
  <c r="Z982" i="29"/>
  <c r="AA1271" i="29"/>
  <c r="AA1312" i="29"/>
  <c r="AA1517" i="29"/>
  <c r="AA609" i="29"/>
  <c r="AA1148" i="29"/>
  <c r="AA1554" i="29"/>
  <c r="Z1963" i="29"/>
  <c r="AA897" i="29"/>
  <c r="Z899" i="29"/>
  <c r="AA1551" i="29"/>
  <c r="Z1588" i="29"/>
  <c r="AA1963" i="29"/>
  <c r="AA894" i="29"/>
  <c r="Z1597" i="29"/>
  <c r="AA1639" i="29"/>
  <c r="AB1908" i="29"/>
  <c r="AA1909" i="29" s="1"/>
  <c r="AA697" i="29"/>
  <c r="AB514" i="29"/>
  <c r="AA515" i="29" s="1"/>
  <c r="AA1389" i="29"/>
  <c r="S174" i="29"/>
  <c r="M137" i="29" a="1"/>
  <c r="M137" i="29" s="1"/>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AA446" i="29"/>
  <c r="Z360" i="29"/>
  <c r="AA163" i="29"/>
  <c r="AA78" i="29"/>
  <c r="Z400"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49" i="29" l="1"/>
  <c r="AA1829" i="29"/>
  <c r="AB802" i="29"/>
  <c r="AB803" i="29" s="1"/>
  <c r="AA1828" i="29"/>
  <c r="L336" i="29"/>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V5" i="34" l="1"/>
  <c r="CV3" i="34"/>
  <c r="CU3" i="34" s="1"/>
  <c r="L788" i="29" s="1"/>
  <c r="GG2" i="34"/>
  <c r="L1526" i="29"/>
  <c r="HK2" i="34"/>
  <c r="L1772" i="29"/>
  <c r="HP2" i="34"/>
  <c r="L1813" i="29"/>
  <c r="GB2" i="34"/>
  <c r="L1485" i="29"/>
  <c r="HF2" i="34"/>
  <c r="L1731" i="29"/>
  <c r="IJ2" i="34"/>
  <c r="L1977" i="29"/>
  <c r="GL2" i="34"/>
  <c r="L1567" i="29"/>
  <c r="HA2" i="34"/>
  <c r="L1690" i="29"/>
  <c r="IE2" i="34"/>
  <c r="L1936" i="29"/>
  <c r="GV2" i="34"/>
  <c r="L1649" i="29"/>
  <c r="HZ2" i="34"/>
  <c r="L1895" i="29"/>
  <c r="CL3" i="34"/>
  <c r="GQ2" i="34"/>
  <c r="L1608" i="29"/>
  <c r="HU2" i="34"/>
  <c r="L1854" i="29"/>
  <c r="CB3" i="34"/>
  <c r="CL5" i="34"/>
  <c r="CQ5" i="34"/>
  <c r="CQ3" i="34"/>
  <c r="CP3" i="34" s="1"/>
  <c r="CP2" i="34" s="1"/>
  <c r="BW3" i="34"/>
  <c r="BV3" i="34" s="1"/>
  <c r="BV2" i="34" s="1"/>
  <c r="CG5" i="34"/>
  <c r="BM3" i="34"/>
  <c r="BH5" i="34"/>
  <c r="BH3" i="34"/>
  <c r="AX3" i="34"/>
  <c r="AS3" i="34"/>
  <c r="BR5" i="34"/>
  <c r="BR3" i="34"/>
  <c r="BQ3" i="34" s="1"/>
  <c r="L542" i="29" s="1"/>
  <c r="FC3" i="34"/>
  <c r="FC2" i="34" s="1"/>
  <c r="EN3" i="34"/>
  <c r="L1157" i="29" s="1"/>
  <c r="DY3" i="34"/>
  <c r="L1034" i="29" s="1"/>
  <c r="DT3" i="34"/>
  <c r="DT2" i="34" s="1"/>
  <c r="DE3" i="34"/>
  <c r="L870" i="29" s="1"/>
  <c r="CZ3" i="34"/>
  <c r="CZ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CK3" i="34" l="1"/>
  <c r="CK2" i="34" s="1"/>
  <c r="BG3" i="34"/>
  <c r="BG2" i="34" s="1"/>
  <c r="IO2" i="34"/>
  <c r="L2018" i="29"/>
  <c r="CA3" i="34"/>
  <c r="CA2" i="34" s="1"/>
  <c r="BL3" i="34"/>
  <c r="L501" i="29" s="1"/>
  <c r="AW3" i="34"/>
  <c r="AW2" i="34" s="1"/>
  <c r="AR3" i="34"/>
  <c r="AR2" i="34" s="1"/>
  <c r="L1321" i="29"/>
  <c r="L1280" i="29"/>
  <c r="EN2" i="34"/>
  <c r="L1075" i="29"/>
  <c r="ED2" i="34"/>
  <c r="DY2" i="34"/>
  <c r="L993" i="29"/>
  <c r="DE2" i="34"/>
  <c r="L829" i="29"/>
  <c r="CU2" i="34"/>
  <c r="L747" i="29"/>
  <c r="L583" i="29"/>
  <c r="BQ2" i="34"/>
  <c r="N3" i="34"/>
  <c r="L91" i="29" s="1"/>
  <c r="L1403" i="29"/>
  <c r="FW2" i="34"/>
  <c r="L1444" i="29"/>
  <c r="L1239" i="29"/>
  <c r="ES2" i="34"/>
  <c r="L1116" i="29"/>
  <c r="L911" i="29"/>
  <c r="L665"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706" i="29" l="1"/>
  <c r="L337" i="29"/>
  <c r="BL2" i="34"/>
  <c r="L378" i="29"/>
  <c r="L460" i="29"/>
  <c r="L624"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Q461" i="29" s="1"/>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707" i="29" l="1"/>
  <c r="V707" i="29"/>
  <c r="V461" i="29"/>
  <c r="V133" i="29"/>
  <c r="Q133" i="29"/>
  <c r="V379" i="29"/>
  <c r="Q51" i="29"/>
  <c r="V584" i="29"/>
  <c r="Q420" i="29"/>
  <c r="V543" i="29"/>
  <c r="Q256" i="29"/>
  <c r="V502" i="29"/>
  <c r="Q215"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P789" i="29" s="1"/>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X458"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V254" i="29" s="1"/>
  <c r="AS255" i="29"/>
  <c r="AV255" i="29" s="1"/>
  <c r="AS253" i="29"/>
  <c r="AV253" i="29" s="1"/>
  <c r="AS581" i="29"/>
  <c r="AS583" i="29"/>
  <c r="AS582" i="29"/>
  <c r="AS132" i="29"/>
  <c r="AS131" i="29"/>
  <c r="AS130" i="29"/>
  <c r="AS295" i="29"/>
  <c r="AV295" i="29" s="1"/>
  <c r="AS296" i="29"/>
  <c r="AV296" i="29" s="1"/>
  <c r="AS294" i="29"/>
  <c r="AS460" i="29"/>
  <c r="AV460" i="29" s="1"/>
  <c r="AS458" i="29"/>
  <c r="AV458" i="29" s="1"/>
  <c r="AS459" i="29"/>
  <c r="AV459" i="29" s="1"/>
  <c r="AS624" i="29"/>
  <c r="AW624" i="29" s="1"/>
  <c r="AS622" i="29"/>
  <c r="AW622" i="29" s="1"/>
  <c r="AS623" i="29"/>
  <c r="AW623" i="29" s="1"/>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S337" i="29"/>
  <c r="AS336" i="29"/>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J805" i="29" s="1"/>
  <c r="BA803" i="29"/>
  <c r="J804" i="29" s="1"/>
  <c r="BA802" i="29"/>
  <c r="J803" i="29" s="1"/>
  <c r="BA801" i="29"/>
  <c r="J802" i="29" s="1"/>
  <c r="BA800" i="29"/>
  <c r="J801" i="29" s="1"/>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J764" i="29" s="1"/>
  <c r="BA762" i="29"/>
  <c r="J763" i="29" s="1"/>
  <c r="BA761" i="29"/>
  <c r="J762" i="29" s="1"/>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J723" i="29" s="1"/>
  <c r="BA721" i="29"/>
  <c r="J722" i="29" s="1"/>
  <c r="BA720" i="29"/>
  <c r="J721" i="29" s="1"/>
  <c r="BA719" i="29"/>
  <c r="J720" i="29" s="1"/>
  <c r="BA718" i="29"/>
  <c r="J719" i="29" s="1"/>
  <c r="BA717" i="29"/>
  <c r="J718" i="29" s="1"/>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J569" i="29" s="1"/>
  <c r="BA567" i="29"/>
  <c r="J568" i="29" s="1"/>
  <c r="BA566" i="29"/>
  <c r="J567" i="29" s="1"/>
  <c r="BA565" i="29"/>
  <c r="J566" i="29" s="1"/>
  <c r="BA564" i="29"/>
  <c r="J565" i="29" s="1"/>
  <c r="BA563" i="29"/>
  <c r="J564" i="29" s="1"/>
  <c r="BA562" i="29"/>
  <c r="J563" i="29" s="1"/>
  <c r="BA561" i="29"/>
  <c r="J562" i="29" s="1"/>
  <c r="BA560" i="29"/>
  <c r="J561" i="29" s="1"/>
  <c r="BA559" i="29"/>
  <c r="J560" i="29" s="1"/>
  <c r="BA558" i="29"/>
  <c r="J559" i="29" s="1"/>
  <c r="BA557" i="29"/>
  <c r="J558" i="29" s="1"/>
  <c r="BA556" i="29"/>
  <c r="J557" i="29" s="1"/>
  <c r="BA555" i="29"/>
  <c r="J556" i="29" s="1"/>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J469" i="29" s="1"/>
  <c r="BA450" i="29"/>
  <c r="BA449" i="29"/>
  <c r="BA448" i="29"/>
  <c r="BA446" i="29"/>
  <c r="BA445" i="29"/>
  <c r="BA444" i="29"/>
  <c r="BA443" i="29"/>
  <c r="BA442" i="29"/>
  <c r="BA441" i="29"/>
  <c r="BA440" i="29"/>
  <c r="BA439" i="29"/>
  <c r="BA438" i="29"/>
  <c r="BA437" i="29"/>
  <c r="BA436" i="29"/>
  <c r="BA435" i="29"/>
  <c r="J436" i="29" s="1"/>
  <c r="BA434" i="29"/>
  <c r="J435" i="29" s="1"/>
  <c r="BA433" i="29"/>
  <c r="J434" i="29" s="1"/>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J228" i="29" s="1"/>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132" i="29"/>
  <c r="AV132" i="29"/>
  <c r="AX582" i="29"/>
  <c r="AW582" i="29"/>
  <c r="AX583" i="29"/>
  <c r="AW583" i="29"/>
  <c r="AX581" i="29"/>
  <c r="AW581" i="29"/>
  <c r="AU459" i="29"/>
  <c r="AW459" i="29"/>
  <c r="AU458" i="29"/>
  <c r="AW458" i="29"/>
  <c r="AU460" i="29"/>
  <c r="AW460" i="29"/>
  <c r="AV542" i="29"/>
  <c r="AW542" i="29"/>
  <c r="AV541" i="29"/>
  <c r="AW54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J28" i="29" s="1"/>
  <c r="BA26" i="29"/>
  <c r="J27" i="29" s="1"/>
  <c r="BA25" i="29"/>
  <c r="J26" i="29" s="1"/>
  <c r="Z24" i="29"/>
  <c r="Z25" i="29" s="1"/>
  <c r="Z26" i="29" s="1"/>
  <c r="BA24" i="29"/>
  <c r="J25" i="29" s="1"/>
  <c r="BA23" i="29"/>
  <c r="J24" i="29" s="1"/>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<sst xmlns="http://schemas.openxmlformats.org/spreadsheetml/2006/main" count="8020" uniqueCount="836">
  <si>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</si>
  <si>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</si>
  <si>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</si>
  <si>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</si>
  <si>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</si>
  <si>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</si>
  <si>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</si>
  <si>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</si>
  <si>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</si>
  <si>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</si>
  <si>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</si>
  <si>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</si>
  <si>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</si>
  <si>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</si>
  <si>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</si>
  <si>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</si>
  <si>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</si>
  <si>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</si>
  <si>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</si>
  <si>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</si>
  <si>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</si>
  <si>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</si>
  <si>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</si>
  <si>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</si>
  <si>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</si>
  <si>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</si>
  <si>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</si>
  <si>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</si>
  <si>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</si>
  <si>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</si>
  <si>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</si>
  <si>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</si>
  <si>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</si>
  <si>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</si>
  <si>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</si>
  <si>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</si>
  <si>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</si>
  <si>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</si>
  <si>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</si>
  <si>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</si>
  <si>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</si>
  <si>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</si>
  <si>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</si>
  <si>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</si>
  <si>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</si>
  <si>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</si>
  <si>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</si>
  <si>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</si>
  <si>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</si>
  <si>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</si>
  <si>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</si>
  <si>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</si>
  <si>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</si>
  <si>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</si>
  <si>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</si>
  <si>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</si>
  <si>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</si>
  <si>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</si>
  <si>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</si>
  <si>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</si>
  <si>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</si>
  <si>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</si>
  <si>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</si>
  <si>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</si>
  <si>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</si>
  <si>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</si>
  <si>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</si>
  <si>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</si>
  <si>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</si>
  <si>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</si>
  <si>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</si>
  <si>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</si>
  <si>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</si>
  <si>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</si>
  <si>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</si>
  <si>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</si>
  <si>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</si>
  <si>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</si>
  <si>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</si>
  <si>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</si>
  <si>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</si>
  <si>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</si>
  <si>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</si>
  <si>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</si>
  <si>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</si>
  <si>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</si>
  <si>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</si>
  <si>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</si>
  <si>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</si>
  <si>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</si>
  <si>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</si>
  <si>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</si>
  <si>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</si>
  <si>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</si>
  <si>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</si>
  <si>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</si>
  <si>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</si>
  <si>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</si>
  <si>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</si>
  <si>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</si>
  <si>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</si>
  <si>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</si>
  <si>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</si>
  <si>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</si>
  <si>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</si>
  <si>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</si>
  <si>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</si>
  <si>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</si>
  <si>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</si>
  <si>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</si>
  <si>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</si>
  <si>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</si>
  <si>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</si>
  <si>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</si>
  <si>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</si>
  <si>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</si>
  <si>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</si>
  <si>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</si>
  <si>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</si>
  <si>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</si>
  <si>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</si>
  <si>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</si>
  <si>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</si>
  <si>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</si>
  <si>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</si>
  <si>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</si>
  <si>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</si>
  <si>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</si>
  <si>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</si>
  <si>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</si>
  <si>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</si>
  <si>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</si>
  <si>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</si>
  <si>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</si>
  <si>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</si>
  <si>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</si>
  <si>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</si>
  <si>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</si>
  <si>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</si>
  <si>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</si>
  <si>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</si>
  <si>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</si>
  <si>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</si>
  <si>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</si>
  <si>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</si>
  <si>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</si>
  <si>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</si>
  <si>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</si>
  <si>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</si>
  <si>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</si>
  <si>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</si>
  <si>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</si>
  <si>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</si>
  <si>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</si>
  <si>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</si>
  <si>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</si>
  <si>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</si>
  <si>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</si>
  <si>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</si>
  <si>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</si>
  <si>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</si>
  <si>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</si>
  <si>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</si>
  <si>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</si>
  <si>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</si>
  <si>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</si>
  <si>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</si>
  <si>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</si>
  <si>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</si>
  <si>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</si>
  <si>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</si>
  <si>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</si>
  <si>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</si>
  <si>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</si>
  <si>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</si>
  <si>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</si>
  <si>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</si>
  <si>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</si>
  <si>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</si>
  <si>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</si>
  <si>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</si>
  <si>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</si>
  <si>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</si>
  <si>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</si>
  <si>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</si>
  <si>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</si>
  <si>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</si>
  <si>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</si>
  <si>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</si>
  <si>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</si>
  <si>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</si>
  <si>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</si>
  <si>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</si>
  <si>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</si>
  <si>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</si>
  <si>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</si>
  <si>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</si>
  <si>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</si>
  <si>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</si>
  <si>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</si>
  <si>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</si>
  <si>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</si>
  <si>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</si>
  <si>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</si>
  <si>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</si>
  <si>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</si>
  <si>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</si>
  <si>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</si>
  <si>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</si>
  <si>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</si>
  <si>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</si>
  <si>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</si>
  <si>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</si>
  <si>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</si>
  <si>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</si>
  <si>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</si>
  <si>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</si>
  <si>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</si>
  <si>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</si>
  <si>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</si>
  <si>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</si>
  <si>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</si>
  <si>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</si>
  <si>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</si>
  <si>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</si>
  <si>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</si>
  <si>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</si>
  <si>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</si>
  <si>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</si>
  <si>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</si>
  <si>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</si>
  <si>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</si>
  <si>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</si>
  <si>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</si>
  <si>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</si>
  <si>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</si>
  <si>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</si>
  <si>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</si>
  <si>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</si>
  <si>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</si>
  <si>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</si>
  <si>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</si>
  <si>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</si>
  <si>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</si>
  <si>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</si>
  <si>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</si>
  <si>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</si>
  <si>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</si>
  <si>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</si>
  <si>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</si>
  <si>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</si>
  <si>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</si>
  <si>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</si>
  <si>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</si>
  <si>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</si>
  <si>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</si>
  <si>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</si>
  <si>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</si>
  <si>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</si>
  <si>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</si>
  <si>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</si>
  <si>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</si>
  <si>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</si>
  <si>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</si>
  <si>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</si>
  <si>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</si>
  <si>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</si>
  <si>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</si>
  <si>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</si>
  <si>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</si>
  <si>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</si>
  <si>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</si>
  <si>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</si>
  <si>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</si>
  <si>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</si>
  <si>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</si>
  <si>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</si>
  <si>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</si>
  <si>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</si>
  <si>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</si>
  <si>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</si>
  <si>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</si>
  <si>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</si>
  <si>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</si>
  <si>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</si>
  <si>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</si>
  <si>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</si>
  <si>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</si>
  <si>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</si>
  <si>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</si>
  <si>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</si>
  <si>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</si>
  <si>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</si>
  <si>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</si>
  <si>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</si>
  <si>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</si>
  <si>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</si>
  <si>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</si>
  <si>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</si>
  <si>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</si>
  <si>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</si>
  <si>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</si>
  <si>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</si>
  <si>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</si>
  <si>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</si>
  <si>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</si>
  <si>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</si>
  <si>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</si>
  <si>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</si>
  <si>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</si>
  <si>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</si>
  <si>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</si>
  <si>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</si>
  <si>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</si>
  <si>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</si>
  <si>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</si>
  <si>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</si>
  <si>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</si>
  <si>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</si>
  <si>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</si>
  <si>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</si>
  <si>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</si>
  <si>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</si>
  <si>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</si>
  <si>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</si>
  <si>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</si>
  <si>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</si>
  <si>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</si>
  <si>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</si>
  <si>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</si>
  <si>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</si>
  <si>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</si>
  <si>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</si>
  <si>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</si>
  <si>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</si>
  <si>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</si>
  <si>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</si>
  <si>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</si>
  <si>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</si>
  <si>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</si>
  <si>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</si>
  <si>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</si>
  <si>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</si>
  <si>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</si>
  <si>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</si>
  <si>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</si>
  <si>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</si>
  <si>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</si>
  <si>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</si>
  <si>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</si>
  <si>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</si>
  <si>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</si>
  <si>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</si>
  <si>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</si>
  <si>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</si>
  <si>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</si>
  <si>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</si>
  <si>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</si>
  <si>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</si>
  <si>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</si>
  <si>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</si>
  <si>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</si>
  <si>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</si>
  <si>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</si>
  <si>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</si>
  <si>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</si>
  <si>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</si>
  <si>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</si>
  <si>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</si>
  <si>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</si>
  <si>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</si>
  <si>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</si>
  <si>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</si>
  <si>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</si>
  <si>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</si>
  <si>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</si>
  <si>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</si>
  <si>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</si>
  <si>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</si>
  <si>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</si>
  <si>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</si>
  <si>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</si>
  <si>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</si>
  <si>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</si>
  <si>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</si>
  <si>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</si>
  <si>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</si>
  <si>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</si>
  <si>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</si>
  <si>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</si>
  <si>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</si>
  <si>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</si>
  <si>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</si>
  <si>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</si>
  <si>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</si>
  <si>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</si>
  <si>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</si>
  <si>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</si>
  <si>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</si>
  <si>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</si>
  <si>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</si>
  <si>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</si>
  <si>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</si>
  <si>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</si>
  <si>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</si>
  <si>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</si>
  <si>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</si>
  <si>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</si>
  <si>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</si>
  <si>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</si>
  <si>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</si>
  <si>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</si>
  <si>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</si>
  <si>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</si>
  <si>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</si>
  <si>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</si>
  <si>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</si>
  <si>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</si>
  <si>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</si>
  <si>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</si>
  <si>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</si>
  <si>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</si>
  <si>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</si>
  <si>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</si>
  <si>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</si>
  <si>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</si>
  <si>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</si>
  <si>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</si>
  <si>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</si>
  <si>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</si>
  <si>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</si>
  <si>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</si>
  <si>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</si>
  <si>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</si>
  <si>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</si>
  <si>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</si>
  <si>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</si>
  <si>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</si>
  <si>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</si>
  <si>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</si>
  <si>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</si>
  <si>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</si>
  <si>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</si>
  <si>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</si>
  <si>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</si>
  <si>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</si>
  <si>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</si>
  <si>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</si>
  <si>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</si>
  <si>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</si>
  <si>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</si>
  <si>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</si>
  <si>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</si>
  <si>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</si>
  <si>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</si>
  <si>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</si>
  <si>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</si>
  <si>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</si>
  <si>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</si>
  <si>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</si>
  <si>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</si>
  <si>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</si>
  <si>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</si>
  <si>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</si>
  <si>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</si>
  <si>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</si>
  <si>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</si>
  <si>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</si>
  <si>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</si>
  <si>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</si>
  <si>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</si>
  <si>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</si>
  <si>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</si>
  <si>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</si>
  <si>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</si>
  <si>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</si>
  <si>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</si>
  <si>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</si>
  <si>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</si>
  <si>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</si>
  <si>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</si>
  <si>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</si>
  <si>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</si>
  <si>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</si>
  <si>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</si>
  <si>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</si>
  <si>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</si>
  <si>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</si>
  <si>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</si>
  <si>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</si>
  <si>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</si>
  <si>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</si>
  <si>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</si>
  <si>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</si>
  <si>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</si>
  <si>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</si>
  <si>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</si>
  <si>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</si>
  <si>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</si>
  <si>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</si>
  <si>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</si>
  <si>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</si>
  <si>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</si>
  <si>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</si>
  <si>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</si>
  <si>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</si>
  <si>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</si>
  <si>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</si>
  <si>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</si>
  <si>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</si>
  <si>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</si>
  <si>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</si>
  <si>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</si>
  <si>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</si>
  <si>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</si>
  <si>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</si>
  <si>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</si>
  <si>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</si>
  <si>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</si>
  <si>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</si>
  <si>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</si>
  <si>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</si>
  <si>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</si>
  <si>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</si>
  <si>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</si>
  <si>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</si>
  <si>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</si>
  <si>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</si>
  <si>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</si>
  <si>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</si>
  <si>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</si>
  <si>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</si>
  <si>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</si>
  <si>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</si>
  <si>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</si>
  <si>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</si>
  <si>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</si>
  <si>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</si>
  <si>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</si>
  <si>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</si>
  <si>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</si>
  <si>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</si>
  <si>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</si>
  <si>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</si>
  <si>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</si>
  <si>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</si>
  <si>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</si>
  <si>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</si>
  <si>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</si>
  <si>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</si>
  <si>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</si>
  <si>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</si>
  <si>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</si>
  <si>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</si>
  <si>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</si>
  <si>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</si>
  <si>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</si>
  <si>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</si>
  <si>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</si>
  <si>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</si>
  <si>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</si>
  <si>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</si>
  <si>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</si>
  <si>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</si>
  <si>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</si>
  <si>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</si>
  <si>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</si>
  <si>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</si>
  <si>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</si>
  <si>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</si>
  <si>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</si>
  <si>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</si>
  <si>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</si>
  <si>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</si>
  <si>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</si>
  <si>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</si>
  <si>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</si>
  <si>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</si>
  <si>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</si>
  <si>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</si>
  <si>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</si>
  <si>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</si>
  <si>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</si>
  <si>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</si>
  <si>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</si>
  <si>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</si>
  <si>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</si>
  <si>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</si>
  <si>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</si>
  <si>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</si>
  <si>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</si>
  <si>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</si>
  <si>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</si>
  <si>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</si>
  <si>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</si>
  <si>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</si>
  <si>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</si>
  <si>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</si>
  <si>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</si>
  <si>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</si>
  <si>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</si>
  <si>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</si>
  <si>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</si>
  <si>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</si>
  <si>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</si>
  <si>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</si>
  <si>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</si>
  <si>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</si>
  <si>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</si>
  <si>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</si>
  <si>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</si>
  <si>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</si>
  <si>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</si>
  <si>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</si>
  <si>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</si>
  <si>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</si>
  <si>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</si>
  <si>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</si>
  <si>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</si>
  <si>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</si>
  <si>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</si>
  <si>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</si>
  <si>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</si>
  <si>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</si>
  <si>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</si>
  <si>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</si>
  <si>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</si>
  <si>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</si>
  <si>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</si>
  <si>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</si>
  <si>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</si>
  <si>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</si>
  <si>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</si>
  <si>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</si>
  <si>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</si>
  <si>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</si>
  <si>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</si>
  <si>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</si>
  <si>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</si>
  <si>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</si>
  <si>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</si>
  <si>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</si>
  <si>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</si>
  <si>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</si>
  <si>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</si>
  <si>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</si>
  <si>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</si>
  <si>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</si>
  <si>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</si>
  <si>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</si>
  <si>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</si>
  <si>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</si>
  <si>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</si>
  <si>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</si>
  <si>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</si>
  <si>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</si>
  <si>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</si>
  <si>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</si>
  <si>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</si>
  <si>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</si>
  <si>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</si>
  <si>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</si>
  <si>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</si>
  <si>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</si>
  <si>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</si>
  <si>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</si>
  <si>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</si>
  <si>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</si>
  <si>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</si>
  <si>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</si>
  <si>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</si>
  <si>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</si>
  <si>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</si>
  <si>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</si>
  <si>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</si>
  <si>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</si>
  <si>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</si>
  <si>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</si>
  <si>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</si>
  <si>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</si>
  <si>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</si>
  <si>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</si>
  <si>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</si>
  <si>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</si>
  <si>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</si>
  <si>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</si>
  <si>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</si>
  <si>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</si>
  <si>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</si>
  <si>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</si>
  <si>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</si>
  <si>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</si>
  <si>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</si>
  <si>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</si>
  <si>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</si>
  <si>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</si>
  <si>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</si>
  <si>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</si>
  <si>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</si>
  <si>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</si>
  <si>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</si>
  <si>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</si>
  <si>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</si>
  <si>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</si>
  <si>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</si>
  <si>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</si>
  <si>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</si>
  <si>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</si>
  <si>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</si>
  <si>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</si>
  <si>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</si>
  <si>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</si>
  <si>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</si>
  <si>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</si>
  <si>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</si>
  <si>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</si>
  <si>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</si>
  <si>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</si>
  <si>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</si>
  <si>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</si>
  <si>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</si>
  <si>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</si>
  <si>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</si>
  <si>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</si>
  <si>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</si>
  <si>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</si>
  <si>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</si>
  <si>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</si>
  <si>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</si>
  <si>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</si>
  <si>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</si>
  <si>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A02RR0S</t>
  </si>
  <si>
    <t xml:space="preserve"> 1728 54TH CT E</t>
  </si>
  <si>
    <t>2104PA</t>
  </si>
  <si>
    <t>PON2104PA</t>
  </si>
  <si>
    <t>REEL15</t>
  </si>
  <si>
    <t>F 5506-1 19TH ST E</t>
  </si>
  <si>
    <t>F 5485-1 UNIVERSITY GARDENS DR</t>
  </si>
  <si>
    <t>F 5465-1 UNIVERSITY GARDENS DR</t>
  </si>
  <si>
    <t>F 5435-1 UNIVERSITY GARDENS DR</t>
  </si>
  <si>
    <t>F 5415-1 UNIVERSITY GARDENS DR</t>
  </si>
  <si>
    <t>F 5385-1 UNIVERSITY GARDENS DR</t>
  </si>
  <si>
    <t>F 5365-1 UNIVERSITY GARDENS DR</t>
  </si>
  <si>
    <t>F 5345-1 UNIVERSITY GARDENS DR</t>
  </si>
  <si>
    <t>F 5325-1 UNIVERSITY GARDENS DR</t>
  </si>
  <si>
    <t>F 5305-1 UNIVERSITY GARDENS DR</t>
  </si>
  <si>
    <t>F 5275-1 UNIVERSITY GARDENS DR</t>
  </si>
  <si>
    <t>F 5255-1 UNIVERSITY GARDENS DR</t>
  </si>
  <si>
    <t>F 5235-1 UNIVERSITY GARDENS DR</t>
  </si>
  <si>
    <t>F 5215-1 UNIVERSITY GARDENS DR</t>
  </si>
  <si>
    <t>F 5521-1 UNIVERSITY BLVD E</t>
  </si>
  <si>
    <t>F 5541-1 UNIVERSITY BLVD E</t>
  </si>
  <si>
    <t>F 5561-1 UNIVERSITY BLVD E</t>
  </si>
  <si>
    <t>F 5625-1 UNIVERSITY BLVD E</t>
  </si>
  <si>
    <t>F 1921-1 TUSK AVE</t>
  </si>
  <si>
    <t>F 1900-1 TUSK AVE</t>
  </si>
  <si>
    <t>F 1912-1 TUSK AVE</t>
  </si>
  <si>
    <t>F 5721-1 UNIVERSITY BLVD E</t>
  </si>
  <si>
    <t>F 5632-1 UNIVERSITY BLVD E</t>
  </si>
  <si>
    <t>F 5626-1 UNIVERSITY BLVD E</t>
  </si>
  <si>
    <t>TSCLALDH</t>
  </si>
  <si>
    <t>REEL17</t>
  </si>
  <si>
    <t>fbt energy</t>
  </si>
  <si>
    <t>F 5725-1 UNIVERSITY BLVD E</t>
  </si>
  <si>
    <t>F 1717-2 59TH AV E</t>
  </si>
  <si>
    <t>fbt</t>
  </si>
  <si>
    <t>reel 20</t>
  </si>
  <si>
    <t>REEL18</t>
  </si>
  <si>
    <t>STUB</t>
  </si>
  <si>
    <t>ENERGY FBT</t>
  </si>
  <si>
    <t xml:space="preserve">  </t>
  </si>
  <si>
    <t>I 6210.1 62ND AVE E</t>
  </si>
  <si>
    <t>I 5710.1.1 UNIVERSITY BLVD E</t>
  </si>
  <si>
    <t>F 1718-2 54TH CT E</t>
  </si>
  <si>
    <t>F 1706-2 54TH CT E</t>
  </si>
  <si>
    <t>F 5418-2 17TH ST E</t>
  </si>
  <si>
    <t>F 5430-2 17TH ST E</t>
  </si>
  <si>
    <t>F 5506-2 17TH ST E</t>
  </si>
  <si>
    <t>F 1603-2 55TH E CT</t>
  </si>
  <si>
    <t>F 1523-2 56TH E AV</t>
  </si>
  <si>
    <t>F 1500-2 56TH E AV</t>
  </si>
  <si>
    <t>F 5424-2 18TH ST E</t>
  </si>
  <si>
    <t>F 5506-2 18TH ST E</t>
  </si>
  <si>
    <t>F 5518-2 18TH ST E</t>
  </si>
  <si>
    <t>F 1713-2 56TH AVE E</t>
  </si>
  <si>
    <t>F 1605-2 56TH E AVE</t>
  </si>
  <si>
    <t>F 1619-2 56TH E AVE</t>
  </si>
  <si>
    <t>F 1725-2 56TH AVE E</t>
  </si>
  <si>
    <t>F 1735-2 56TH AVE E</t>
  </si>
  <si>
    <t>F 5703-2 17TH ST E</t>
  </si>
  <si>
    <t>F 1649-2 57TH AVE E</t>
  </si>
  <si>
    <t>OPP 1640-2 57TH AVE E</t>
  </si>
  <si>
    <t>F 1607-2 57TH AVE E</t>
  </si>
  <si>
    <t>F 5803-2 17TH ST E</t>
  </si>
  <si>
    <t>F 1647-2 58TH AVE E</t>
  </si>
  <si>
    <t>F 1639-2 58TH AVE E</t>
  </si>
  <si>
    <t>F 1619-2 58TH AVE E</t>
  </si>
  <si>
    <t>F 5913-2 17TH ST E</t>
  </si>
  <si>
    <t>F 5927-2 17TH ST E</t>
  </si>
  <si>
    <t>F 1651-2 60TH AV E</t>
  </si>
  <si>
    <t>F 1635-2 60TH AV E</t>
  </si>
  <si>
    <t>F 1621-2 60TH AV E</t>
  </si>
  <si>
    <t>F 1607-2 60TH AV E</t>
  </si>
  <si>
    <t>F 1529-2 60TH AV E</t>
  </si>
  <si>
    <t>F 1517-2 60TH AV E</t>
  </si>
  <si>
    <t>F 5914-2 15TH ST E</t>
  </si>
  <si>
    <t>F 5816-2 15TH ST E</t>
  </si>
  <si>
    <t>F 1709-2 59TH AV E</t>
  </si>
  <si>
    <t>F 1653-2 59TH AV E</t>
  </si>
  <si>
    <t>F 1637-2 59TH AV E</t>
  </si>
  <si>
    <t>F 1623-2 59TH AV E</t>
  </si>
  <si>
    <t>F 1611-2 59TH AV E</t>
  </si>
  <si>
    <t>F 1531-2 59TH AV E</t>
  </si>
  <si>
    <t>F 1623-2 56TH E AVE</t>
  </si>
  <si>
    <t>F 5526-2 17TH ST E</t>
  </si>
  <si>
    <t>F 1717-3 59TH AV E</t>
  </si>
  <si>
    <t>F 1817-2 59TH AV E</t>
  </si>
  <si>
    <t>F 5900-2 UNIVERSITY BLVD E</t>
  </si>
  <si>
    <t>F 6018-2 18TH ST E</t>
  </si>
  <si>
    <t>F 6120-2 18TH ST E</t>
  </si>
  <si>
    <t>F 6208-2 18TH ST E</t>
  </si>
  <si>
    <t>F 1817-2 62ND AVE E</t>
  </si>
  <si>
    <t>OPP 1826-2 62ND AVE E</t>
  </si>
  <si>
    <t>coil</t>
  </si>
  <si>
    <t>future coil</t>
  </si>
  <si>
    <t>F 1533-2 58TH AVE E</t>
  </si>
  <si>
    <t>F 1530-2 57TH AVE E</t>
  </si>
  <si>
    <t>F 1804-2 61ST AVE E</t>
  </si>
  <si>
    <t>F 1818-2 61ST AVE E</t>
  </si>
  <si>
    <t>F 1940-1 CRIMSON WY</t>
  </si>
  <si>
    <t>F 1900-1 CRIMSON WY</t>
  </si>
  <si>
    <t>OPP 6102-2 UNIVERSITY BLVD E</t>
  </si>
  <si>
    <t>F 1919-1 CRIMSON WY</t>
  </si>
  <si>
    <t>F 1920-1 CRIMSON WY</t>
  </si>
  <si>
    <t>F 1960-1 CRIMSON WAY</t>
  </si>
  <si>
    <t>F 1929-1 CRIMSON WY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</si>
</sst>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6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66" dataDxfId="1664" headerRowBorderDxfId="1665" tableBorderDxfId="1663" totalsRowBorderDxfId="1662">
  <autoFilter ref="A1:AP499" xr:uid="{00000000-0009-0000-0100-000003000000}"/>
  <tableColumns count="42">
    <tableColumn id="1" xr3:uid="{00000000-0010-0000-0000-000001000000}" name="DWG#" dataDxfId="1661"/>
    <tableColumn id="61" xr3:uid="{00000000-0010-0000-0000-00003D000000}" name="10x15 HH" dataDxfId="1660"/>
    <tableColumn id="9" xr3:uid="{00000000-0010-0000-0000-000009000000}" name="IDUCT 1" dataDxfId="1659"/>
    <tableColumn id="10" xr3:uid="{00000000-0010-0000-0000-00000A000000}" name="IDUCT 2" dataDxfId="1658"/>
    <tableColumn id="11" xr3:uid="{00000000-0010-0000-0000-00000B000000}" name="IDUCT 3" dataDxfId="1657"/>
    <tableColumn id="12" xr3:uid="{00000000-0010-0000-0000-00000C000000}" name="IDUCT 4" dataDxfId="1656"/>
    <tableColumn id="13" xr3:uid="{00000000-0010-0000-0000-00000D000000}" name="IDUCT 5" dataDxfId="1655"/>
    <tableColumn id="14" xr3:uid="{00000000-0010-0000-0000-00000E000000}" name="IDUCT 6" dataDxfId="1654"/>
    <tableColumn id="15" xr3:uid="{00000000-0010-0000-0000-00000F000000}" name="IDUCT 7" dataDxfId="1653"/>
    <tableColumn id="16" xr3:uid="{00000000-0010-0000-0000-000010000000}" name="IDUCT 8" dataDxfId="1652"/>
    <tableColumn id="17" xr3:uid="{00000000-0010-0000-0000-000011000000}" name="IDUCT 9" dataDxfId="1651"/>
    <tableColumn id="18" xr3:uid="{00000000-0010-0000-0000-000012000000}" name="IDUCT 10" dataDxfId="1650"/>
    <tableColumn id="19" xr3:uid="{00000000-0010-0000-0000-000013000000}" name="IDUCT 11" dataDxfId="1649"/>
    <tableColumn id="20" xr3:uid="{00000000-0010-0000-0000-000014000000}" name="IDUCT 12" dataDxfId="1648"/>
    <tableColumn id="21" xr3:uid="{00000000-0010-0000-0000-000015000000}" name="IDUCT 13" dataDxfId="1647"/>
    <tableColumn id="22" xr3:uid="{00000000-0010-0000-0000-000016000000}" name="IDUCT 14" dataDxfId="1646"/>
    <tableColumn id="23" xr3:uid="{00000000-0010-0000-0000-000017000000}" name="IDUCT 15" dataDxfId="1645"/>
    <tableColumn id="24" xr3:uid="{00000000-0010-0000-0000-000018000000}" name="IDUCT 16" dataDxfId="1644"/>
    <tableColumn id="25" xr3:uid="{00000000-0010-0000-0000-000019000000}" name="IDUCT 17" dataDxfId="1643"/>
    <tableColumn id="26" xr3:uid="{00000000-0010-0000-0000-00001A000000}" name="IDUCT 18" dataDxfId="1642"/>
    <tableColumn id="27" xr3:uid="{00000000-0010-0000-0000-00001B000000}" name="IDUCT 19" dataDxfId="1641"/>
    <tableColumn id="28" xr3:uid="{00000000-0010-0000-0000-00001C000000}" name="IDUCT 20" dataDxfId="1640"/>
    <tableColumn id="29" xr3:uid="{00000000-0010-0000-0000-00001D000000}" name="Pullback IDUCT 1" dataDxfId="1639"/>
    <tableColumn id="30" xr3:uid="{00000000-0010-0000-0000-00001E000000}" name="Pullback IDUCT 2" dataDxfId="1638"/>
    <tableColumn id="31" xr3:uid="{00000000-0010-0000-0000-00001F000000}" name="Pullback IDUCT 3" dataDxfId="1637"/>
    <tableColumn id="32" xr3:uid="{00000000-0010-0000-0000-000020000000}" name="Pullback IDUCT 4" dataDxfId="1636"/>
    <tableColumn id="33" xr3:uid="{00000000-0010-0000-0000-000021000000}" name="Pullback IDUCT 5" dataDxfId="1635"/>
    <tableColumn id="34" xr3:uid="{00000000-0010-0000-0000-000022000000}" name="Pullback IDUCT 6" dataDxfId="1634"/>
    <tableColumn id="35" xr3:uid="{00000000-0010-0000-0000-000023000000}" name="Pullback IDUCT 7" dataDxfId="1633"/>
    <tableColumn id="36" xr3:uid="{00000000-0010-0000-0000-000024000000}" name="Pullback IDUCT 8" dataDxfId="1632"/>
    <tableColumn id="37" xr3:uid="{00000000-0010-0000-0000-000025000000}" name="Pullback IDUCT 9" dataDxfId="1631"/>
    <tableColumn id="38" xr3:uid="{00000000-0010-0000-0000-000026000000}" name="Pullback IDUCT 10" dataDxfId="1630"/>
    <tableColumn id="49" xr3:uid="{00000000-0010-0000-0000-000031000000}" name="ROD Duct 1" dataDxfId="1629"/>
    <tableColumn id="50" xr3:uid="{00000000-0010-0000-0000-000032000000}" name="ROD Duct 2" dataDxfId="1628"/>
    <tableColumn id="51" xr3:uid="{00000000-0010-0000-0000-000033000000}" name="ROD Duct 3" dataDxfId="1627"/>
    <tableColumn id="52" xr3:uid="{00000000-0010-0000-0000-000034000000}" name="ROD Duct 4" dataDxfId="1626"/>
    <tableColumn id="53" xr3:uid="{00000000-0010-0000-0000-000035000000}" name="ROD Duct 5" dataDxfId="1625"/>
    <tableColumn id="54" xr3:uid="{00000000-0010-0000-0000-000036000000}" name="ROD Duct 6" dataDxfId="1624"/>
    <tableColumn id="55" xr3:uid="{00000000-0010-0000-0000-000037000000}" name="ROD Duct 7" dataDxfId="1623"/>
    <tableColumn id="56" xr3:uid="{00000000-0010-0000-0000-000038000000}" name="ROD Duct 8" dataDxfId="1622"/>
    <tableColumn id="57" xr3:uid="{00000000-0010-0000-0000-000039000000}" name="ROD Duct 9" dataDxfId="1621"/>
    <tableColumn id="58" xr3:uid="{00000000-0010-0000-0000-00003A000000}" name="ROD Duct 10" dataDxfId="162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topLeftCell="A130"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1" t="s">
        <v>0</v>
      </c>
      <c r="C1" s="261"/>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9" t="s">
        <v>8</v>
      </c>
      <c r="H19" s="260"/>
      <c r="I19" s="260"/>
      <c r="J19" s="260"/>
      <c r="K19" s="260"/>
      <c r="L19" s="260"/>
      <c r="M19" s="260"/>
      <c r="N19" s="260"/>
      <c r="O19" s="260"/>
      <c r="P19" s="260"/>
      <c r="Q19" s="176"/>
    </row>
    <row r="20" spans="2:17" x14ac:dyDescent="0.25">
      <c r="G20" s="260"/>
      <c r="H20" s="260"/>
      <c r="I20" s="260"/>
      <c r="J20" s="260"/>
      <c r="K20" s="260"/>
      <c r="L20" s="260"/>
      <c r="M20" s="260"/>
      <c r="N20" s="260"/>
      <c r="O20" s="260"/>
      <c r="P20" s="260"/>
      <c r="Q20" s="176"/>
    </row>
    <row r="21" spans="2:17" x14ac:dyDescent="0.25">
      <c r="G21" s="260"/>
      <c r="H21" s="260"/>
      <c r="I21" s="260"/>
      <c r="J21" s="260"/>
      <c r="K21" s="260"/>
      <c r="L21" s="260"/>
      <c r="M21" s="260"/>
      <c r="N21" s="260"/>
      <c r="O21" s="260"/>
      <c r="P21" s="260"/>
      <c r="Q21" s="176"/>
    </row>
    <row r="22" spans="2:17" ht="15" customHeight="1" x14ac:dyDescent="0.25">
      <c r="G22" s="260"/>
      <c r="H22" s="260"/>
      <c r="I22" s="260"/>
      <c r="J22" s="260"/>
      <c r="K22" s="260"/>
      <c r="L22" s="260"/>
      <c r="M22" s="260"/>
      <c r="N22" s="260"/>
      <c r="O22" s="260"/>
      <c r="P22" s="260"/>
      <c r="Q22" s="176"/>
    </row>
    <row r="23" spans="2:17" x14ac:dyDescent="0.25">
      <c r="G23" s="260"/>
      <c r="H23" s="260"/>
      <c r="I23" s="260"/>
      <c r="J23" s="260"/>
      <c r="K23" s="260"/>
      <c r="L23" s="260"/>
      <c r="M23" s="260"/>
      <c r="N23" s="260"/>
      <c r="O23" s="260"/>
      <c r="P23" s="260"/>
      <c r="Q23" s="176"/>
    </row>
    <row r="24" spans="2:17" x14ac:dyDescent="0.25">
      <c r="G24" s="260"/>
      <c r="H24" s="260"/>
      <c r="I24" s="260"/>
      <c r="J24" s="260"/>
      <c r="K24" s="260"/>
      <c r="L24" s="260"/>
      <c r="M24" s="260"/>
      <c r="N24" s="260"/>
      <c r="O24" s="260"/>
      <c r="P24" s="260"/>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8" t="s">
        <v>10</v>
      </c>
      <c r="G35" s="258"/>
      <c r="H35" s="258"/>
      <c r="I35" s="258"/>
      <c r="J35" s="258"/>
      <c r="K35" s="258"/>
      <c r="L35" s="258"/>
      <c r="M35" s="258"/>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5" t="s">
        <v>15</v>
      </c>
      <c r="C147" s="256"/>
      <c r="D147" s="256"/>
      <c r="E147" s="256"/>
      <c r="F147" s="256"/>
      <c r="G147" s="256"/>
      <c r="H147" s="256"/>
      <c r="I147" s="256"/>
      <c r="J147" s="256"/>
      <c r="K147" s="256"/>
      <c r="L147" s="256"/>
      <c r="M147" s="256"/>
      <c r="N147" s="256"/>
      <c r="O147" s="256"/>
      <c r="P147" s="257"/>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5424-2 18TH ST E</v>
      </c>
      <c r="B1" s="118"/>
      <c r="C1" s="118"/>
      <c r="D1" s="118"/>
      <c r="E1" s="118"/>
      <c r="G1" t="str">
        <f>IF('Assignment Tool'!C1="","",IF('Assignment Tool'!C1="FST",'Assignment Tool'!D1,""))</f>
        <v/>
      </c>
      <c r="H1">
        <v>1</v>
      </c>
      <c r="I1">
        <v>1</v>
      </c>
      <c r="J1" t="str">
        <f t="array" ref="J1">IFERROR(INDEX($G$2:$G$2050,_xlfn.AGGREGATE(15,6,(ROW($G$2:$G$2050)-ROW($G$2)+1)/($G$2:$G$2050&lt;&gt;""),ROWS(J$1:J1))),"")</f>
        <v>F 5424-2 18TH ST E</v>
      </c>
      <c r="K1">
        <f>IF(J1="","",INDEX('Assignment Tool'!E17:E2050,MATCH(FA_DATA!J1,'Assignment Tool'!D17:D2050,0)))</f>
        <v>4</v>
      </c>
    </row>
    <row r="2" spans="1:11" x14ac:dyDescent="0.25">
      <c r="A2" s="118" t="str">
        <f t="shared" ref="A2:A65" si="0">VLOOKUP(H2,$I$1:$J$1000,2)</f>
        <v>F 5424-2 18TH ST E</v>
      </c>
      <c r="G2" t="str">
        <f>IF('Assignment Tool'!C2="","",IF('Assignment Tool'!C2="FST",'Assignment Tool'!D2,""))</f>
        <v/>
      </c>
      <c r="H2">
        <v>2</v>
      </c>
      <c r="I2">
        <f>IFERROR((I1+K1),"")</f>
        <v>5</v>
      </c>
      <c r="J2" t="str">
        <f t="array" ref="J2">IFERROR(INDEX($G$2:$G$2050,_xlfn.AGGREGATE(15,6,(ROW($G$2:$G$2050)-ROW($G$2)+1)/($G$2:$G$2050&lt;&gt;""),ROWS(J$1:J2))),"")</f>
        <v>F 5506-2 18TH ST E</v>
      </c>
      <c r="K2">
        <f>IF(J2="","",INDEX('Assignment Tool'!E18:E2051,MATCH(FA_DATA!J2,'Assignment Tool'!D18:D2051,0)))</f>
        <v>4</v>
      </c>
    </row>
    <row r="3" spans="1:11" x14ac:dyDescent="0.25">
      <c r="A3" s="118" t="str">
        <f t="shared" si="0"/>
        <v>F 5424-2 18TH ST E</v>
      </c>
      <c r="G3" t="str">
        <f>IF('Assignment Tool'!C3="","",IF('Assignment Tool'!C3="FST",'Assignment Tool'!D3,""))</f>
        <v/>
      </c>
      <c r="H3">
        <v>3</v>
      </c>
      <c r="I3">
        <f t="shared" ref="I3:I66" si="1">IFERROR((I2+K2),"")</f>
        <v>9</v>
      </c>
      <c r="J3" t="str">
        <f t="array" ref="J3">IFERROR(INDEX($G$2:$G$2050,_xlfn.AGGREGATE(15,6,(ROW($G$2:$G$2050)-ROW($G$2)+1)/($G$2:$G$2050&lt;&gt;""),ROWS(J$1:J3))),"")</f>
        <v>F 5518-2 18TH ST E</v>
      </c>
      <c r="K3">
        <f>IF(J3="","",INDEX('Assignment Tool'!E19:E2052,MATCH(FA_DATA!J3,'Assignment Tool'!D19:D2052,0)))</f>
        <v>4</v>
      </c>
    </row>
    <row r="4" spans="1:11" x14ac:dyDescent="0.25">
      <c r="A4" s="118" t="str">
        <f t="shared" si="0"/>
        <v>F 5424-2 18TH ST E</v>
      </c>
      <c r="G4" t="str">
        <f>IF('Assignment Tool'!C4="","",IF('Assignment Tool'!C4="FST",'Assignment Tool'!D4,""))</f>
        <v/>
      </c>
      <c r="H4">
        <v>4</v>
      </c>
      <c r="I4">
        <f t="shared" si="1"/>
        <v>13</v>
      </c>
      <c r="J4" t="str">
        <f t="array" ref="J4">IFERROR(INDEX($G$2:$G$2050,_xlfn.AGGREGATE(15,6,(ROW($G$2:$G$2050)-ROW($G$2)+1)/($G$2:$G$2050&lt;&gt;""),ROWS(J$1:J4))),"")</f>
        <v>F 1713-2 56TH AVE E</v>
      </c>
      <c r="K4">
        <f>IF(J4="","",INDEX('Assignment Tool'!E20:E2053,MATCH(FA_DATA!J4,'Assignment Tool'!D20:D2053,0)))</f>
        <v>12</v>
      </c>
    </row>
    <row r="5" spans="1:11" x14ac:dyDescent="0.25">
      <c r="A5" s="118" t="str">
        <f t="shared" si="0"/>
        <v>F 5506-2 18TH ST E</v>
      </c>
      <c r="G5" t="str">
        <f>IF('Assignment Tool'!C5="","",IF('Assignment Tool'!C5="FST",'Assignment Tool'!D5,""))</f>
        <v/>
      </c>
      <c r="H5">
        <v>5</v>
      </c>
      <c r="I5">
        <f t="shared" si="1"/>
        <v>25</v>
      </c>
      <c r="J5" t="str">
        <f t="array" ref="J5">IFERROR(INDEX($G$2:$G$2050,_xlfn.AGGREGATE(15,6,(ROW($G$2:$G$2050)-ROW($G$2)+1)/($G$2:$G$2050&lt;&gt;""),ROWS(J$1:J5))),"")</f>
        <v>F 5913-2 17TH ST E</v>
      </c>
      <c r="K5">
        <f>IF(J5="","",INDEX('Assignment Tool'!E21:E2054,MATCH(FA_DATA!J5,'Assignment Tool'!D21:D2054,0)))</f>
        <v>4</v>
      </c>
    </row>
    <row r="6" spans="1:11" x14ac:dyDescent="0.25">
      <c r="A6" s="118" t="str">
        <f t="shared" si="0"/>
        <v>F 5506-2 18TH ST E</v>
      </c>
      <c r="G6" t="str">
        <f>IF('Assignment Tool'!C6="","",IF('Assignment Tool'!C6="FST",'Assignment Tool'!D6,""))</f>
        <v/>
      </c>
      <c r="H6">
        <v>6</v>
      </c>
      <c r="I6">
        <f t="shared" si="1"/>
        <v>29</v>
      </c>
      <c r="J6" t="str">
        <f t="array" ref="J6">IFERROR(INDEX($G$2:$G$2050,_xlfn.AGGREGATE(15,6,(ROW($G$2:$G$2050)-ROW($G$2)+1)/($G$2:$G$2050&lt;&gt;""),ROWS(J$1:J6))),"")</f>
        <v>F 5927-2 17TH ST E</v>
      </c>
      <c r="K6">
        <f>IF(J6="","",INDEX('Assignment Tool'!E22:E2055,MATCH(FA_DATA!J6,'Assignment Tool'!D22:D2055,0)))</f>
        <v>4</v>
      </c>
    </row>
    <row r="7" spans="1:11" x14ac:dyDescent="0.25">
      <c r="A7" s="118" t="str">
        <f t="shared" si="0"/>
        <v>F 5506-2 18TH ST E</v>
      </c>
      <c r="G7" t="str">
        <f>IF('Assignment Tool'!C7="","",IF('Assignment Tool'!C7="FST",'Assignment Tool'!D7,""))</f>
        <v/>
      </c>
      <c r="H7">
        <v>7</v>
      </c>
      <c r="I7">
        <f t="shared" si="1"/>
        <v>33</v>
      </c>
      <c r="J7" t="str">
        <f t="array" ref="J7">IFERROR(INDEX($G$2:$G$2050,_xlfn.AGGREGATE(15,6,(ROW($G$2:$G$2050)-ROW($G$2)+1)/($G$2:$G$2050&lt;&gt;""),ROWS(J$1:J7))),"")</f>
        <v>F 1651-2 60TH AV E</v>
      </c>
      <c r="K7">
        <f>IF(J7="","",INDEX('Assignment Tool'!E23:E2056,MATCH(FA_DATA!J7,'Assignment Tool'!D23:D2056,0)))</f>
        <v>8</v>
      </c>
    </row>
    <row r="8" spans="1:11" x14ac:dyDescent="0.25">
      <c r="A8" s="118" t="str">
        <f t="shared" si="0"/>
        <v>F 5506-2 18TH ST E</v>
      </c>
      <c r="G8" t="str">
        <f>IF('Assignment Tool'!C8="","",IF('Assignment Tool'!C8="FST",'Assignment Tool'!D8,""))</f>
        <v/>
      </c>
      <c r="H8">
        <v>8</v>
      </c>
      <c r="I8">
        <f t="shared" si="1"/>
        <v>41</v>
      </c>
      <c r="J8" t="str">
        <f t="array" ref="J8">IFERROR(INDEX($G$2:$G$2050,_xlfn.AGGREGATE(15,6,(ROW($G$2:$G$2050)-ROW($G$2)+1)/($G$2:$G$2050&lt;&gt;""),ROWS(J$1:J8))),"")</f>
        <v>F 1635-2 60TH AV E</v>
      </c>
      <c r="K8">
        <f>IF(J8="","",INDEX('Assignment Tool'!E24:E2057,MATCH(FA_DATA!J8,'Assignment Tool'!D24:D2057,0)))</f>
        <v>4</v>
      </c>
    </row>
    <row r="9" spans="1:11" x14ac:dyDescent="0.25">
      <c r="A9" s="118" t="str">
        <f t="shared" si="0"/>
        <v>F 5518-2 18TH ST E</v>
      </c>
      <c r="G9" t="str">
        <f>IF('Assignment Tool'!C9="","",IF('Assignment Tool'!C9="FST",'Assignment Tool'!D9,""))</f>
        <v/>
      </c>
      <c r="H9">
        <v>9</v>
      </c>
      <c r="I9">
        <f t="shared" si="1"/>
        <v>45</v>
      </c>
      <c r="J9" t="str">
        <f t="array" ref="J9">IFERROR(INDEX($G$2:$G$2050,_xlfn.AGGREGATE(15,6,(ROW($G$2:$G$2050)-ROW($G$2)+1)/($G$2:$G$2050&lt;&gt;""),ROWS(J$1:J9))),"")</f>
        <v>F 1621-2 60TH AV E</v>
      </c>
      <c r="K9">
        <f>IF(J9="","",INDEX('Assignment Tool'!E25:E2058,MATCH(FA_DATA!J9,'Assignment Tool'!D25:D2058,0)))</f>
        <v>4</v>
      </c>
    </row>
    <row r="10" spans="1:11" x14ac:dyDescent="0.25">
      <c r="A10" s="118" t="str">
        <f t="shared" si="0"/>
        <v>F 5518-2 18TH ST E</v>
      </c>
      <c r="G10" t="str">
        <f>IF('Assignment Tool'!C10="","",IF('Assignment Tool'!C10="FST",'Assignment Tool'!D10,""))</f>
        <v/>
      </c>
      <c r="H10">
        <v>10</v>
      </c>
      <c r="I10">
        <f t="shared" si="1"/>
        <v>49</v>
      </c>
      <c r="J10" t="str">
        <f t="array" ref="J10">IFERROR(INDEX($G$2:$G$2050,_xlfn.AGGREGATE(15,6,(ROW($G$2:$G$2050)-ROW($G$2)+1)/($G$2:$G$2050&lt;&gt;""),ROWS(J$1:J10))),"")</f>
        <v>F 1607-2 60TH AV E</v>
      </c>
      <c r="K10">
        <f>IF(J10="","",INDEX('Assignment Tool'!E26:E2059,MATCH(FA_DATA!J10,'Assignment Tool'!D26:D2059,0)))</f>
        <v>4</v>
      </c>
    </row>
    <row r="11" spans="1:11" x14ac:dyDescent="0.25">
      <c r="A11" s="118" t="str">
        <f t="shared" si="0"/>
        <v>F 5518-2 18TH ST E</v>
      </c>
      <c r="G11" t="str">
        <f>IF('Assignment Tool'!C11="","",IF('Assignment Tool'!C11="FST",'Assignment Tool'!D11,""))</f>
        <v/>
      </c>
      <c r="H11">
        <v>11</v>
      </c>
      <c r="I11">
        <f t="shared" si="1"/>
        <v>53</v>
      </c>
      <c r="J11" t="str">
        <f t="array" ref="J11">IFERROR(INDEX($G$2:$G$2050,_xlfn.AGGREGATE(15,6,(ROW($G$2:$G$2050)-ROW($G$2)+1)/($G$2:$G$2050&lt;&gt;""),ROWS(J$1:J11))),"")</f>
        <v>F 1529-2 60TH AV E</v>
      </c>
      <c r="K11">
        <f>IF(J11="","",INDEX('Assignment Tool'!E27:E2060,MATCH(FA_DATA!J11,'Assignment Tool'!D27:D2060,0)))</f>
        <v>8</v>
      </c>
    </row>
    <row r="12" spans="1:11" x14ac:dyDescent="0.25">
      <c r="A12" s="118" t="str">
        <f t="shared" si="0"/>
        <v>F 5518-2 18TH ST E</v>
      </c>
      <c r="G12" t="str">
        <f>IF('Assignment Tool'!C12="","",IF('Assignment Tool'!C12="FST",'Assignment Tool'!D12,""))</f>
        <v/>
      </c>
      <c r="H12">
        <v>12</v>
      </c>
      <c r="I12">
        <f t="shared" si="1"/>
        <v>61</v>
      </c>
      <c r="J12" t="str">
        <f t="array" ref="J12">IFERROR(INDEX($G$2:$G$2050,_xlfn.AGGREGATE(15,6,(ROW($G$2:$G$2050)-ROW($G$2)+1)/($G$2:$G$2050&lt;&gt;""),ROWS(J$1:J12))),"")</f>
        <v>F 1517-2 60TH AV E</v>
      </c>
      <c r="K12">
        <f>IF(J12="","",INDEX('Assignment Tool'!E28:E2061,MATCH(FA_DATA!J12,'Assignment Tool'!D28:D2061,0)))</f>
        <v>4</v>
      </c>
    </row>
    <row r="13" spans="1:11" x14ac:dyDescent="0.25">
      <c r="A13" s="118" t="str">
        <f t="shared" si="0"/>
        <v>F 1713-2 56TH AVE E</v>
      </c>
      <c r="G13" t="str">
        <f>IF('Assignment Tool'!C13="","",IF('Assignment Tool'!C13="FST",'Assignment Tool'!D13,""))</f>
        <v/>
      </c>
      <c r="H13">
        <v>13</v>
      </c>
      <c r="I13">
        <f t="shared" si="1"/>
        <v>65</v>
      </c>
      <c r="J13" t="str">
        <f t="array" ref="J13">IFERROR(INDEX($G$2:$G$2050,_xlfn.AGGREGATE(15,6,(ROW($G$2:$G$2050)-ROW($G$2)+1)/($G$2:$G$2050&lt;&gt;""),ROWS(J$1:J13))),"")</f>
        <v>F 5914-2 15TH ST E</v>
      </c>
      <c r="K13">
        <f>IF(J13="","",INDEX('Assignment Tool'!E29:E2062,MATCH(FA_DATA!J13,'Assignment Tool'!D29:D2062,0)))</f>
        <v>4</v>
      </c>
    </row>
    <row r="14" spans="1:11" x14ac:dyDescent="0.25">
      <c r="A14" s="118" t="str">
        <f t="shared" si="0"/>
        <v>F 1713-2 56TH AVE E</v>
      </c>
      <c r="G14" t="str">
        <f>IF('Assignment Tool'!C14="","",IF('Assignment Tool'!C14="FST",'Assignment Tool'!D14,""))</f>
        <v/>
      </c>
      <c r="H14">
        <v>14</v>
      </c>
      <c r="I14">
        <f t="shared" si="1"/>
        <v>69</v>
      </c>
      <c r="J14" t="str">
        <f t="array" ref="J14">IFERROR(INDEX($G$2:$G$2050,_xlfn.AGGREGATE(15,6,(ROW($G$2:$G$2050)-ROW($G$2)+1)/($G$2:$G$2050&lt;&gt;""),ROWS(J$1:J14))),"")</f>
        <v>F 5816-2 15TH ST E</v>
      </c>
      <c r="K14">
        <f>IF(J14="","",INDEX('Assignment Tool'!E30:E2063,MATCH(FA_DATA!J14,'Assignment Tool'!D30:D2063,0)))</f>
        <v>4</v>
      </c>
    </row>
    <row r="15" spans="1:11" x14ac:dyDescent="0.25">
      <c r="A15" s="118" t="str">
        <f t="shared" si="0"/>
        <v>F 1713-2 56TH AVE E</v>
      </c>
      <c r="G15" t="str">
        <f>IF('Assignment Tool'!C15="","",IF('Assignment Tool'!C15="FST",'Assignment Tool'!D15,""))</f>
        <v/>
      </c>
      <c r="H15">
        <v>15</v>
      </c>
      <c r="I15">
        <f t="shared" si="1"/>
        <v>73</v>
      </c>
      <c r="J15" t="str">
        <f t="array" ref="J15">IFERROR(INDEX($G$2:$G$2050,_xlfn.AGGREGATE(15,6,(ROW($G$2:$G$2050)-ROW($G$2)+1)/($G$2:$G$2050&lt;&gt;""),ROWS(J$1:J15))),"")</f>
        <v>F 1709-2 59TH AV E</v>
      </c>
      <c r="K15">
        <f>IF(J15="","",INDEX('Assignment Tool'!E31:E2064,MATCH(FA_DATA!J15,'Assignment Tool'!D31:D2064,0)))</f>
        <v>4</v>
      </c>
    </row>
    <row r="16" spans="1:11" x14ac:dyDescent="0.25">
      <c r="A16" s="118" t="str">
        <f t="shared" si="0"/>
        <v>F 1713-2 56TH AVE E</v>
      </c>
      <c r="G16" t="str">
        <f>IF('Assignment Tool'!C16="","",IF('Assignment Tool'!C16="FST",'Assignment Tool'!D16,""))</f>
        <v/>
      </c>
      <c r="H16">
        <v>16</v>
      </c>
      <c r="I16">
        <f t="shared" si="1"/>
        <v>77</v>
      </c>
      <c r="J16" t="str">
        <f t="array" ref="J16">IFERROR(INDEX($G$2:$G$2050,_xlfn.AGGREGATE(15,6,(ROW($G$2:$G$2050)-ROW($G$2)+1)/($G$2:$G$2050&lt;&gt;""),ROWS(J$1:J16))),"")</f>
        <v>F 1653-2 59TH AV E</v>
      </c>
      <c r="K16">
        <f>IF(J16="","",INDEX('Assignment Tool'!E32:E2065,MATCH(FA_DATA!J16,'Assignment Tool'!D32:D2065,0)))</f>
        <v>4</v>
      </c>
    </row>
    <row r="17" spans="1:11" x14ac:dyDescent="0.25">
      <c r="A17" s="118" t="str">
        <f t="shared" si="0"/>
        <v>F 1713-2 56TH AVE E</v>
      </c>
      <c r="G17" t="str">
        <f>IF('Assignment Tool'!C17="","",IF('Assignment Tool'!C17="FST",'Assignment Tool'!D17,""))</f>
        <v/>
      </c>
      <c r="H17">
        <v>17</v>
      </c>
      <c r="I17">
        <f t="shared" si="1"/>
        <v>81</v>
      </c>
      <c r="J17" t="str">
        <f t="array" ref="J17">IFERROR(INDEX($G$2:$G$2050,_xlfn.AGGREGATE(15,6,(ROW($G$2:$G$2050)-ROW($G$2)+1)/($G$2:$G$2050&lt;&gt;""),ROWS(J$1:J17))),"")</f>
        <v>F 1637-2 59TH AV E</v>
      </c>
      <c r="K17">
        <f>IF(J17="","",INDEX('Assignment Tool'!E33:E2066,MATCH(FA_DATA!J17,'Assignment Tool'!D33:D2066,0)))</f>
        <v>4</v>
      </c>
    </row>
    <row r="18" spans="1:11" x14ac:dyDescent="0.25">
      <c r="A18" s="118" t="str">
        <f t="shared" si="0"/>
        <v>F 1713-2 56TH AVE E</v>
      </c>
      <c r="G18" t="str">
        <f>IF('Assignment Tool'!C18="","",IF('Assignment Tool'!C18="FST",'Assignment Tool'!D18,""))</f>
        <v/>
      </c>
      <c r="H18">
        <v>18</v>
      </c>
      <c r="I18">
        <f t="shared" si="1"/>
        <v>85</v>
      </c>
      <c r="J18" t="str">
        <f t="array" ref="J18">IFERROR(INDEX($G$2:$G$2050,_xlfn.AGGREGATE(15,6,(ROW($G$2:$G$2050)-ROW($G$2)+1)/($G$2:$G$2050&lt;&gt;""),ROWS(J$1:J18))),"")</f>
        <v>F 1623-2 59TH AV E</v>
      </c>
      <c r="K18">
        <f>IF(J18="","",INDEX('Assignment Tool'!E34:E2067,MATCH(FA_DATA!J18,'Assignment Tool'!D34:D2067,0)))</f>
        <v>4</v>
      </c>
    </row>
    <row r="19" spans="1:11" x14ac:dyDescent="0.25">
      <c r="A19" s="118" t="str">
        <f t="shared" si="0"/>
        <v>F 1713-2 56TH AVE E</v>
      </c>
      <c r="G19" t="str">
        <f>IF('Assignment Tool'!C19="","",IF('Assignment Tool'!C19="FST",'Assignment Tool'!D19,""))</f>
        <v/>
      </c>
      <c r="H19">
        <v>19</v>
      </c>
      <c r="I19">
        <f t="shared" si="1"/>
        <v>89</v>
      </c>
      <c r="J19" t="str">
        <f t="array" ref="J19">IFERROR(INDEX($G$2:$G$2050,_xlfn.AGGREGATE(15,6,(ROW($G$2:$G$2050)-ROW($G$2)+1)/($G$2:$G$2050&lt;&gt;""),ROWS(J$1:J19))),"")</f>
        <v>F 1611-2 59TH AV E</v>
      </c>
      <c r="K19">
        <f>IF(J19="","",INDEX('Assignment Tool'!E35:E2068,MATCH(FA_DATA!J19,'Assignment Tool'!D35:D2068,0)))</f>
        <v>4</v>
      </c>
    </row>
    <row r="20" spans="1:11" x14ac:dyDescent="0.25">
      <c r="A20" s="118" t="str">
        <f t="shared" si="0"/>
        <v>F 1713-2 56TH AVE E</v>
      </c>
      <c r="G20" t="str">
        <f>IF('Assignment Tool'!C20="","",IF('Assignment Tool'!C20="FST",'Assignment Tool'!D20,""))</f>
        <v/>
      </c>
      <c r="H20">
        <v>20</v>
      </c>
      <c r="I20">
        <f t="shared" si="1"/>
        <v>93</v>
      </c>
      <c r="J20" t="str">
        <f t="array" ref="J20">IFERROR(INDEX($G$2:$G$2050,_xlfn.AGGREGATE(15,6,(ROW($G$2:$G$2050)-ROW($G$2)+1)/($G$2:$G$2050&lt;&gt;""),ROWS(J$1:J20))),"")</f>
        <v>F 1531-2 59TH AV E</v>
      </c>
      <c r="K20">
        <f>IF(J20="","",INDEX('Assignment Tool'!E36:E2069,MATCH(FA_DATA!J20,'Assignment Tool'!D36:D2069,0)))</f>
        <v>4</v>
      </c>
    </row>
    <row r="21" spans="1:11" x14ac:dyDescent="0.25">
      <c r="A21" s="118" t="str">
        <f t="shared" si="0"/>
        <v>F 1713-2 56TH AVE E</v>
      </c>
      <c r="G21" t="str">
        <f>IF('Assignment Tool'!C21="","",IF('Assignment Tool'!C21="FST",'Assignment Tool'!D21,""))</f>
        <v/>
      </c>
      <c r="H21">
        <v>21</v>
      </c>
      <c r="I21">
        <f t="shared" si="1"/>
        <v>97</v>
      </c>
      <c r="J21" t="str">
        <f t="array" ref="J21">IFERROR(INDEX($G$2:$G$2050,_xlfn.AGGREGATE(15,6,(ROW($G$2:$G$2050)-ROW($G$2)+1)/($G$2:$G$2050&lt;&gt;""),ROWS(J$1:J21))),"")</f>
        <v>F 1717-2 59TH AV E</v>
      </c>
      <c r="K21">
        <f>IF(J21="","",INDEX('Assignment Tool'!E37:E2070,MATCH(FA_DATA!J21,'Assignment Tool'!D37:D2070,0)))</f>
        <v>6</v>
      </c>
    </row>
    <row r="22" spans="1:11" x14ac:dyDescent="0.25">
      <c r="A22" s="118" t="str">
        <f t="shared" si="0"/>
        <v>F 1713-2 56TH AVE E</v>
      </c>
      <c r="G22" t="str">
        <f>IF('Assignment Tool'!C22="","",IF('Assignment Tool'!C22="FST",'Assignment Tool'!D22,""))</f>
        <v/>
      </c>
      <c r="H22">
        <v>22</v>
      </c>
      <c r="I22">
        <f t="shared" si="1"/>
        <v>103</v>
      </c>
      <c r="J22" t="str">
        <f t="array" ref="J22">IFERROR(INDEX($G$2:$G$2050,_xlfn.AGGREGATE(15,6,(ROW($G$2:$G$2050)-ROW($G$2)+1)/($G$2:$G$2050&lt;&gt;""),ROWS(J$1:J22))),"")</f>
        <v>F 1717-3 59TH AV E</v>
      </c>
      <c r="K22">
        <f>IF(J22="","",INDEX('Assignment Tool'!E38:E2071,MATCH(FA_DATA!J22,'Assignment Tool'!D38:D2071,0)))</f>
        <v>6</v>
      </c>
    </row>
    <row r="23" spans="1:11" x14ac:dyDescent="0.25">
      <c r="A23" s="118" t="str">
        <f t="shared" si="0"/>
        <v>F 1713-2 56TH AVE E</v>
      </c>
      <c r="G23" t="str">
        <f>IF('Assignment Tool'!C23="","",IF('Assignment Tool'!C23="FST",'Assignment Tool'!D23,""))</f>
        <v/>
      </c>
      <c r="H23">
        <v>23</v>
      </c>
      <c r="I23">
        <f t="shared" si="1"/>
        <v>109</v>
      </c>
      <c r="J23" t="str">
        <f t="array" ref="J23">IFERROR(INDEX($G$2:$G$2050,_xlfn.AGGREGATE(15,6,(ROW($G$2:$G$2050)-ROW($G$2)+1)/($G$2:$G$2050&lt;&gt;""),ROWS(J$1:J23))),"")</f>
        <v>F 1817-2 59TH AV E</v>
      </c>
      <c r="K23">
        <f>IF(J23="","",INDEX('Assignment Tool'!E39:E2072,MATCH(FA_DATA!J23,'Assignment Tool'!D39:D2072,0)))</f>
        <v>4</v>
      </c>
    </row>
    <row r="24" spans="1:11" x14ac:dyDescent="0.25">
      <c r="A24" s="118" t="str">
        <f t="shared" si="0"/>
        <v>F 1713-2 56TH AVE E</v>
      </c>
      <c r="G24" t="str">
        <f>IF('Assignment Tool'!C24="","",IF('Assignment Tool'!C24="FST",'Assignment Tool'!D24,""))</f>
        <v/>
      </c>
      <c r="H24">
        <v>24</v>
      </c>
      <c r="I24">
        <f t="shared" si="1"/>
        <v>113</v>
      </c>
      <c r="J24" t="str">
        <f t="array" ref="J24">IFERROR(INDEX($G$2:$G$2050,_xlfn.AGGREGATE(15,6,(ROW($G$2:$G$2050)-ROW($G$2)+1)/($G$2:$G$2050&lt;&gt;""),ROWS(J$1:J24))),"")</f>
        <v>F 5900-2 UNIVERSITY BLVD E</v>
      </c>
      <c r="K24">
        <f>IF(J24="","",INDEX('Assignment Tool'!E40:E2073,MATCH(FA_DATA!J24,'Assignment Tool'!D40:D2073,0)))</f>
        <v>4</v>
      </c>
    </row>
    <row r="25" spans="1:11" x14ac:dyDescent="0.25">
      <c r="A25" s="118" t="str">
        <f t="shared" si="0"/>
        <v>F 5913-2 17TH ST E</v>
      </c>
      <c r="G25" t="str">
        <f>IF('Assignment Tool'!C25="","",IF('Assignment Tool'!C25="FST",'Assignment Tool'!D25,""))</f>
        <v/>
      </c>
      <c r="H25">
        <v>25</v>
      </c>
      <c r="I25">
        <f t="shared" si="1"/>
        <v>117</v>
      </c>
      <c r="J25" t="str">
        <f t="array" ref="J25">IFERROR(INDEX($G$2:$G$2050,_xlfn.AGGREGATE(15,6,(ROW($G$2:$G$2050)-ROW($G$2)+1)/($G$2:$G$2050&lt;&gt;""),ROWS(J$1:J25))),"")</f>
        <v>F 5803-2 17TH ST E</v>
      </c>
      <c r="K25">
        <f>IF(J25="","",INDEX('Assignment Tool'!E41:E2074,MATCH(FA_DATA!J25,'Assignment Tool'!D41:D2074,0)))</f>
        <v>8</v>
      </c>
    </row>
    <row r="26" spans="1:11" x14ac:dyDescent="0.25">
      <c r="A26" s="118" t="str">
        <f t="shared" si="0"/>
        <v>F 5913-2 17TH ST E</v>
      </c>
      <c r="G26" t="str">
        <f>IF('Assignment Tool'!C26="","",IF('Assignment Tool'!C26="FST",'Assignment Tool'!D26,""))</f>
        <v/>
      </c>
      <c r="H26">
        <v>26</v>
      </c>
      <c r="I26">
        <f t="shared" si="1"/>
        <v>125</v>
      </c>
      <c r="J26" t="str">
        <f t="array" ref="J26">IFERROR(INDEX($G$2:$G$2050,_xlfn.AGGREGATE(15,6,(ROW($G$2:$G$2050)-ROW($G$2)+1)/($G$2:$G$2050&lt;&gt;""),ROWS(J$1:J26))),"")</f>
        <v>F 1647-2 58TH AVE E</v>
      </c>
      <c r="K26">
        <f>IF(J26="","",INDEX('Assignment Tool'!E42:E2075,MATCH(FA_DATA!J26,'Assignment Tool'!D42:D2075,0)))</f>
        <v>4</v>
      </c>
    </row>
    <row r="27" spans="1:11" x14ac:dyDescent="0.25">
      <c r="A27" s="118" t="str">
        <f t="shared" si="0"/>
        <v>F 5913-2 17TH ST E</v>
      </c>
      <c r="G27" t="str">
        <f>IF('Assignment Tool'!C27="","",IF('Assignment Tool'!C27="FST",'Assignment Tool'!D27,""))</f>
        <v/>
      </c>
      <c r="H27">
        <v>27</v>
      </c>
      <c r="I27">
        <f t="shared" si="1"/>
        <v>129</v>
      </c>
      <c r="J27" t="str">
        <f t="array" ref="J27">IFERROR(INDEX($G$2:$G$2050,_xlfn.AGGREGATE(15,6,(ROW($G$2:$G$2050)-ROW($G$2)+1)/($G$2:$G$2050&lt;&gt;""),ROWS(J$1:J27))),"")</f>
        <v>F 1639-2 58TH AVE E</v>
      </c>
      <c r="K27">
        <f>IF(J27="","",INDEX('Assignment Tool'!E43:E2076,MATCH(FA_DATA!J27,'Assignment Tool'!D43:D2076,0)))</f>
        <v>4</v>
      </c>
    </row>
    <row r="28" spans="1:11" x14ac:dyDescent="0.25">
      <c r="A28" s="118" t="str">
        <f t="shared" si="0"/>
        <v>F 5913-2 17TH ST E</v>
      </c>
      <c r="G28" t="str">
        <f>IF('Assignment Tool'!C28="","",IF('Assignment Tool'!C28="FST",'Assignment Tool'!D28,""))</f>
        <v/>
      </c>
      <c r="H28">
        <v>28</v>
      </c>
      <c r="I28">
        <f t="shared" si="1"/>
        <v>133</v>
      </c>
      <c r="J28" t="str">
        <f t="array" ref="J28">IFERROR(INDEX($G$2:$G$2050,_xlfn.AGGREGATE(15,6,(ROW($G$2:$G$2050)-ROW($G$2)+1)/($G$2:$G$2050&lt;&gt;""),ROWS(J$1:J28))),"")</f>
        <v>F 1619-2 58TH AVE E</v>
      </c>
      <c r="K28">
        <f>IF(J28="","",INDEX('Assignment Tool'!E44:E2077,MATCH(FA_DATA!J28,'Assignment Tool'!D44:D2077,0)))</f>
        <v>4</v>
      </c>
    </row>
    <row r="29" spans="1:11" x14ac:dyDescent="0.25">
      <c r="A29" s="118" t="str">
        <f t="shared" si="0"/>
        <v>F 5927-2 17TH ST E</v>
      </c>
      <c r="G29" t="str">
        <f>IF('Assignment Tool'!C29="","",IF('Assignment Tool'!C29="FST",'Assignment Tool'!D29,""))</f>
        <v/>
      </c>
      <c r="H29">
        <v>29</v>
      </c>
      <c r="I29">
        <f t="shared" si="1"/>
        <v>137</v>
      </c>
      <c r="J29" t="str">
        <f t="array" ref="J29">IFERROR(INDEX($G$2:$G$2050,_xlfn.AGGREGATE(15,6,(ROW($G$2:$G$2050)-ROW($G$2)+1)/($G$2:$G$2050&lt;&gt;""),ROWS(J$1:J29))),"")</f>
        <v>F 1533-2 58TH AVE E</v>
      </c>
      <c r="K29">
        <f>IF(J29="","",INDEX('Assignment Tool'!E45:E2078,MATCH(FA_DATA!J29,'Assignment Tool'!D45:D2078,0)))</f>
        <v>4</v>
      </c>
    </row>
    <row r="30" spans="1:11" x14ac:dyDescent="0.25">
      <c r="A30" s="118" t="str">
        <f t="shared" si="0"/>
        <v>F 5927-2 17TH ST E</v>
      </c>
      <c r="G30" t="str">
        <f>IF('Assignment Tool'!C30="","",IF('Assignment Tool'!C30="FST",'Assignment Tool'!D30,""))</f>
        <v/>
      </c>
      <c r="H30">
        <v>30</v>
      </c>
      <c r="I30">
        <f t="shared" si="1"/>
        <v>141</v>
      </c>
      <c r="J30" t="str">
        <f t="array" ref="J30">IFERROR(INDEX($G$2:$G$2050,_xlfn.AGGREGATE(15,6,(ROW($G$2:$G$2050)-ROW($G$2)+1)/($G$2:$G$2050&lt;&gt;""),ROWS(J$1:J30))),"")</f>
        <v>F 5703-2 17TH ST E</v>
      </c>
      <c r="K30">
        <f>IF(J30="","",INDEX('Assignment Tool'!E46:E2079,MATCH(FA_DATA!J30,'Assignment Tool'!D46:D2079,0)))</f>
        <v>4</v>
      </c>
    </row>
    <row r="31" spans="1:11" x14ac:dyDescent="0.25">
      <c r="A31" s="118" t="str">
        <f t="shared" si="0"/>
        <v>F 5927-2 17TH ST E</v>
      </c>
      <c r="G31" t="str">
        <f>IF('Assignment Tool'!C31="","",IF('Assignment Tool'!C31="FST",'Assignment Tool'!D31,""))</f>
        <v/>
      </c>
      <c r="H31">
        <v>31</v>
      </c>
      <c r="I31">
        <f t="shared" si="1"/>
        <v>145</v>
      </c>
      <c r="J31" t="str">
        <f t="array" ref="J31">IFERROR(INDEX($G$2:$G$2050,_xlfn.AGGREGATE(15,6,(ROW($G$2:$G$2050)-ROW($G$2)+1)/($G$2:$G$2050&lt;&gt;""),ROWS(J$1:J31))),"")</f>
        <v>F 1649-2 57TH AVE E</v>
      </c>
      <c r="K31">
        <f>IF(J31="","",INDEX('Assignment Tool'!E47:E2080,MATCH(FA_DATA!J31,'Assignment Tool'!D47:D2080,0)))</f>
        <v>4</v>
      </c>
    </row>
    <row r="32" spans="1:11" x14ac:dyDescent="0.25">
      <c r="A32" s="118" t="str">
        <f t="shared" si="0"/>
        <v>F 5927-2 17TH ST E</v>
      </c>
      <c r="G32" t="str">
        <f>IF('Assignment Tool'!C32="","",IF('Assignment Tool'!C32="FST",'Assignment Tool'!D32,""))</f>
        <v/>
      </c>
      <c r="H32">
        <v>32</v>
      </c>
      <c r="I32">
        <f t="shared" si="1"/>
        <v>149</v>
      </c>
      <c r="J32" t="str">
        <f t="array" ref="J32">IFERROR(INDEX($G$2:$G$2050,_xlfn.AGGREGATE(15,6,(ROW($G$2:$G$2050)-ROW($G$2)+1)/($G$2:$G$2050&lt;&gt;""),ROWS(J$1:J32))),"")</f>
        <v>OPP 1640-2 57TH AVE E</v>
      </c>
      <c r="K32">
        <f>IF(J32="","",INDEX('Assignment Tool'!E48:E2081,MATCH(FA_DATA!J32,'Assignment Tool'!D48:D2081,0)))</f>
        <v>8</v>
      </c>
    </row>
    <row r="33" spans="1:11" x14ac:dyDescent="0.25">
      <c r="A33" s="118" t="str">
        <f t="shared" si="0"/>
        <v>F 1651-2 60TH AV E</v>
      </c>
      <c r="G33" t="str">
        <f>IF('Assignment Tool'!C33="","",IF('Assignment Tool'!C33="FST",'Assignment Tool'!D33,""))</f>
        <v/>
      </c>
      <c r="H33">
        <v>33</v>
      </c>
      <c r="I33">
        <f t="shared" si="1"/>
        <v>157</v>
      </c>
      <c r="J33" t="str">
        <f t="array" ref="J33">IFERROR(INDEX($G$2:$G$2050,_xlfn.AGGREGATE(15,6,(ROW($G$2:$G$2050)-ROW($G$2)+1)/($G$2:$G$2050&lt;&gt;""),ROWS(J$1:J33))),"")</f>
        <v>F 1607-2 57TH AVE E</v>
      </c>
      <c r="K33">
        <f>IF(J33="","",INDEX('Assignment Tool'!E49:E2082,MATCH(FA_DATA!J33,'Assignment Tool'!D49:D2082,0)))</f>
        <v>4</v>
      </c>
    </row>
    <row r="34" spans="1:11" x14ac:dyDescent="0.25">
      <c r="A34" s="118" t="str">
        <f t="shared" si="0"/>
        <v>F 1651-2 60TH AV E</v>
      </c>
      <c r="G34" t="str">
        <f>IF('Assignment Tool'!C34="","",IF('Assignment Tool'!C34="FST",'Assignment Tool'!D34,""))</f>
        <v/>
      </c>
      <c r="H34">
        <v>34</v>
      </c>
      <c r="I34">
        <f t="shared" si="1"/>
        <v>161</v>
      </c>
      <c r="J34" t="str">
        <f t="array" ref="J34">IFERROR(INDEX($G$2:$G$2050,_xlfn.AGGREGATE(15,6,(ROW($G$2:$G$2050)-ROW($G$2)+1)/($G$2:$G$2050&lt;&gt;""),ROWS(J$1:J34))),"")</f>
        <v>F 1530-2 57TH AVE E</v>
      </c>
      <c r="K34">
        <f>IF(J34="","",INDEX('Assignment Tool'!E50:E2083,MATCH(FA_DATA!J34,'Assignment Tool'!D50:D2083,0)))</f>
        <v>4</v>
      </c>
    </row>
    <row r="35" spans="1:11" x14ac:dyDescent="0.25">
      <c r="A35" s="118" t="str">
        <f t="shared" si="0"/>
        <v>F 1651-2 60TH AV E</v>
      </c>
      <c r="G35" t="str">
        <f>IF('Assignment Tool'!C35="","",IF('Assignment Tool'!C35="FST",'Assignment Tool'!D35,""))</f>
        <v/>
      </c>
      <c r="H35">
        <v>35</v>
      </c>
      <c r="I35">
        <f t="shared" si="1"/>
        <v>165</v>
      </c>
      <c r="J35" t="str">
        <f t="array" ref="J35">IFERROR(INDEX($G$2:$G$2050,_xlfn.AGGREGATE(15,6,(ROW($G$2:$G$2050)-ROW($G$2)+1)/($G$2:$G$2050&lt;&gt;""),ROWS(J$1:J35))),"")</f>
        <v>F 1605-2 56TH E AVE</v>
      </c>
      <c r="K35">
        <f>IF(J35="","",INDEX('Assignment Tool'!E51:E2084,MATCH(FA_DATA!J35,'Assignment Tool'!D51:D2084,0)))</f>
        <v>4</v>
      </c>
    </row>
    <row r="36" spans="1:11" x14ac:dyDescent="0.25">
      <c r="A36" s="118" t="str">
        <f t="shared" si="0"/>
        <v>F 1651-2 60TH AV E</v>
      </c>
      <c r="G36" t="str">
        <f>IF('Assignment Tool'!C36="","",IF('Assignment Tool'!C36="FST",'Assignment Tool'!D36,""))</f>
        <v/>
      </c>
      <c r="H36">
        <v>36</v>
      </c>
      <c r="I36">
        <f t="shared" si="1"/>
        <v>169</v>
      </c>
      <c r="J36" t="str">
        <f t="array" ref="J36">IFERROR(INDEX($G$2:$G$2050,_xlfn.AGGREGATE(15,6,(ROW($G$2:$G$2050)-ROW($G$2)+1)/($G$2:$G$2050&lt;&gt;""),ROWS(J$1:J36))),"")</f>
        <v>F 1619-2 56TH E AVE</v>
      </c>
      <c r="K36">
        <f>IF(J36="","",INDEX('Assignment Tool'!E52:E2085,MATCH(FA_DATA!J36,'Assignment Tool'!D52:D2085,0)))</f>
        <v>4</v>
      </c>
    </row>
    <row r="37" spans="1:11" x14ac:dyDescent="0.25">
      <c r="A37" s="118" t="str">
        <f t="shared" si="0"/>
        <v>F 1651-2 60TH AV E</v>
      </c>
      <c r="G37" t="str">
        <f>IF('Assignment Tool'!C37="","",IF('Assignment Tool'!C37="FST",'Assignment Tool'!D37,""))</f>
        <v/>
      </c>
      <c r="H37">
        <v>37</v>
      </c>
      <c r="I37">
        <f t="shared" si="1"/>
        <v>173</v>
      </c>
      <c r="J37" t="str">
        <f t="array" ref="J37">IFERROR(INDEX($G$2:$G$2050,_xlfn.AGGREGATE(15,6,(ROW($G$2:$G$2050)-ROW($G$2)+1)/($G$2:$G$2050&lt;&gt;""),ROWS(J$1:J37))),"")</f>
        <v>F 1623-2 56TH E AVE</v>
      </c>
      <c r="K37">
        <f>IF(J37="","",INDEX('Assignment Tool'!E53:E2086,MATCH(FA_DATA!J37,'Assignment Tool'!D53:D2086,0)))</f>
        <v>4</v>
      </c>
    </row>
    <row r="38" spans="1:11" x14ac:dyDescent="0.25">
      <c r="A38" s="118" t="str">
        <f t="shared" si="0"/>
        <v>F 1651-2 60TH AV E</v>
      </c>
      <c r="G38" t="str">
        <f>IF('Assignment Tool'!C38="","",IF('Assignment Tool'!C38="FST",'Assignment Tool'!D38,""))</f>
        <v/>
      </c>
      <c r="H38">
        <v>38</v>
      </c>
      <c r="I38">
        <f t="shared" si="1"/>
        <v>177</v>
      </c>
      <c r="J38" t="str">
        <f t="array" ref="J38">IFERROR(INDEX($G$2:$G$2050,_xlfn.AGGREGATE(15,6,(ROW($G$2:$G$2050)-ROW($G$2)+1)/($G$2:$G$2050&lt;&gt;""),ROWS(J$1:J38))),"")</f>
        <v>F 1725-2 56TH AVE E</v>
      </c>
      <c r="K38">
        <f>IF(J38="","",INDEX('Assignment Tool'!E54:E2087,MATCH(FA_DATA!J38,'Assignment Tool'!D54:D2087,0)))</f>
        <v>4</v>
      </c>
    </row>
    <row r="39" spans="1:11" x14ac:dyDescent="0.25">
      <c r="A39" s="118" t="str">
        <f t="shared" si="0"/>
        <v>F 1651-2 60TH AV E</v>
      </c>
      <c r="G39" t="str">
        <f>IF('Assignment Tool'!C39="","",IF('Assignment Tool'!C39="FST",'Assignment Tool'!D39,""))</f>
        <v/>
      </c>
      <c r="H39">
        <v>39</v>
      </c>
      <c r="I39">
        <f t="shared" si="1"/>
        <v>181</v>
      </c>
      <c r="J39" t="str">
        <f t="array" ref="J39">IFERROR(INDEX($G$2:$G$2050,_xlfn.AGGREGATE(15,6,(ROW($G$2:$G$2050)-ROW($G$2)+1)/($G$2:$G$2050&lt;&gt;""),ROWS(J$1:J39))),"")</f>
        <v>F 1735-2 56TH AVE E</v>
      </c>
      <c r="K39">
        <f>IF(J39="","",INDEX('Assignment Tool'!E55:E2088,MATCH(FA_DATA!J39,'Assignment Tool'!D55:D2088,0)))</f>
        <v>4</v>
      </c>
    </row>
    <row r="40" spans="1:11" x14ac:dyDescent="0.25">
      <c r="A40" s="118" t="str">
        <f t="shared" si="0"/>
        <v>F 1651-2 60TH AV E</v>
      </c>
      <c r="G40" t="str">
        <f>IF('Assignment Tool'!C40="","",IF('Assignment Tool'!C40="FST",'Assignment Tool'!D40,""))</f>
        <v/>
      </c>
      <c r="H40">
        <v>40</v>
      </c>
      <c r="I40">
        <f t="shared" si="1"/>
        <v>185</v>
      </c>
      <c r="J40" t="str">
        <f t="array" ref="J40">IFERROR(INDEX($G$2:$G$2050,_xlfn.AGGREGATE(15,6,(ROW($G$2:$G$2050)-ROW($G$2)+1)/($G$2:$G$2050&lt;&gt;""),ROWS(J$1:J40))),"")</f>
        <v>F 5506-1 19TH ST E</v>
      </c>
      <c r="K40">
        <f>IF(J40="","",INDEX('Assignment Tool'!E56:E2089,MATCH(FA_DATA!J40,'Assignment Tool'!D56:D2089,0)))</f>
        <v>4</v>
      </c>
    </row>
    <row r="41" spans="1:11" x14ac:dyDescent="0.25">
      <c r="A41" s="118" t="str">
        <f t="shared" si="0"/>
        <v>F 1635-2 60TH AV E</v>
      </c>
      <c r="G41" t="str">
        <f>IF('Assignment Tool'!C41="","",IF('Assignment Tool'!C41="FST",'Assignment Tool'!D41,""))</f>
        <v/>
      </c>
      <c r="H41">
        <v>41</v>
      </c>
      <c r="I41">
        <f t="shared" si="1"/>
        <v>189</v>
      </c>
      <c r="J41" t="str">
        <f t="array" ref="J41">IFERROR(INDEX($G$2:$G$2050,_xlfn.AGGREGATE(15,6,(ROW($G$2:$G$2050)-ROW($G$2)+1)/($G$2:$G$2050&lt;&gt;""),ROWS(J$1:J41))),"")</f>
        <v>F 1718-2 54TH CT E</v>
      </c>
      <c r="K41">
        <f>IF(J41="","",INDEX('Assignment Tool'!E57:E2090,MATCH(FA_DATA!J41,'Assignment Tool'!D57:D2090,0)))</f>
        <v>8</v>
      </c>
    </row>
    <row r="42" spans="1:11" x14ac:dyDescent="0.25">
      <c r="A42" s="118" t="str">
        <f t="shared" si="0"/>
        <v>F 1635-2 60TH AV E</v>
      </c>
      <c r="G42" t="str">
        <f>IF('Assignment Tool'!C42="","",IF('Assignment Tool'!C42="FST",'Assignment Tool'!D42,""))</f>
        <v/>
      </c>
      <c r="H42">
        <v>42</v>
      </c>
      <c r="I42">
        <f t="shared" si="1"/>
        <v>197</v>
      </c>
      <c r="J42" t="str">
        <f t="array" ref="J42">IFERROR(INDEX($G$2:$G$2050,_xlfn.AGGREGATE(15,6,(ROW($G$2:$G$2050)-ROW($G$2)+1)/($G$2:$G$2050&lt;&gt;""),ROWS(J$1:J42))),"")</f>
        <v>F 1706-2 54TH CT E</v>
      </c>
      <c r="K42">
        <f>IF(J42="","",INDEX('Assignment Tool'!E58:E2091,MATCH(FA_DATA!J42,'Assignment Tool'!D58:D2091,0)))</f>
        <v>4</v>
      </c>
    </row>
    <row r="43" spans="1:11" x14ac:dyDescent="0.25">
      <c r="A43" s="118" t="str">
        <f t="shared" si="0"/>
        <v>F 1635-2 60TH AV E</v>
      </c>
      <c r="G43" t="str">
        <f>IF('Assignment Tool'!C43="","",IF('Assignment Tool'!C43="FST",'Assignment Tool'!D43,""))</f>
        <v/>
      </c>
      <c r="H43">
        <v>43</v>
      </c>
      <c r="I43">
        <f t="shared" si="1"/>
        <v>201</v>
      </c>
      <c r="J43" t="str">
        <f t="array" ref="J43">IFERROR(INDEX($G$2:$G$2050,_xlfn.AGGREGATE(15,6,(ROW($G$2:$G$2050)-ROW($G$2)+1)/($G$2:$G$2050&lt;&gt;""),ROWS(J$1:J43))),"")</f>
        <v>F 5418-2 17TH ST E</v>
      </c>
      <c r="K43">
        <f>IF(J43="","",INDEX('Assignment Tool'!E59:E2092,MATCH(FA_DATA!J43,'Assignment Tool'!D59:D2092,0)))</f>
        <v>4</v>
      </c>
    </row>
    <row r="44" spans="1:11" x14ac:dyDescent="0.25">
      <c r="A44" s="118" t="str">
        <f t="shared" si="0"/>
        <v>F 1635-2 60TH AV E</v>
      </c>
      <c r="G44" t="str">
        <f>IF('Assignment Tool'!C44="","",IF('Assignment Tool'!C44="FST",'Assignment Tool'!D44,""))</f>
        <v/>
      </c>
      <c r="H44">
        <v>44</v>
      </c>
      <c r="I44">
        <f t="shared" si="1"/>
        <v>205</v>
      </c>
      <c r="J44" t="str">
        <f t="array" ref="J44">IFERROR(INDEX($G$2:$G$2050,_xlfn.AGGREGATE(15,6,(ROW($G$2:$G$2050)-ROW($G$2)+1)/($G$2:$G$2050&lt;&gt;""),ROWS(J$1:J44))),"")</f>
        <v>F 5430-2 17TH ST E</v>
      </c>
      <c r="K44">
        <f>IF(J44="","",INDEX('Assignment Tool'!E60:E2093,MATCH(FA_DATA!J44,'Assignment Tool'!D60:D2093,0)))</f>
        <v>4</v>
      </c>
    </row>
    <row r="45" spans="1:11" x14ac:dyDescent="0.25">
      <c r="A45" s="118" t="str">
        <f t="shared" si="0"/>
        <v>F 1621-2 60TH AV E</v>
      </c>
      <c r="G45" t="str">
        <f>IF('Assignment Tool'!C45="","",IF('Assignment Tool'!C45="FST",'Assignment Tool'!D45,""))</f>
        <v/>
      </c>
      <c r="H45">
        <v>45</v>
      </c>
      <c r="I45">
        <f t="shared" si="1"/>
        <v>209</v>
      </c>
      <c r="J45" t="str">
        <f t="array" ref="J45">IFERROR(INDEX($G$2:$G$2050,_xlfn.AGGREGATE(15,6,(ROW($G$2:$G$2050)-ROW($G$2)+1)/($G$2:$G$2050&lt;&gt;""),ROWS(J$1:J45))),"")</f>
        <v>F 5506-2 17TH ST E</v>
      </c>
      <c r="K45">
        <f>IF(J45="","",INDEX('Assignment Tool'!E61:E2094,MATCH(FA_DATA!J45,'Assignment Tool'!D61:D2094,0)))</f>
        <v>4</v>
      </c>
    </row>
    <row r="46" spans="1:11" x14ac:dyDescent="0.25">
      <c r="A46" s="118" t="str">
        <f t="shared" si="0"/>
        <v>F 1621-2 60TH AV E</v>
      </c>
      <c r="G46" t="str">
        <f>IF('Assignment Tool'!C46="","",IF('Assignment Tool'!C46="FST",'Assignment Tool'!D46,""))</f>
        <v/>
      </c>
      <c r="H46">
        <v>46</v>
      </c>
      <c r="I46">
        <f t="shared" si="1"/>
        <v>213</v>
      </c>
      <c r="J46" t="str">
        <f t="array" ref="J46">IFERROR(INDEX($G$2:$G$2050,_xlfn.AGGREGATE(15,6,(ROW($G$2:$G$2050)-ROW($G$2)+1)/($G$2:$G$2050&lt;&gt;""),ROWS(J$1:J46))),"")</f>
        <v>F 1603-2 55TH E CT</v>
      </c>
      <c r="K46">
        <f>IF(J46="","",INDEX('Assignment Tool'!E62:E2095,MATCH(FA_DATA!J46,'Assignment Tool'!D62:D2095,0)))</f>
        <v>4</v>
      </c>
    </row>
    <row r="47" spans="1:11" x14ac:dyDescent="0.25">
      <c r="A47" s="118" t="str">
        <f t="shared" si="0"/>
        <v>F 1621-2 60TH AV E</v>
      </c>
      <c r="G47" t="str">
        <f>IF('Assignment Tool'!C47="","",IF('Assignment Tool'!C47="FST",'Assignment Tool'!D47,""))</f>
        <v/>
      </c>
      <c r="H47">
        <v>47</v>
      </c>
      <c r="I47">
        <f t="shared" si="1"/>
        <v>217</v>
      </c>
      <c r="J47" t="str">
        <f t="array" ref="J47">IFERROR(INDEX($G$2:$G$2050,_xlfn.AGGREGATE(15,6,(ROW($G$2:$G$2050)-ROW($G$2)+1)/($G$2:$G$2050&lt;&gt;""),ROWS(J$1:J47))),"")</f>
        <v>F 1523-2 56TH E AV</v>
      </c>
      <c r="K47">
        <f>IF(J47="","",INDEX('Assignment Tool'!E63:E2096,MATCH(FA_DATA!J47,'Assignment Tool'!D63:D2096,0)))</f>
        <v>8</v>
      </c>
    </row>
    <row r="48" spans="1:11" x14ac:dyDescent="0.25">
      <c r="A48" s="118" t="str">
        <f t="shared" si="0"/>
        <v>F 1621-2 60TH AV E</v>
      </c>
      <c r="G48" t="str">
        <f>IF('Assignment Tool'!C48="","",IF('Assignment Tool'!C48="FST",'Assignment Tool'!D48,""))</f>
        <v/>
      </c>
      <c r="H48">
        <v>48</v>
      </c>
      <c r="I48">
        <f t="shared" si="1"/>
        <v>225</v>
      </c>
      <c r="J48" t="str">
        <f t="array" ref="J48">IFERROR(INDEX($G$2:$G$2050,_xlfn.AGGREGATE(15,6,(ROW($G$2:$G$2050)-ROW($G$2)+1)/($G$2:$G$2050&lt;&gt;""),ROWS(J$1:J48))),"")</f>
        <v>F 1500-2 56TH E AV</v>
      </c>
      <c r="K48">
        <f>IF(J48="","",INDEX('Assignment Tool'!E64:E2097,MATCH(FA_DATA!J48,'Assignment Tool'!D64:D2097,0)))</f>
        <v>12</v>
      </c>
    </row>
    <row r="49" spans="1:11" x14ac:dyDescent="0.25">
      <c r="A49" s="118" t="str">
        <f t="shared" si="0"/>
        <v>F 1607-2 60TH AV E</v>
      </c>
      <c r="G49" t="str">
        <f>IF('Assignment Tool'!C49="","",IF('Assignment Tool'!C49="FST",'Assignment Tool'!D49,""))</f>
        <v/>
      </c>
      <c r="H49">
        <v>49</v>
      </c>
      <c r="I49">
        <f t="shared" si="1"/>
        <v>237</v>
      </c>
      <c r="J49" t="str">
        <f t="array" ref="J49">IFERROR(INDEX($G$2:$G$2050,_xlfn.AGGREGATE(15,6,(ROW($G$2:$G$2050)-ROW($G$2)+1)/($G$2:$G$2050&lt;&gt;""),ROWS(J$1:J49))),"")</f>
        <v>F 5526-2 17TH ST E</v>
      </c>
      <c r="K49">
        <f>IF(J49="","",INDEX('Assignment Tool'!E65:E2098,MATCH(FA_DATA!J49,'Assignment Tool'!D65:D2098,0)))</f>
        <v>12</v>
      </c>
    </row>
    <row r="50" spans="1:11" x14ac:dyDescent="0.25">
      <c r="A50" s="118" t="str">
        <f t="shared" si="0"/>
        <v>F 1607-2 60TH AV E</v>
      </c>
      <c r="G50" t="str">
        <f>IF('Assignment Tool'!C50="","",IF('Assignment Tool'!C50="FST",'Assignment Tool'!D50,""))</f>
        <v/>
      </c>
      <c r="H50">
        <v>50</v>
      </c>
      <c r="I50">
        <f t="shared" si="1"/>
        <v>249</v>
      </c>
      <c r="J50" t="str">
        <f t="array" ref="J50">IFERROR(INDEX($G$2:$G$2050,_xlfn.AGGREGATE(15,6,(ROW($G$2:$G$2050)-ROW($G$2)+1)/($G$2:$G$2050&lt;&gt;""),ROWS(J$1:J50))),"")</f>
        <v>F 5485-1 UNIVERSITY GARDENS DR</v>
      </c>
      <c r="K50">
        <f>IF(J50="","",INDEX('Assignment Tool'!E66:E2099,MATCH(FA_DATA!J50,'Assignment Tool'!D66:D2099,0)))</f>
        <v>4</v>
      </c>
    </row>
    <row r="51" spans="1:11" x14ac:dyDescent="0.25">
      <c r="A51" s="118" t="str">
        <f t="shared" si="0"/>
        <v>F 1607-2 60TH AV E</v>
      </c>
      <c r="G51" t="str">
        <f>IF('Assignment Tool'!C51="","",IF('Assignment Tool'!C51="FST",'Assignment Tool'!D51,""))</f>
        <v/>
      </c>
      <c r="H51">
        <v>51</v>
      </c>
      <c r="I51">
        <f t="shared" si="1"/>
        <v>253</v>
      </c>
      <c r="J51" t="str">
        <f t="array" ref="J51">IFERROR(INDEX($G$2:$G$2050,_xlfn.AGGREGATE(15,6,(ROW($G$2:$G$2050)-ROW($G$2)+1)/($G$2:$G$2050&lt;&gt;""),ROWS(J$1:J51))),"")</f>
        <v>F 5465-1 UNIVERSITY GARDENS DR</v>
      </c>
      <c r="K51">
        <f>IF(J51="","",INDEX('Assignment Tool'!E67:E2100,MATCH(FA_DATA!J51,'Assignment Tool'!D67:D2100,0)))</f>
        <v>4</v>
      </c>
    </row>
    <row r="52" spans="1:11" x14ac:dyDescent="0.25">
      <c r="A52" s="118" t="str">
        <f t="shared" si="0"/>
        <v>F 1607-2 60TH AV E</v>
      </c>
      <c r="G52" t="str">
        <f>IF('Assignment Tool'!C52="","",IF('Assignment Tool'!C52="FST",'Assignment Tool'!D52,""))</f>
        <v/>
      </c>
      <c r="H52">
        <v>52</v>
      </c>
      <c r="I52">
        <f t="shared" si="1"/>
        <v>257</v>
      </c>
      <c r="J52" t="str">
        <f t="array" ref="J52">IFERROR(INDEX($G$2:$G$2050,_xlfn.AGGREGATE(15,6,(ROW($G$2:$G$2050)-ROW($G$2)+1)/($G$2:$G$2050&lt;&gt;""),ROWS(J$1:J52))),"")</f>
        <v>F 5435-1 UNIVERSITY GARDENS DR</v>
      </c>
      <c r="K52">
        <f>IF(J52="","",INDEX('Assignment Tool'!E68:E2101,MATCH(FA_DATA!J52,'Assignment Tool'!D68:D2101,0)))</f>
        <v>4</v>
      </c>
    </row>
    <row r="53" spans="1:11" x14ac:dyDescent="0.25">
      <c r="A53" s="118" t="str">
        <f t="shared" si="0"/>
        <v>F 1529-2 60TH AV E</v>
      </c>
      <c r="G53" t="str">
        <f>IF('Assignment Tool'!C53="","",IF('Assignment Tool'!C53="FST",'Assignment Tool'!D53,""))</f>
        <v/>
      </c>
      <c r="H53">
        <v>53</v>
      </c>
      <c r="I53">
        <f t="shared" si="1"/>
        <v>261</v>
      </c>
      <c r="J53" t="str">
        <f t="array" ref="J53">IFERROR(INDEX($G$2:$G$2050,_xlfn.AGGREGATE(15,6,(ROW($G$2:$G$2050)-ROW($G$2)+1)/($G$2:$G$2050&lt;&gt;""),ROWS(J$1:J53))),"")</f>
        <v>F 5415-1 UNIVERSITY GARDENS DR</v>
      </c>
      <c r="K53">
        <f>IF(J53="","",INDEX('Assignment Tool'!E69:E2102,MATCH(FA_DATA!J53,'Assignment Tool'!D69:D2102,0)))</f>
        <v>4</v>
      </c>
    </row>
    <row r="54" spans="1:11" x14ac:dyDescent="0.25">
      <c r="A54" s="118" t="str">
        <f t="shared" si="0"/>
        <v>F 1529-2 60TH AV E</v>
      </c>
      <c r="G54" t="str">
        <f>IF('Assignment Tool'!C54="","",IF('Assignment Tool'!C54="FST",'Assignment Tool'!D54,""))</f>
        <v/>
      </c>
      <c r="H54">
        <v>54</v>
      </c>
      <c r="I54">
        <f t="shared" si="1"/>
        <v>265</v>
      </c>
      <c r="J54" t="str">
        <f t="array" ref="J54">IFERROR(INDEX($G$2:$G$2050,_xlfn.AGGREGATE(15,6,(ROW($G$2:$G$2050)-ROW($G$2)+1)/($G$2:$G$2050&lt;&gt;""),ROWS(J$1:J54))),"")</f>
        <v>F 5385-1 UNIVERSITY GARDENS DR</v>
      </c>
      <c r="K54">
        <f>IF(J54="","",INDEX('Assignment Tool'!E70:E2103,MATCH(FA_DATA!J54,'Assignment Tool'!D70:D2103,0)))</f>
        <v>4</v>
      </c>
    </row>
    <row r="55" spans="1:11" x14ac:dyDescent="0.25">
      <c r="A55" s="118" t="str">
        <f t="shared" si="0"/>
        <v>F 1529-2 60TH AV E</v>
      </c>
      <c r="G55" t="str">
        <f>IF('Assignment Tool'!C55="","",IF('Assignment Tool'!C55="FST",'Assignment Tool'!D55,""))</f>
        <v/>
      </c>
      <c r="H55">
        <v>55</v>
      </c>
      <c r="I55">
        <f t="shared" si="1"/>
        <v>269</v>
      </c>
      <c r="J55" t="str">
        <f t="array" ref="J55">IFERROR(INDEX($G$2:$G$2050,_xlfn.AGGREGATE(15,6,(ROW($G$2:$G$2050)-ROW($G$2)+1)/($G$2:$G$2050&lt;&gt;""),ROWS(J$1:J55))),"")</f>
        <v>F 5365-1 UNIVERSITY GARDENS DR</v>
      </c>
      <c r="K55">
        <f>IF(J55="","",INDEX('Assignment Tool'!E71:E2104,MATCH(FA_DATA!J55,'Assignment Tool'!D71:D2104,0)))</f>
        <v>4</v>
      </c>
    </row>
    <row r="56" spans="1:11" x14ac:dyDescent="0.25">
      <c r="A56" s="118" t="str">
        <f t="shared" si="0"/>
        <v>F 1529-2 60TH AV E</v>
      </c>
      <c r="G56" t="str">
        <f>IF('Assignment Tool'!C56="","",IF('Assignment Tool'!C56="FST",'Assignment Tool'!D56,""))</f>
        <v/>
      </c>
      <c r="H56">
        <v>56</v>
      </c>
      <c r="I56">
        <f t="shared" si="1"/>
        <v>273</v>
      </c>
      <c r="J56" t="str">
        <f t="array" ref="J56">IFERROR(INDEX($G$2:$G$2050,_xlfn.AGGREGATE(15,6,(ROW($G$2:$G$2050)-ROW($G$2)+1)/($G$2:$G$2050&lt;&gt;""),ROWS(J$1:J56))),"")</f>
        <v>F 5345-1 UNIVERSITY GARDENS DR</v>
      </c>
      <c r="K56">
        <f>IF(J56="","",INDEX('Assignment Tool'!E72:E2105,MATCH(FA_DATA!J56,'Assignment Tool'!D72:D2105,0)))</f>
        <v>4</v>
      </c>
    </row>
    <row r="57" spans="1:11" x14ac:dyDescent="0.25">
      <c r="A57" s="118" t="str">
        <f t="shared" si="0"/>
        <v>F 1529-2 60TH AV E</v>
      </c>
      <c r="G57" t="str">
        <f>IF('Assignment Tool'!C57="","",IF('Assignment Tool'!C57="FST",'Assignment Tool'!D57,""))</f>
        <v/>
      </c>
      <c r="H57">
        <v>57</v>
      </c>
      <c r="I57">
        <f t="shared" si="1"/>
        <v>277</v>
      </c>
      <c r="J57" t="str">
        <f t="array" ref="J57">IFERROR(INDEX($G$2:$G$2050,_xlfn.AGGREGATE(15,6,(ROW($G$2:$G$2050)-ROW($G$2)+1)/($G$2:$G$2050&lt;&gt;""),ROWS(J$1:J57))),"")</f>
        <v>F 5325-1 UNIVERSITY GARDENS DR</v>
      </c>
      <c r="K57">
        <f>IF(J57="","",INDEX('Assignment Tool'!E73:E2106,MATCH(FA_DATA!J57,'Assignment Tool'!D73:D2106,0)))</f>
        <v>4</v>
      </c>
    </row>
    <row r="58" spans="1:11" x14ac:dyDescent="0.25">
      <c r="A58" s="118" t="str">
        <f t="shared" si="0"/>
        <v>F 1529-2 60TH AV E</v>
      </c>
      <c r="G58" t="str">
        <f>IF('Assignment Tool'!C58="","",IF('Assignment Tool'!C58="FST",'Assignment Tool'!D58,""))</f>
        <v>F 5424-2 18TH ST E</v>
      </c>
      <c r="H58">
        <v>58</v>
      </c>
      <c r="I58">
        <f t="shared" si="1"/>
        <v>281</v>
      </c>
      <c r="J58" t="str">
        <f t="array" ref="J58">IFERROR(INDEX($G$2:$G$2050,_xlfn.AGGREGATE(15,6,(ROW($G$2:$G$2050)-ROW($G$2)+1)/($G$2:$G$2050&lt;&gt;""),ROWS(J$1:J58))),"")</f>
        <v>F 5305-1 UNIVERSITY GARDENS DR</v>
      </c>
      <c r="K58">
        <f>IF(J58="","",INDEX('Assignment Tool'!E74:E2107,MATCH(FA_DATA!J58,'Assignment Tool'!D74:D2107,0)))</f>
        <v>4</v>
      </c>
    </row>
    <row r="59" spans="1:11" x14ac:dyDescent="0.25">
      <c r="A59" s="118" t="str">
        <f t="shared" si="0"/>
        <v>F 1529-2 60TH AV E</v>
      </c>
      <c r="G59" t="str">
        <f>IF('Assignment Tool'!C59="","",IF('Assignment Tool'!C59="FST",'Assignment Tool'!D59,""))</f>
        <v>F 5506-2 18TH ST E</v>
      </c>
      <c r="H59">
        <v>59</v>
      </c>
      <c r="I59">
        <f t="shared" si="1"/>
        <v>285</v>
      </c>
      <c r="J59" t="str">
        <f t="array" ref="J59">IFERROR(INDEX($G$2:$G$2050,_xlfn.AGGREGATE(15,6,(ROW($G$2:$G$2050)-ROW($G$2)+1)/($G$2:$G$2050&lt;&gt;""),ROWS(J$1:J59))),"")</f>
        <v>F 5275-1 UNIVERSITY GARDENS DR</v>
      </c>
      <c r="K59">
        <f>IF(J59="","",INDEX('Assignment Tool'!E75:E2108,MATCH(FA_DATA!J59,'Assignment Tool'!D75:D2108,0)))</f>
        <v>4</v>
      </c>
    </row>
    <row r="60" spans="1:11" x14ac:dyDescent="0.25">
      <c r="A60" s="118" t="str">
        <f t="shared" si="0"/>
        <v>F 1529-2 60TH AV E</v>
      </c>
      <c r="G60" t="str">
        <f>IF('Assignment Tool'!C60="","",IF('Assignment Tool'!C60="FST",'Assignment Tool'!D60,""))</f>
        <v>F 5518-2 18TH ST E</v>
      </c>
      <c r="H60">
        <v>60</v>
      </c>
      <c r="I60">
        <f t="shared" si="1"/>
        <v>289</v>
      </c>
      <c r="J60" t="str">
        <f t="array" ref="J60">IFERROR(INDEX($G$2:$G$2050,_xlfn.AGGREGATE(15,6,(ROW($G$2:$G$2050)-ROW($G$2)+1)/($G$2:$G$2050&lt;&gt;""),ROWS(J$1:J60))),"")</f>
        <v>F 5255-1 UNIVERSITY GARDENS DR</v>
      </c>
      <c r="K60">
        <f>IF(J60="","",INDEX('Assignment Tool'!E76:E2109,MATCH(FA_DATA!J60,'Assignment Tool'!D76:D2109,0)))</f>
        <v>8</v>
      </c>
    </row>
    <row r="61" spans="1:11" x14ac:dyDescent="0.25">
      <c r="A61" s="118" t="str">
        <f t="shared" si="0"/>
        <v>F 1517-2 60TH AV E</v>
      </c>
      <c r="G61" t="str">
        <f>IF('Assignment Tool'!C61="","",IF('Assignment Tool'!C61="FST",'Assignment Tool'!D61,""))</f>
        <v/>
      </c>
      <c r="H61">
        <v>61</v>
      </c>
      <c r="I61">
        <f t="shared" si="1"/>
        <v>297</v>
      </c>
      <c r="J61" t="str">
        <f t="array" ref="J61">IFERROR(INDEX($G$2:$G$2050,_xlfn.AGGREGATE(15,6,(ROW($G$2:$G$2050)-ROW($G$2)+1)/($G$2:$G$2050&lt;&gt;""),ROWS(J$1:J61))),"")</f>
        <v>F 5235-1 UNIVERSITY GARDENS DR</v>
      </c>
      <c r="K61">
        <f>IF(J61="","",INDEX('Assignment Tool'!E77:E2110,MATCH(FA_DATA!J61,'Assignment Tool'!D77:D2110,0)))</f>
        <v>4</v>
      </c>
    </row>
    <row r="62" spans="1:11" x14ac:dyDescent="0.25">
      <c r="A62" s="118" t="str">
        <f t="shared" si="0"/>
        <v>F 1517-2 60TH AV E</v>
      </c>
      <c r="G62" t="str">
        <f>IF('Assignment Tool'!C62="","",IF('Assignment Tool'!C62="FST",'Assignment Tool'!D62,""))</f>
        <v>F 1713-2 56TH AVE E</v>
      </c>
      <c r="H62">
        <v>62</v>
      </c>
      <c r="I62">
        <f t="shared" si="1"/>
        <v>301</v>
      </c>
      <c r="J62" t="str">
        <f t="array" ref="J62">IFERROR(INDEX($G$2:$G$2050,_xlfn.AGGREGATE(15,6,(ROW($G$2:$G$2050)-ROW($G$2)+1)/($G$2:$G$2050&lt;&gt;""),ROWS(J$1:J62))),"")</f>
        <v>F 5215-1 UNIVERSITY GARDENS DR</v>
      </c>
      <c r="K62">
        <f>IF(J62="","",INDEX('Assignment Tool'!E78:E2111,MATCH(FA_DATA!J62,'Assignment Tool'!D78:D2111,0)))</f>
        <v>4</v>
      </c>
    </row>
    <row r="63" spans="1:11" x14ac:dyDescent="0.25">
      <c r="A63" s="118" t="str">
        <f t="shared" si="0"/>
        <v>F 1517-2 60TH AV E</v>
      </c>
      <c r="G63" t="str">
        <f>IF('Assignment Tool'!C63="","",IF('Assignment Tool'!C63="FST",'Assignment Tool'!D63,""))</f>
        <v/>
      </c>
      <c r="H63">
        <v>63</v>
      </c>
      <c r="I63">
        <f t="shared" si="1"/>
        <v>305</v>
      </c>
      <c r="J63" t="str">
        <f t="array" ref="J63">IFERROR(INDEX($G$2:$G$2050,_xlfn.AGGREGATE(15,6,(ROW($G$2:$G$2050)-ROW($G$2)+1)/($G$2:$G$2050&lt;&gt;""),ROWS(J$1:J63))),"")</f>
        <v>F 1960-1 CRIMSON WAY</v>
      </c>
      <c r="K63">
        <f>IF(J63="","",INDEX('Assignment Tool'!E79:E2112,MATCH(FA_DATA!J63,'Assignment Tool'!D79:D2112,0)))</f>
        <v>2</v>
      </c>
    </row>
    <row r="64" spans="1:11" x14ac:dyDescent="0.25">
      <c r="A64" s="118" t="str">
        <f t="shared" si="0"/>
        <v>F 1517-2 60TH AV E</v>
      </c>
      <c r="G64" t="str">
        <f>IF('Assignment Tool'!C64="","",IF('Assignment Tool'!C64="FST",'Assignment Tool'!D64,""))</f>
        <v/>
      </c>
      <c r="H64">
        <v>64</v>
      </c>
      <c r="I64">
        <f t="shared" si="1"/>
        <v>307</v>
      </c>
      <c r="J64" t="str">
        <f t="array" ref="J64">IFERROR(INDEX($G$2:$G$2050,_xlfn.AGGREGATE(15,6,(ROW($G$2:$G$2050)-ROW($G$2)+1)/($G$2:$G$2050&lt;&gt;""),ROWS(J$1:J64))),"")</f>
        <v>F 1940-1 CRIMSON WY</v>
      </c>
      <c r="K64">
        <f>IF(J64="","",INDEX('Assignment Tool'!E80:E2113,MATCH(FA_DATA!J64,'Assignment Tool'!D80:D2113,0)))</f>
        <v>2</v>
      </c>
    </row>
    <row r="65" spans="1:11" x14ac:dyDescent="0.25">
      <c r="A65" s="118" t="str">
        <f t="shared" si="0"/>
        <v>F 5914-2 15TH ST E</v>
      </c>
      <c r="G65" t="str">
        <f>IF('Assignment Tool'!C65="","",IF('Assignment Tool'!C65="FST",'Assignment Tool'!D65,""))</f>
        <v/>
      </c>
      <c r="H65">
        <v>65</v>
      </c>
      <c r="I65">
        <f t="shared" si="1"/>
        <v>309</v>
      </c>
      <c r="J65" t="str">
        <f t="array" ref="J65">IFERROR(INDEX($G$2:$G$2050,_xlfn.AGGREGATE(15,6,(ROW($G$2:$G$2050)-ROW($G$2)+1)/($G$2:$G$2050&lt;&gt;""),ROWS(J$1:J65))),"")</f>
        <v>F 1920-1 CRIMSON WY</v>
      </c>
      <c r="K65">
        <f>IF(J65="","",INDEX('Assignment Tool'!E81:E2114,MATCH(FA_DATA!J65,'Assignment Tool'!D81:D2114,0)))</f>
        <v>2</v>
      </c>
    </row>
    <row r="66" spans="1:11" x14ac:dyDescent="0.25">
      <c r="A66" s="118" t="str">
        <f t="shared" ref="A66:A129" si="2">VLOOKUP(H66,$I$1:$J$1000,2)</f>
        <v>F 5914-2 15TH ST E</v>
      </c>
      <c r="G66" t="str">
        <f>IF('Assignment Tool'!C66="","",IF('Assignment Tool'!C66="FST",'Assignment Tool'!D66,""))</f>
        <v/>
      </c>
      <c r="H66">
        <v>66</v>
      </c>
      <c r="I66">
        <f t="shared" si="1"/>
        <v>311</v>
      </c>
      <c r="J66" t="str">
        <f t="array" ref="J66">IFERROR(INDEX($G$2:$G$2050,_xlfn.AGGREGATE(15,6,(ROW($G$2:$G$2050)-ROW($G$2)+1)/($G$2:$G$2050&lt;&gt;""),ROWS(J$1:J66))),"")</f>
        <v>F 1900-1 CRIMSON WY</v>
      </c>
      <c r="K66">
        <f>IF(J66="","",INDEX('Assignment Tool'!E82:E2115,MATCH(FA_DATA!J66,'Assignment Tool'!D82:D2115,0)))</f>
        <v>4</v>
      </c>
    </row>
    <row r="67" spans="1:11" x14ac:dyDescent="0.25">
      <c r="A67" s="118" t="str">
        <f t="shared" si="2"/>
        <v>F 5914-2 15TH ST E</v>
      </c>
      <c r="G67" t="str">
        <f>IF('Assignment Tool'!C67="","",IF('Assignment Tool'!C67="FST",'Assignment Tool'!D67,""))</f>
        <v/>
      </c>
      <c r="H67">
        <v>67</v>
      </c>
      <c r="I67">
        <f t="shared" ref="I67:I130" si="3">IFERROR((I66+K66),"")</f>
        <v>315</v>
      </c>
      <c r="J67" t="str">
        <f t="array" ref="J67">IFERROR(INDEX($G$2:$G$2050,_xlfn.AGGREGATE(15,6,(ROW($G$2:$G$2050)-ROW($G$2)+1)/($G$2:$G$2050&lt;&gt;""),ROWS(J$1:J67))),"")</f>
        <v>F 1919-1 CRIMSON WY</v>
      </c>
      <c r="K67">
        <f>IF(J67="","",INDEX('Assignment Tool'!E83:E2116,MATCH(FA_DATA!J67,'Assignment Tool'!D83:D2116,0)))</f>
        <v>4</v>
      </c>
    </row>
    <row r="68" spans="1:11" x14ac:dyDescent="0.25">
      <c r="A68" s="118" t="str">
        <f t="shared" si="2"/>
        <v>F 5914-2 15TH ST E</v>
      </c>
      <c r="G68" t="str">
        <f>IF('Assignment Tool'!C68="","",IF('Assignment Tool'!C68="FST",'Assignment Tool'!D68,""))</f>
        <v/>
      </c>
      <c r="H68">
        <v>68</v>
      </c>
      <c r="I68">
        <f t="shared" si="3"/>
        <v>319</v>
      </c>
      <c r="J68" t="str">
        <f t="array" ref="J68">IFERROR(INDEX($G$2:$G$2050,_xlfn.AGGREGATE(15,6,(ROW($G$2:$G$2050)-ROW($G$2)+1)/($G$2:$G$2050&lt;&gt;""),ROWS(J$1:J68))),"")</f>
        <v>F 1929-1 CRIMSON WY</v>
      </c>
      <c r="K68">
        <f>IF(J68="","",INDEX('Assignment Tool'!E84:E2117,MATCH(FA_DATA!J68,'Assignment Tool'!D84:D2117,0)))</f>
        <v>2</v>
      </c>
    </row>
    <row r="69" spans="1:11" x14ac:dyDescent="0.25">
      <c r="A69" s="118" t="str">
        <f t="shared" si="2"/>
        <v>F 5816-2 15TH ST E</v>
      </c>
      <c r="G69" t="str">
        <f>IF('Assignment Tool'!C69="","",IF('Assignment Tool'!C69="FST",'Assignment Tool'!D69,""))</f>
        <v/>
      </c>
      <c r="H69">
        <v>69</v>
      </c>
      <c r="I69">
        <f t="shared" si="3"/>
        <v>321</v>
      </c>
      <c r="J69" t="str">
        <f t="array" ref="J69">IFERROR(INDEX($G$2:$G$2050,_xlfn.AGGREGATE(15,6,(ROW($G$2:$G$2050)-ROW($G$2)+1)/($G$2:$G$2050&lt;&gt;""),ROWS(J$1:J69))),"")</f>
        <v>F 5521-1 UNIVERSITY BLVD E</v>
      </c>
      <c r="K69">
        <f>IF(J69="","",INDEX('Assignment Tool'!E85:E2118,MATCH(FA_DATA!J69,'Assignment Tool'!D85:D2118,0)))</f>
        <v>12</v>
      </c>
    </row>
    <row r="70" spans="1:11" x14ac:dyDescent="0.25">
      <c r="A70" s="118" t="str">
        <f t="shared" si="2"/>
        <v>F 5816-2 15TH ST E</v>
      </c>
      <c r="G70" t="str">
        <f>IF('Assignment Tool'!C70="","",IF('Assignment Tool'!C70="FST",'Assignment Tool'!D70,""))</f>
        <v/>
      </c>
      <c r="H70">
        <v>70</v>
      </c>
      <c r="I70">
        <f t="shared" si="3"/>
        <v>333</v>
      </c>
      <c r="J70" t="str">
        <f t="array" ref="J70">IFERROR(INDEX($G$2:$G$2050,_xlfn.AGGREGATE(15,6,(ROW($G$2:$G$2050)-ROW($G$2)+1)/($G$2:$G$2050&lt;&gt;""),ROWS(J$1:J70))),"")</f>
        <v>F 5541-1 UNIVERSITY BLVD E</v>
      </c>
      <c r="K70">
        <f>IF(J70="","",INDEX('Assignment Tool'!E86:E2119,MATCH(FA_DATA!J70,'Assignment Tool'!D86:D2119,0)))</f>
        <v>12</v>
      </c>
    </row>
    <row r="71" spans="1:11" x14ac:dyDescent="0.25">
      <c r="A71" s="118" t="str">
        <f t="shared" si="2"/>
        <v>F 5816-2 15TH ST E</v>
      </c>
      <c r="G71" t="str">
        <f>IF('Assignment Tool'!C71="","",IF('Assignment Tool'!C71="FST",'Assignment Tool'!D71,""))</f>
        <v/>
      </c>
      <c r="H71">
        <v>71</v>
      </c>
      <c r="I71">
        <f t="shared" si="3"/>
        <v>345</v>
      </c>
      <c r="J71" t="str">
        <f t="array" ref="J71">IFERROR(INDEX($G$2:$G$2050,_xlfn.AGGREGATE(15,6,(ROW($G$2:$G$2050)-ROW($G$2)+1)/($G$2:$G$2050&lt;&gt;""),ROWS(J$1:J71))),"")</f>
        <v>F 5561-1 UNIVERSITY BLVD E</v>
      </c>
      <c r="K71">
        <f>IF(J71="","",INDEX('Assignment Tool'!E87:E2120,MATCH(FA_DATA!J71,'Assignment Tool'!D87:D2120,0)))</f>
        <v>12</v>
      </c>
    </row>
    <row r="72" spans="1:11" x14ac:dyDescent="0.25">
      <c r="A72" s="118" t="str">
        <f t="shared" si="2"/>
        <v>F 5816-2 15TH ST E</v>
      </c>
      <c r="G72" t="str">
        <f>IF('Assignment Tool'!C72="","",IF('Assignment Tool'!C72="FST",'Assignment Tool'!D72,""))</f>
        <v/>
      </c>
      <c r="H72">
        <v>72</v>
      </c>
      <c r="I72">
        <f t="shared" si="3"/>
        <v>357</v>
      </c>
      <c r="J72" t="str">
        <f t="array" ref="J72">IFERROR(INDEX($G$2:$G$2050,_xlfn.AGGREGATE(15,6,(ROW($G$2:$G$2050)-ROW($G$2)+1)/($G$2:$G$2050&lt;&gt;""),ROWS(J$1:J72))),"")</f>
        <v>F 5625-1 UNIVERSITY BLVD E</v>
      </c>
      <c r="K72">
        <f>IF(J72="","",INDEX('Assignment Tool'!E88:E2121,MATCH(FA_DATA!J72,'Assignment Tool'!D88:D2121,0)))</f>
        <v>12</v>
      </c>
    </row>
    <row r="73" spans="1:11" x14ac:dyDescent="0.25">
      <c r="A73" s="118" t="str">
        <f t="shared" si="2"/>
        <v>F 1709-2 59TH AV E</v>
      </c>
      <c r="G73" t="str">
        <f>IF('Assignment Tool'!C73="","",IF('Assignment Tool'!C73="FST",'Assignment Tool'!D73,""))</f>
        <v/>
      </c>
      <c r="H73">
        <v>73</v>
      </c>
      <c r="I73">
        <f t="shared" si="3"/>
        <v>369</v>
      </c>
      <c r="J73" t="str">
        <f t="array" ref="J73">IFERROR(INDEX($G$2:$G$2050,_xlfn.AGGREGATE(15,6,(ROW($G$2:$G$2050)-ROW($G$2)+1)/($G$2:$G$2050&lt;&gt;""),ROWS(J$1:J73))),"")</f>
        <v>F 5725-1 UNIVERSITY BLVD E</v>
      </c>
      <c r="K73">
        <f>IF(J73="","",INDEX('Assignment Tool'!E89:E2122,MATCH(FA_DATA!J73,'Assignment Tool'!D89:D2122,0)))</f>
        <v>12</v>
      </c>
    </row>
    <row r="74" spans="1:11" x14ac:dyDescent="0.25">
      <c r="A74" s="118" t="str">
        <f t="shared" si="2"/>
        <v>F 1709-2 59TH AV E</v>
      </c>
      <c r="G74" t="str">
        <f>IF('Assignment Tool'!C74="","",IF('Assignment Tool'!C74="FST",'Assignment Tool'!D74,""))</f>
        <v/>
      </c>
      <c r="H74">
        <v>74</v>
      </c>
      <c r="I74">
        <f t="shared" si="3"/>
        <v>381</v>
      </c>
      <c r="J74" t="str">
        <f t="array" ref="J74">IFERROR(INDEX($G$2:$G$2050,_xlfn.AGGREGATE(15,6,(ROW($G$2:$G$2050)-ROW($G$2)+1)/($G$2:$G$2050&lt;&gt;""),ROWS(J$1:J74))),"")</f>
        <v>F 1921-1 TUSK AVE</v>
      </c>
      <c r="K74">
        <f>IF(J74="","",INDEX('Assignment Tool'!E90:E2123,MATCH(FA_DATA!J74,'Assignment Tool'!D90:D2123,0)))</f>
        <v>4</v>
      </c>
    </row>
    <row r="75" spans="1:11" x14ac:dyDescent="0.25">
      <c r="A75" s="118" t="str">
        <f t="shared" si="2"/>
        <v>F 1709-2 59TH AV E</v>
      </c>
      <c r="G75" t="str">
        <f>IF('Assignment Tool'!C75="","",IF('Assignment Tool'!C75="FST",'Assignment Tool'!D75,""))</f>
        <v/>
      </c>
      <c r="H75">
        <v>75</v>
      </c>
      <c r="I75">
        <f t="shared" si="3"/>
        <v>385</v>
      </c>
      <c r="J75" t="str">
        <f t="array" ref="J75">IFERROR(INDEX($G$2:$G$2050,_xlfn.AGGREGATE(15,6,(ROW($G$2:$G$2050)-ROW($G$2)+1)/($G$2:$G$2050&lt;&gt;""),ROWS(J$1:J75))),"")</f>
        <v>F 1900-1 TUSK AVE</v>
      </c>
      <c r="K75">
        <f>IF(J75="","",INDEX('Assignment Tool'!E91:E2124,MATCH(FA_DATA!J75,'Assignment Tool'!D91:D2124,0)))</f>
        <v>4</v>
      </c>
    </row>
    <row r="76" spans="1:11" x14ac:dyDescent="0.25">
      <c r="A76" s="118" t="str">
        <f t="shared" si="2"/>
        <v>F 1709-2 59TH AV E</v>
      </c>
      <c r="G76" t="str">
        <f>IF('Assignment Tool'!C76="","",IF('Assignment Tool'!C76="FST",'Assignment Tool'!D76,""))</f>
        <v/>
      </c>
      <c r="H76">
        <v>76</v>
      </c>
      <c r="I76">
        <f t="shared" si="3"/>
        <v>389</v>
      </c>
      <c r="J76" t="str">
        <f t="array" ref="J76">IFERROR(INDEX($G$2:$G$2050,_xlfn.AGGREGATE(15,6,(ROW($G$2:$G$2050)-ROW($G$2)+1)/($G$2:$G$2050&lt;&gt;""),ROWS(J$1:J76))),"")</f>
        <v>F 1912-1 TUSK AVE</v>
      </c>
      <c r="K76">
        <f>IF(J76="","",INDEX('Assignment Tool'!E92:E2125,MATCH(FA_DATA!J76,'Assignment Tool'!D92:D2125,0)))</f>
        <v>4</v>
      </c>
    </row>
    <row r="77" spans="1:11" x14ac:dyDescent="0.25">
      <c r="A77" s="118" t="str">
        <f t="shared" si="2"/>
        <v>F 1653-2 59TH AV E</v>
      </c>
      <c r="G77" t="str">
        <f>IF('Assignment Tool'!C77="","",IF('Assignment Tool'!C77="FST",'Assignment Tool'!D77,""))</f>
        <v/>
      </c>
      <c r="H77">
        <v>77</v>
      </c>
      <c r="I77">
        <f t="shared" si="3"/>
        <v>393</v>
      </c>
      <c r="J77" t="str">
        <f t="array" ref="J77">IFERROR(INDEX($G$2:$G$2050,_xlfn.AGGREGATE(15,6,(ROW($G$2:$G$2050)-ROW($G$2)+1)/($G$2:$G$2050&lt;&gt;""),ROWS(J$1:J77))),"")</f>
        <v>F 5721-1 UNIVERSITY BLVD E</v>
      </c>
      <c r="K77">
        <f>IF(J77="","",INDEX('Assignment Tool'!E93:E2126,MATCH(FA_DATA!J77,'Assignment Tool'!D93:D2126,0)))</f>
        <v>12</v>
      </c>
    </row>
    <row r="78" spans="1:11" x14ac:dyDescent="0.25">
      <c r="A78" s="118" t="str">
        <f t="shared" si="2"/>
        <v>F 1653-2 59TH AV E</v>
      </c>
      <c r="G78" t="str">
        <f>IF('Assignment Tool'!C78="","",IF('Assignment Tool'!C78="FST",'Assignment Tool'!D78,""))</f>
        <v/>
      </c>
      <c r="H78">
        <v>78</v>
      </c>
      <c r="I78">
        <f t="shared" si="3"/>
        <v>405</v>
      </c>
      <c r="J78" t="str">
        <f t="array" ref="J78">IFERROR(INDEX($G$2:$G$2050,_xlfn.AGGREGATE(15,6,(ROW($G$2:$G$2050)-ROW($G$2)+1)/($G$2:$G$2050&lt;&gt;""),ROWS(J$1:J78))),"")</f>
        <v>F 5632-1 UNIVERSITY BLVD E</v>
      </c>
      <c r="K78">
        <f>IF(J78="","",INDEX('Assignment Tool'!E94:E2127,MATCH(FA_DATA!J78,'Assignment Tool'!D94:D2127,0)))</f>
        <v>12</v>
      </c>
    </row>
    <row r="79" spans="1:11" x14ac:dyDescent="0.25">
      <c r="A79" s="118" t="str">
        <f t="shared" si="2"/>
        <v>F 1653-2 59TH AV E</v>
      </c>
      <c r="G79" t="str">
        <f>IF('Assignment Tool'!C79="","",IF('Assignment Tool'!C79="FST",'Assignment Tool'!D79,""))</f>
        <v/>
      </c>
      <c r="H79">
        <v>79</v>
      </c>
      <c r="I79">
        <f t="shared" si="3"/>
        <v>417</v>
      </c>
      <c r="J79" t="str">
        <f t="array" ref="J79">IFERROR(INDEX($G$2:$G$2050,_xlfn.AGGREGATE(15,6,(ROW($G$2:$G$2050)-ROW($G$2)+1)/($G$2:$G$2050&lt;&gt;""),ROWS(J$1:J79))),"")</f>
        <v>F 5626-1 UNIVERSITY BLVD E</v>
      </c>
      <c r="K79">
        <f>IF(J79="","",INDEX('Assignment Tool'!E95:E2128,MATCH(FA_DATA!J79,'Assignment Tool'!D95:D2128,0)))</f>
        <v>12</v>
      </c>
    </row>
    <row r="80" spans="1:11" x14ac:dyDescent="0.25">
      <c r="A80" s="118" t="str">
        <f t="shared" si="2"/>
        <v>F 1653-2 59TH AV E</v>
      </c>
      <c r="G80" t="str">
        <f>IF('Assignment Tool'!C80="","",IF('Assignment Tool'!C80="FST",'Assignment Tool'!D80,""))</f>
        <v/>
      </c>
      <c r="H80">
        <v>80</v>
      </c>
      <c r="I80">
        <f t="shared" si="3"/>
        <v>429</v>
      </c>
      <c r="J80" t="str">
        <f t="array" ref="J80">IFERROR(INDEX($G$2:$G$2050,_xlfn.AGGREGATE(15,6,(ROW($G$2:$G$2050)-ROW($G$2)+1)/($G$2:$G$2050&lt;&gt;""),ROWS(J$1:J80))),"")</f>
        <v>F 6018-2 18TH ST E</v>
      </c>
      <c r="K80">
        <f>IF(J80="","",INDEX('Assignment Tool'!E96:E2129,MATCH(FA_DATA!J80,'Assignment Tool'!D96:D2129,0)))</f>
        <v>4</v>
      </c>
    </row>
    <row r="81" spans="1:11" x14ac:dyDescent="0.25">
      <c r="A81" s="118" t="str">
        <f t="shared" si="2"/>
        <v>F 1637-2 59TH AV E</v>
      </c>
      <c r="G81" t="str">
        <f>IF('Assignment Tool'!C81="","",IF('Assignment Tool'!C81="FST",'Assignment Tool'!D81,""))</f>
        <v/>
      </c>
      <c r="H81">
        <v>81</v>
      </c>
      <c r="I81">
        <f t="shared" si="3"/>
        <v>433</v>
      </c>
      <c r="J81" t="str">
        <f t="array" ref="J81">IFERROR(INDEX($G$2:$G$2050,_xlfn.AGGREGATE(15,6,(ROW($G$2:$G$2050)-ROW($G$2)+1)/($G$2:$G$2050&lt;&gt;""),ROWS(J$1:J81))),"")</f>
        <v>F 6120-2 18TH ST E</v>
      </c>
      <c r="K81">
        <f>IF(J81="","",INDEX('Assignment Tool'!E97:E2130,MATCH(FA_DATA!J81,'Assignment Tool'!D97:D2130,0)))</f>
        <v>4</v>
      </c>
    </row>
    <row r="82" spans="1:11" x14ac:dyDescent="0.25">
      <c r="A82" s="118" t="str">
        <f t="shared" si="2"/>
        <v>F 1637-2 59TH AV E</v>
      </c>
      <c r="G82" t="str">
        <f>IF('Assignment Tool'!C82="","",IF('Assignment Tool'!C82="FST",'Assignment Tool'!D82,""))</f>
        <v/>
      </c>
      <c r="H82">
        <v>82</v>
      </c>
      <c r="I82">
        <f t="shared" si="3"/>
        <v>437</v>
      </c>
      <c r="J82" t="str">
        <f t="array" ref="J82">IFERROR(INDEX($G$2:$G$2050,_xlfn.AGGREGATE(15,6,(ROW($G$2:$G$2050)-ROW($G$2)+1)/($G$2:$G$2050&lt;&gt;""),ROWS(J$1:J82))),"")</f>
        <v>F 6208-2 18TH ST E</v>
      </c>
      <c r="K82">
        <f>IF(J82="","",INDEX('Assignment Tool'!E98:E2131,MATCH(FA_DATA!J82,'Assignment Tool'!D98:D2131,0)))</f>
        <v>4</v>
      </c>
    </row>
    <row r="83" spans="1:11" x14ac:dyDescent="0.25">
      <c r="A83" s="118" t="str">
        <f t="shared" si="2"/>
        <v>F 1637-2 59TH AV E</v>
      </c>
      <c r="G83" t="str">
        <f>IF('Assignment Tool'!C83="","",IF('Assignment Tool'!C83="FST",'Assignment Tool'!D83,""))</f>
        <v/>
      </c>
      <c r="H83">
        <v>83</v>
      </c>
      <c r="I83">
        <f t="shared" si="3"/>
        <v>441</v>
      </c>
      <c r="J83" t="str">
        <f t="array" ref="J83">IFERROR(INDEX($G$2:$G$2050,_xlfn.AGGREGATE(15,6,(ROW($G$2:$G$2050)-ROW($G$2)+1)/($G$2:$G$2050&lt;&gt;""),ROWS(J$1:J83))),"")</f>
        <v>F 1817-2 62ND AVE E</v>
      </c>
      <c r="K83">
        <f>IF(J83="","",INDEX('Assignment Tool'!E99:E2132,MATCH(FA_DATA!J83,'Assignment Tool'!D99:D2132,0)))</f>
        <v>4</v>
      </c>
    </row>
    <row r="84" spans="1:11" x14ac:dyDescent="0.25">
      <c r="A84" s="118" t="str">
        <f t="shared" si="2"/>
        <v>F 1637-2 59TH AV E</v>
      </c>
      <c r="G84" t="str">
        <f>IF('Assignment Tool'!C84="","",IF('Assignment Tool'!C84="FST",'Assignment Tool'!D84,""))</f>
        <v/>
      </c>
      <c r="H84">
        <v>84</v>
      </c>
      <c r="I84">
        <f t="shared" si="3"/>
        <v>445</v>
      </c>
      <c r="J84" t="str">
        <f t="array" ref="J84">IFERROR(INDEX($G$2:$G$2050,_xlfn.AGGREGATE(15,6,(ROW($G$2:$G$2050)-ROW($G$2)+1)/($G$2:$G$2050&lt;&gt;""),ROWS(J$1:J84))),"")</f>
        <v>OPP 1826-2 62ND AVE E</v>
      </c>
      <c r="K84">
        <f>IF(J84="","",INDEX('Assignment Tool'!E100:E2133,MATCH(FA_DATA!J84,'Assignment Tool'!D100:D2133,0)))</f>
        <v>2</v>
      </c>
    </row>
    <row r="85" spans="1:11" x14ac:dyDescent="0.25">
      <c r="A85" s="118" t="str">
        <f t="shared" si="2"/>
        <v>F 1623-2 59TH AV E</v>
      </c>
      <c r="G85" t="str">
        <f>IF('Assignment Tool'!C85="","",IF('Assignment Tool'!C85="FST",'Assignment Tool'!D85,""))</f>
        <v/>
      </c>
      <c r="H85">
        <v>85</v>
      </c>
      <c r="I85">
        <f t="shared" si="3"/>
        <v>447</v>
      </c>
      <c r="J85" t="str">
        <f t="array" ref="J85">IFERROR(INDEX($G$2:$G$2050,_xlfn.AGGREGATE(15,6,(ROW($G$2:$G$2050)-ROW($G$2)+1)/($G$2:$G$2050&lt;&gt;""),ROWS(J$1:J85))),"")</f>
        <v>I 6210.1 62ND AVE E</v>
      </c>
      <c r="K85">
        <f>IF(J85="","",INDEX('Assignment Tool'!E101:E2134,MATCH(FA_DATA!J85,'Assignment Tool'!D101:D2134,0)))</f>
        <v>6</v>
      </c>
    </row>
    <row r="86" spans="1:11" x14ac:dyDescent="0.25">
      <c r="A86" s="118" t="str">
        <f t="shared" si="2"/>
        <v>F 1623-2 59TH AV E</v>
      </c>
      <c r="G86" t="str">
        <f>IF('Assignment Tool'!C86="","",IF('Assignment Tool'!C86="FST",'Assignment Tool'!D86,""))</f>
        <v/>
      </c>
      <c r="H86">
        <v>86</v>
      </c>
      <c r="I86">
        <f t="shared" si="3"/>
        <v>453</v>
      </c>
      <c r="J86" t="str">
        <f t="array" ref="J86">IFERROR(INDEX($G$2:$G$2050,_xlfn.AGGREGATE(15,6,(ROW($G$2:$G$2050)-ROW($G$2)+1)/($G$2:$G$2050&lt;&gt;""),ROWS(J$1:J86))),"")</f>
        <v>I 5710.1.1 UNIVERSITY BLVD E</v>
      </c>
      <c r="K86">
        <f>IF(J86="","",INDEX('Assignment Tool'!E102:E2135,MATCH(FA_DATA!J86,'Assignment Tool'!D102:D2135,0)))</f>
        <v>6</v>
      </c>
    </row>
    <row r="87" spans="1:11" x14ac:dyDescent="0.25">
      <c r="A87" s="118" t="str">
        <f t="shared" si="2"/>
        <v>F 1623-2 59TH AV E</v>
      </c>
      <c r="G87" t="str">
        <f>IF('Assignment Tool'!C87="","",IF('Assignment Tool'!C87="FST",'Assignment Tool'!D87,""))</f>
        <v/>
      </c>
      <c r="H87">
        <v>87</v>
      </c>
      <c r="I87">
        <f t="shared" si="3"/>
        <v>459</v>
      </c>
      <c r="J87" t="str">
        <f t="array" ref="J87">IFERROR(INDEX($G$2:$G$2050,_xlfn.AGGREGATE(15,6,(ROW($G$2:$G$2050)-ROW($G$2)+1)/($G$2:$G$2050&lt;&gt;""),ROWS(J$1:J87))),"")</f>
        <v>F 1818-2 61ST AVE E</v>
      </c>
      <c r="K87">
        <f>IF(J87="","",INDEX('Assignment Tool'!E103:E2136,MATCH(FA_DATA!J87,'Assignment Tool'!D103:D2136,0)))</f>
        <v>4</v>
      </c>
    </row>
    <row r="88" spans="1:11" x14ac:dyDescent="0.25">
      <c r="A88" s="118" t="str">
        <f t="shared" si="2"/>
        <v>F 1623-2 59TH AV E</v>
      </c>
      <c r="G88" t="str">
        <f>IF('Assignment Tool'!C88="","",IF('Assignment Tool'!C88="FST",'Assignment Tool'!D88,""))</f>
        <v/>
      </c>
      <c r="H88">
        <v>88</v>
      </c>
      <c r="I88">
        <f t="shared" si="3"/>
        <v>463</v>
      </c>
      <c r="J88" t="str">
        <f t="array" ref="J88">IFERROR(INDEX($G$2:$G$2050,_xlfn.AGGREGATE(15,6,(ROW($G$2:$G$2050)-ROW($G$2)+1)/($G$2:$G$2050&lt;&gt;""),ROWS(J$1:J88))),"")</f>
        <v>F 1804-2 61ST AVE E</v>
      </c>
      <c r="K88">
        <f>IF(J88="","",INDEX('Assignment Tool'!E104:E2137,MATCH(FA_DATA!J88,'Assignment Tool'!D104:D2137,0)))</f>
        <v>4</v>
      </c>
    </row>
    <row r="89" spans="1:11" x14ac:dyDescent="0.25">
      <c r="A89" s="118" t="str">
        <f t="shared" si="2"/>
        <v>F 1611-2 59TH AV E</v>
      </c>
      <c r="G89" t="str">
        <f>IF('Assignment Tool'!C89="","",IF('Assignment Tool'!C89="FST",'Assignment Tool'!D89,""))</f>
        <v/>
      </c>
      <c r="H89">
        <v>89</v>
      </c>
      <c r="I89">
        <f t="shared" si="3"/>
        <v>467</v>
      </c>
      <c r="J89" t="str">
        <f t="array" ref="J89">IFERROR(INDEX($G$2:$G$2050,_xlfn.AGGREGATE(15,6,(ROW($G$2:$G$2050)-ROW($G$2)+1)/($G$2:$G$2050&lt;&gt;""),ROWS(J$1:J89))),"")</f>
        <v>OPP 6102-2 UNIVERSITY BLVD E</v>
      </c>
      <c r="K89">
        <f>IF(J89="","",INDEX('Assignment Tool'!E105:E2138,MATCH(FA_DATA!J89,'Assignment Tool'!D105:D2138,0)))</f>
        <v>4</v>
      </c>
    </row>
    <row r="90" spans="1:11" x14ac:dyDescent="0.25">
      <c r="A90" s="118" t="str">
        <f t="shared" si="2"/>
        <v>F 1611-2 59TH AV E</v>
      </c>
      <c r="G90" t="str">
        <f>IF('Assignment Tool'!C90="","",IF('Assignment Tool'!C90="FST",'Assignment Tool'!D90,""))</f>
        <v/>
      </c>
      <c r="H90">
        <v>90</v>
      </c>
      <c r="I90">
        <f t="shared" si="3"/>
        <v>471</v>
      </c>
      <c r="J90" t="str">
        <f t="array" ref="J90">IFERROR(INDEX($G$2:$G$2050,_xlfn.AGGREGATE(15,6,(ROW($G$2:$G$2050)-ROW($G$2)+1)/($G$2:$G$2050&lt;&gt;""),ROWS(J$1:J90))),"")</f>
        <v/>
      </c>
      <c r="K90" t="str">
        <f>IF(J90="","",INDEX('Assignment Tool'!E106:E2139,MATCH(FA_DATA!J90,'Assignment Tool'!D106:D2139,0)))</f>
        <v/>
      </c>
    </row>
    <row r="91" spans="1:11" x14ac:dyDescent="0.25">
      <c r="A91" s="118" t="str">
        <f t="shared" si="2"/>
        <v>F 1611-2 59TH AV E</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1611-2 59TH AV E</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1531-2 59TH AV E</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1531-2 59TH AV E</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1531-2 59TH AV E</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1531-2 59TH AV E</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1717-2 59TH AV E</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1717-2 59TH AV E</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1717-2 59TH AV E</v>
      </c>
      <c r="G99" t="str">
        <f>IF('Assignment Tool'!C99="","",IF('Assignment Tool'!C99="FST",'Assignment Tool'!D99,""))</f>
        <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1717-2 59TH AV E</v>
      </c>
      <c r="G100" t="str">
        <f>IF('Assignment Tool'!C100="","",IF('Assignment Tool'!C100="FST",'Assignment Tool'!D100,""))</f>
        <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1717-2 59TH AV E</v>
      </c>
      <c r="G101" t="str">
        <f>IF('Assignment Tool'!C101="","",IF('Assignment Tool'!C101="FST",'Assignment Tool'!D101,""))</f>
        <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1717-2 59TH AV E</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1717-3 59TH AV E</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1717-3 59TH AV E</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1717-3 59TH AV E</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1717-3 59TH AV E</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1717-3 59TH AV E</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1717-3 59TH AV E</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1817-2 59TH AV E</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1817-2 59TH AV E</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1817-2 59TH AV E</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1817-2 59TH AV E</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5900-2 UNIVERSITY BLVD E</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5900-2 UNIVERSITY BLVD E</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5900-2 UNIVERSITY BLVD E</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5900-2 UNIVERSITY BLVD E</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5803-2 17TH ST E</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5803-2 17TH ST E</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5803-2 17TH ST E</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5803-2 17TH ST E</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5803-2 17TH ST E</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5803-2 17TH ST E</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5803-2 17TH ST E</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5803-2 17TH ST E</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1647-2 58TH AVE E</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1647-2 58TH AVE E</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1647-2 58TH AVE E</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1647-2 58TH AVE E</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1639-2 58TH AVE E</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1639-2 58TH AVE E</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1639-2 58TH AVE E</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1639-2 58TH AVE E</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1619-2 58TH AVE 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1619-2 58TH AVE 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1619-2 58TH AVE 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1619-2 58TH AVE 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1533-2 58TH AVE 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1533-2 58TH AVE 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1533-2 58TH AVE 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1533-2 58TH AVE E</v>
      </c>
      <c r="G140" t="str">
        <f>IF('Assignment Tool'!C140="","",IF('Assignment Tool'!C140="FST",'Assignment Tool'!D140,""))</f>
        <v>F 5913-2 17TH ST E</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5703-2 17TH ST E</v>
      </c>
      <c r="G141" t="str">
        <f>IF('Assignment Tool'!C141="","",IF('Assignment Tool'!C141="FST",'Assignment Tool'!D141,""))</f>
        <v>F 5927-2 17TH ST E</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5703-2 17TH ST E</v>
      </c>
      <c r="G142" t="str">
        <f>IF('Assignment Tool'!C142="","",IF('Assignment Tool'!C142="FST",'Assignment Tool'!D142,""))</f>
        <v>F 1651-2 60TH AV E</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5703-2 17TH ST E</v>
      </c>
      <c r="G143" t="str">
        <f>IF('Assignment Tool'!C143="","",IF('Assignment Tool'!C143="FST",'Assignment Tool'!D143,""))</f>
        <v>F 1635-2 60TH AV E</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5703-2 17TH ST E</v>
      </c>
      <c r="G144" t="str">
        <f>IF('Assignment Tool'!C144="","",IF('Assignment Tool'!C144="FST",'Assignment Tool'!D144,""))</f>
        <v>F 1621-2 60TH AV E</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1649-2 57TH AVE E</v>
      </c>
      <c r="G145" t="str">
        <f>IF('Assignment Tool'!C145="","",IF('Assignment Tool'!C145="FST",'Assignment Tool'!D145,""))</f>
        <v>F 1607-2 60TH AV E</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1649-2 57TH AVE E</v>
      </c>
      <c r="G146" t="str">
        <f>IF('Assignment Tool'!C146="","",IF('Assignment Tool'!C146="FST",'Assignment Tool'!D146,""))</f>
        <v>F 1529-2 60TH AV E</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1649-2 57TH AVE E</v>
      </c>
      <c r="G147" t="str">
        <f>IF('Assignment Tool'!C147="","",IF('Assignment Tool'!C147="FST",'Assignment Tool'!D147,""))</f>
        <v>F 1517-2 60TH AV E</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1649-2 57TH AVE E</v>
      </c>
      <c r="G148" t="str">
        <f>IF('Assignment Tool'!C148="","",IF('Assignment Tool'!C148="FST",'Assignment Tool'!D148,""))</f>
        <v>F 5914-2 15TH ST E</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OPP 1640-2 57TH AVE E</v>
      </c>
      <c r="G149" t="str">
        <f>IF('Assignment Tool'!C149="","",IF('Assignment Tool'!C149="FST",'Assignment Tool'!D149,""))</f>
        <v>F 5816-2 15TH ST E</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OPP 1640-2 57TH AVE 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OPP 1640-2 57TH AVE 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OPP 1640-2 57TH AVE 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OPP 1640-2 57TH AVE 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OPP 1640-2 57TH AVE 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OPP 1640-2 57TH AVE 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OPP 1640-2 57TH AVE 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1607-2 57TH AVE 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1607-2 57TH AVE 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1607-2 57TH AVE 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1607-2 57TH AVE 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1530-2 57TH AVE 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1530-2 57TH AVE 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1530-2 57TH AVE 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1530-2 57TH AVE 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1605-2 56TH E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1605-2 56TH E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1605-2 56TH E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1605-2 56TH E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1619-2 56TH E AVE</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1619-2 56TH E AVE</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1619-2 56TH E AVE</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1619-2 56TH E AVE</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1623-2 56TH E AVE</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1623-2 56TH E AVE</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1623-2 56TH E AVE</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1623-2 56TH E AVE</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1725-2 56TH AVE E</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1725-2 56TH AVE E</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1725-2 56TH AVE E</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1725-2 56TH AVE E</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1735-2 56TH AVE E</v>
      </c>
      <c r="G181" t="str">
        <f>IF('Assignment Tool'!C181="","",IF('Assignment Tool'!C181="FST",'Assignment Tool'!D181,""))</f>
        <v>F 1709-2 59TH AV E</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1735-2 56TH AVE E</v>
      </c>
      <c r="G182" t="str">
        <f>IF('Assignment Tool'!C182="","",IF('Assignment Tool'!C182="FST",'Assignment Tool'!D182,""))</f>
        <v>F 1653-2 59TH AV E</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1735-2 56TH AVE E</v>
      </c>
      <c r="G183" t="str">
        <f>IF('Assignment Tool'!C183="","",IF('Assignment Tool'!C183="FST",'Assignment Tool'!D183,""))</f>
        <v>F 1637-2 59TH AV E</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1735-2 56TH AVE E</v>
      </c>
      <c r="G184" t="str">
        <f>IF('Assignment Tool'!C184="","",IF('Assignment Tool'!C184="FST",'Assignment Tool'!D184,""))</f>
        <v>F 1623-2 59TH AV E</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5506-1 19TH ST E</v>
      </c>
      <c r="G185" t="str">
        <f>IF('Assignment Tool'!C185="","",IF('Assignment Tool'!C185="FST",'Assignment Tool'!D185,""))</f>
        <v>F 1611-2 59TH AV E</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5506-1 19TH ST E</v>
      </c>
      <c r="G186" t="str">
        <f>IF('Assignment Tool'!C186="","",IF('Assignment Tool'!C186="FST",'Assignment Tool'!D186,""))</f>
        <v>F 1531-2 59TH AV E</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5506-1 19TH ST 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5506-1 19TH ST 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1718-2 54TH CT 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1718-2 54TH CT 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1718-2 54TH CT 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1718-2 54TH CT 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1718-2 54TH CT 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1718-2 54TH CT 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1718-2 54TH CT 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1718-2 54TH CT 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1706-2 54TH CT 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1706-2 54TH CT 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1706-2 54TH CT 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1706-2 54TH CT 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5418-2 17TH ST 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5418-2 17TH ST 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5418-2 17TH ST 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5418-2 17TH ST 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5430-2 17TH ST E</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5430-2 17TH ST E</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5430-2 17TH ST E</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5430-2 17TH ST E</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5506-2 17TH ST E</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5506-2 17TH ST E</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5506-2 17TH ST E</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5506-2 17TH ST E</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1603-2 55TH E CT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1603-2 55TH E CT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1603-2 55TH E CT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1603-2 55TH E CT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1523-2 56TH E AV</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1523-2 56TH E AV</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1523-2 56TH E AV</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1523-2 56TH E AV</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1523-2 56TH E AV</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1523-2 56TH E AV</v>
      </c>
      <c r="G222" t="str">
        <f>IF('Assignment Tool'!C222="","",IF('Assignment Tool'!C222="FST",'Assignment Tool'!D222,""))</f>
        <v>F 1717-2 59TH AV E</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1523-2 56TH E AV</v>
      </c>
      <c r="G223" t="str">
        <f>IF('Assignment Tool'!C223="","",IF('Assignment Tool'!C223="FST",'Assignment Tool'!D223,""))</f>
        <v>F 1717-3 59TH AV E</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1523-2 56TH E AV</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1500-2 56TH E AV</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1500-2 56TH E AV</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1500-2 56TH E AV</v>
      </c>
      <c r="G227" t="str">
        <f>IF('Assignment Tool'!C227="","",IF('Assignment Tool'!C227="FST",'Assignment Tool'!D227,""))</f>
        <v>F 1817-2 59TH AV E</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1500-2 56TH E AV</v>
      </c>
      <c r="G228" t="str">
        <f>IF('Assignment Tool'!C228="","",IF('Assignment Tool'!C228="FST",'Assignment Tool'!D228,""))</f>
        <v>F 5900-2 UNIVERSITY BLVD E</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1500-2 56TH E AV</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1500-2 56TH E AV</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1500-2 56TH E AV</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1500-2 56TH E AV</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1500-2 56TH E AV</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1500-2 56TH E AV</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1500-2 56TH E AV</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1500-2 56TH E AV</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5526-2 17TH ST E</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5526-2 17TH ST E</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5526-2 17TH ST E</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5526-2 17TH ST E</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5526-2 17TH ST E</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5526-2 17TH ST E</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5526-2 17TH ST E</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5526-2 17TH ST E</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5526-2 17TH ST E</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5526-2 17TH ST E</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5526-2 17TH ST E</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5526-2 17TH ST E</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5485-1 UNIVERSITY GARDENS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5485-1 UNIVERSITY GARDENS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5485-1 UNIVERSITY GARDENS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5485-1 UNIVERSITY GARDENS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5465-1 UNIVERSITY GARDENS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5465-1 UNIVERSITY GARDENS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5465-1 UNIVERSITY GARDENS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5465-1 UNIVERSITY GARDENS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5435-1 UNIVERSITY GARDENS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5435-1 UNIVERSITY GARDENS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5435-1 UNIVERSITY GARDENS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5435-1 UNIVERSITY GARDENS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5415-1 UNIVERSITY GARDENS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5415-1 UNIVERSITY GARDENS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5415-1 UNIVERSITY GARDENS DR</v>
      </c>
      <c r="G263" t="str">
        <f>IF('Assignment Tool'!C263="","",IF('Assignment Tool'!C263="FST",'Assignment Tool'!D263,""))</f>
        <v>F 5803-2 17TH ST E</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5415-1 UNIVERSITY GARDENS DR</v>
      </c>
      <c r="G264" t="str">
        <f>IF('Assignment Tool'!C264="","",IF('Assignment Tool'!C264="FST",'Assignment Tool'!D264,""))</f>
        <v>F 1647-2 58TH AVE E</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5385-1 UNIVERSITY GARDENS DR</v>
      </c>
      <c r="G265" t="str">
        <f>IF('Assignment Tool'!C265="","",IF('Assignment Tool'!C265="FST",'Assignment Tool'!D265,""))</f>
        <v>F 1639-2 58TH AVE E</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5385-1 UNIVERSITY GARDENS DR</v>
      </c>
      <c r="G266" t="str">
        <f>IF('Assignment Tool'!C266="","",IF('Assignment Tool'!C266="FST",'Assignment Tool'!D266,""))</f>
        <v>F 1619-2 58TH AVE E</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5385-1 UNIVERSITY GARDENS DR</v>
      </c>
      <c r="G267" t="str">
        <f>IF('Assignment Tool'!C267="","",IF('Assignment Tool'!C267="FST",'Assignment Tool'!D267,""))</f>
        <v>F 1533-2 58TH AVE E</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5385-1 UNIVERSITY GARDENS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5365-1 UNIVERSITY GARDENS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5365-1 UNIVERSITY GARDENS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5365-1 UNIVERSITY GARDENS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5365-1 UNIVERSITY GARDENS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5345-1 UNIVERSITY GARDENS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5345-1 UNIVERSITY GARDENS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5345-1 UNIVERSITY GARDENS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5345-1 UNIVERSITY GARDENS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5325-1 UNIVERSITY GARDENS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5325-1 UNIVERSITY GARDENS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5325-1 UNIVERSITY GARDENS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5325-1 UNIVERSITY GARDENS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5305-1 UNIVERSITY GARDENS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5305-1 UNIVERSITY GARDENS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5305-1 UNIVERSITY GARDENS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5305-1 UNIVERSITY GARDENS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5275-1 UNIVERSITY GARDENS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5275-1 UNIVERSITY GARDENS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5275-1 UNIVERSITY GARDENS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5275-1 UNIVERSITY GARDENS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5255-1 UNIVERSITY GARDENS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5255-1 UNIVERSITY GARDENS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5255-1 UNIVERSITY GARDENS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5255-1 UNIVERSITY GARDENS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5255-1 UNIVERSITY GARDENS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5255-1 UNIVERSITY GARDENS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5255-1 UNIVERSITY GARDENS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5255-1 UNIVERSITY GARDENS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5235-1 UNIVERSITY GARDENS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5235-1 UNIVERSITY GARDENS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5235-1 UNIVERSITY GARDENS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5235-1 UNIVERSITY GARDENS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5215-1 UNIVERSITY GARDENS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5215-1 UNIVERSITY GARDENS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5215-1 UNIVERSITY GARDENS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5215-1 UNIVERSITY GARDENS DR</v>
      </c>
      <c r="G304" t="str">
        <f>IF('Assignment Tool'!C304="","",IF('Assignment Tool'!C304="FST",'Assignment Tool'!D304,""))</f>
        <v>F 5703-2 17TH ST E</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1960-1 CRIMSON WAY</v>
      </c>
      <c r="G305" t="str">
        <f>IF('Assignment Tool'!C305="","",IF('Assignment Tool'!C305="FST",'Assignment Tool'!D305,""))</f>
        <v>F 1649-2 57TH AVE 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1960-1 CRIMSON WAY</v>
      </c>
      <c r="G306" t="str">
        <f>IF('Assignment Tool'!C306="","",IF('Assignment Tool'!C306="FST",'Assignment Tool'!D306,""))</f>
        <v>OPP 1640-2 57TH AVE 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1940-1 CRIMSON WY</v>
      </c>
      <c r="G307" t="str">
        <f>IF('Assignment Tool'!C307="","",IF('Assignment Tool'!C307="FST",'Assignment Tool'!D307,""))</f>
        <v>F 1607-2 57TH AVE E</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1940-1 CRIMSON WY</v>
      </c>
      <c r="G308" t="str">
        <f>IF('Assignment Tool'!C308="","",IF('Assignment Tool'!C308="FST",'Assignment Tool'!D308,""))</f>
        <v>F 1530-2 57TH AVE E</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1920-1 CRIMSON WY</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1920-1 CRIMSON WY</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1900-1 CRIMSON WY</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1900-1 CRIMSON WY</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1900-1 CRIMSON WY</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1900-1 CRIMSON WY</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1919-1 CRIMSON WY</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1919-1 CRIMSON WY</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1919-1 CRIMSON WY</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1919-1 CRIMSON WY</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1929-1 CRIMSON WY</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1929-1 CRIMSON WY</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5521-1 UNIVERSITY BLVD E</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5521-1 UNIVERSITY BLVD E</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5521-1 UNIVERSITY BLVD E</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5521-1 UNIVERSITY BLVD E</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5521-1 UNIVERSITY BLVD E</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5521-1 UNIVERSITY BLVD E</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5521-1 UNIVERSITY BLVD E</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5521-1 UNIVERSITY BLVD E</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5521-1 UNIVERSITY BLVD E</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5521-1 UNIVERSITY BLVD E</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5521-1 UNIVERSITY BLVD E</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5521-1 UNIVERSITY BLVD E</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5541-1 UNIVERSITY BLVD E</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5541-1 UNIVERSITY BLVD E</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5541-1 UNIVERSITY BLVD E</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5541-1 UNIVERSITY BLVD E</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5541-1 UNIVERSITY BLVD E</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5541-1 UNIVERSITY BLVD E</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5541-1 UNIVERSITY BLVD E</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5541-1 UNIVERSITY BLVD E</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5541-1 UNIVERSITY BLVD E</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5541-1 UNIVERSITY BLVD E</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5541-1 UNIVERSITY BLVD E</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5541-1 UNIVERSITY BLVD E</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5561-1 UNIVERSITY BLVD E</v>
      </c>
      <c r="G345" t="str">
        <f>IF('Assignment Tool'!C345="","",IF('Assignment Tool'!C345="FST",'Assignment Tool'!D345,""))</f>
        <v>F 1605-2 56TH E AVE</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5561-1 UNIVERSITY BLVD E</v>
      </c>
      <c r="G346" t="str">
        <f>IF('Assignment Tool'!C346="","",IF('Assignment Tool'!C346="FST",'Assignment Tool'!D346,""))</f>
        <v>F 1619-2 56TH E AVE</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5561-1 UNIVERSITY BLVD E</v>
      </c>
      <c r="G347" t="str">
        <f>IF('Assignment Tool'!C347="","",IF('Assignment Tool'!C347="FST",'Assignment Tool'!D347,""))</f>
        <v>F 1623-2 56TH E AVE</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5561-1 UNIVERSITY BLVD E</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5561-1 UNIVERSITY BLVD E</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5561-1 UNIVERSITY BLVD E</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5561-1 UNIVERSITY BLVD E</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5561-1 UNIVERSITY BLVD E</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5561-1 UNIVERSITY BLVD E</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5561-1 UNIVERSITY BLVD E</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5561-1 UNIVERSITY BLVD E</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5561-1 UNIVERSITY BLVD E</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5625-1 UNIVERSITY BLVD E</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5625-1 UNIVERSITY BLVD E</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5625-1 UNIVERSITY BLVD E</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5625-1 UNIVERSITY BLVD E</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5625-1 UNIVERSITY BLVD E</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5625-1 UNIVERSITY BLVD E</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5625-1 UNIVERSITY BLVD E</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5625-1 UNIVERSITY BLVD E</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5625-1 UNIVERSITY BLVD E</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5625-1 UNIVERSITY BLVD E</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5625-1 UNIVERSITY BLVD E</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5625-1 UNIVERSITY BLVD E</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5725-1 UNIVERSITY BLVD E</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5725-1 UNIVERSITY BLVD E</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5725-1 UNIVERSITY BLVD E</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5725-1 UNIVERSITY BLVD E</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5725-1 UNIVERSITY BLVD E</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5725-1 UNIVERSITY BLVD E</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5725-1 UNIVERSITY BLVD E</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5725-1 UNIVERSITY BLVD E</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5725-1 UNIVERSITY BLVD E</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5725-1 UNIVERSITY BLVD E</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5725-1 UNIVERSITY BLVD E</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5725-1 UNIVERSITY BLVD E</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1921-1 TUSK AVE</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1921-1 TUSK AVE</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1921-1 TUSK AVE</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1921-1 TUSK AVE</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1900-1 TUSK AVE</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1900-1 TUSK AVE</v>
      </c>
      <c r="G386" t="str">
        <f>IF('Assignment Tool'!C386="","",IF('Assignment Tool'!C386="FST",'Assignment Tool'!D386,""))</f>
        <v>F 1725-2 56TH AVE E</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1900-1 TUSK AVE</v>
      </c>
      <c r="G387" t="str">
        <f>IF('Assignment Tool'!C387="","",IF('Assignment Tool'!C387="FST",'Assignment Tool'!D387,""))</f>
        <v>F 1735-2 56TH AVE 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1900-1 TUSK AVE</v>
      </c>
      <c r="G388" t="str">
        <f>IF('Assignment Tool'!C388="","",IF('Assignment Tool'!C388="FST",'Assignment Tool'!D388,""))</f>
        <v>F 5506-1 19TH ST 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1912-1 TUSK AVE</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1912-1 TUSK AVE</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1912-1 TUSK AVE</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1912-1 TUSK AVE</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5721-1 UNIVERSITY BLVD E</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5721-1 UNIVERSITY BLVD E</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5721-1 UNIVERSITY BLVD E</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5721-1 UNIVERSITY BLVD E</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5721-1 UNIVERSITY BLVD E</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5721-1 UNIVERSITY BLVD E</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5721-1 UNIVERSITY BLVD E</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5721-1 UNIVERSITY BLVD E</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5721-1 UNIVERSITY BLVD E</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5721-1 UNIVERSITY BLVD E</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5721-1 UNIVERSITY BLVD E</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5721-1 UNIVERSITY BLVD E</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5632-1 UNIVERSITY BLVD E</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5632-1 UNIVERSITY BLVD E</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5632-1 UNIVERSITY BLVD E</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5632-1 UNIVERSITY BLVD E</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5632-1 UNIVERSITY BLVD E</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5632-1 UNIVERSITY BLVD E</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5632-1 UNIVERSITY BLVD E</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5632-1 UNIVERSITY BLVD E</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5632-1 UNIVERSITY BLVD E</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5632-1 UNIVERSITY BLVD E</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5632-1 UNIVERSITY BLVD E</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5632-1 UNIVERSITY BLVD E</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5626-1 UNIVERSITY BLVD E</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5626-1 UNIVERSITY BLVD E</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5626-1 UNIVERSITY BLVD E</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5626-1 UNIVERSITY BLVD E</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5626-1 UNIVERSITY BLVD E</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5626-1 UNIVERSITY BLVD E</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5626-1 UNIVERSITY BLVD E</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5626-1 UNIVERSITY BLVD E</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5626-1 UNIVERSITY BLVD E</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5626-1 UNIVERSITY BLVD E</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5626-1 UNIVERSITY BLVD E</v>
      </c>
      <c r="G427" t="str">
        <f>IF('Assignment Tool'!C427="","",IF('Assignment Tool'!C427="FST",'Assignment Tool'!D427,""))</f>
        <v>F 1718-2 54TH CT E</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5626-1 UNIVERSITY BLVD E</v>
      </c>
      <c r="G428" t="str">
        <f>IF('Assignment Tool'!C428="","",IF('Assignment Tool'!C428="FST",'Assignment Tool'!D428,""))</f>
        <v>F 1706-2 54TH CT E</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6018-2 18TH ST E</v>
      </c>
      <c r="G429" t="str">
        <f>IF('Assignment Tool'!C429="","",IF('Assignment Tool'!C429="FST",'Assignment Tool'!D429,""))</f>
        <v>F 5418-2 17TH ST E</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6018-2 18TH ST E</v>
      </c>
      <c r="G430" t="str">
        <f>IF('Assignment Tool'!C430="","",IF('Assignment Tool'!C430="FST",'Assignment Tool'!D430,""))</f>
        <v>F 5430-2 17TH ST E</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6018-2 18TH ST E</v>
      </c>
      <c r="G431" t="str">
        <f>IF('Assignment Tool'!C431="","",IF('Assignment Tool'!C431="FST",'Assignment Tool'!D431,""))</f>
        <v>F 5506-2 17TH ST E</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6018-2 18TH ST E</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6120-2 18TH ST E</v>
      </c>
      <c r="G433" t="str">
        <f>IF('Assignment Tool'!C433="","",IF('Assignment Tool'!C433="FST",'Assignment Tool'!D433,""))</f>
        <v>F 1603-2 55TH E CT</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6120-2 18TH ST E</v>
      </c>
      <c r="G434" t="str">
        <f>IF('Assignment Tool'!C434="","",IF('Assignment Tool'!C434="FST",'Assignment Tool'!D434,""))</f>
        <v>F 1523-2 56TH E AV</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6120-2 18TH ST E</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6120-2 18TH ST E</v>
      </c>
      <c r="G436" t="str">
        <f>IF('Assignment Tool'!C436="","",IF('Assignment Tool'!C436="FST",'Assignment Tool'!D436,""))</f>
        <v>F 1500-2 56TH E AV</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6208-2 18TH ST E</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6208-2 18TH ST E</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6208-2 18TH ST E</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6208-2 18TH ST E</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1817-2 62ND AVE E</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1817-2 62ND AVE E</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1817-2 62ND AVE E</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1817-2 62ND AVE E</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OPP 1826-2 62ND AVE E</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OPP 1826-2 62ND AVE E</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I 6210.1 62ND AVE E</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I 6210.1 62ND AVE E</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I 6210.1 62ND AVE E</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I 6210.1 62ND AVE E</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I 6210.1 62ND AVE E</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I 6210.1 62ND AVE E</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I 5710.1.1 UNIVERSITY BLVD E</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I 5710.1.1 UNIVERSITY BLVD E</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I 5710.1.1 UNIVERSITY BLVD E</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I 5710.1.1 UNIVERSITY BLVD E</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I 5710.1.1 UNIVERSITY BLVD E</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I 5710.1.1 UNIVERSITY BLVD E</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1818-2 61ST AVE E</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1818-2 61ST AVE E</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1818-2 61ST AVE E</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1818-2 61ST AVE E</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1804-2 61ST AVE E</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1804-2 61ST AVE E</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1804-2 61ST AVE E</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1804-2 61ST AVE E</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OPP 6102-2 UNIVERSITY BLVD E</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OPP 6102-2 UNIVERSITY BLVD E</v>
      </c>
      <c r="G468" t="str">
        <f>IF('Assignment Tool'!C468="","",IF('Assignment Tool'!C468="FST",'Assignment Tool'!D468,""))</f>
        <v>F 5526-2 17TH ST E</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OPP 6102-2 UNIVERSITY BLVD E</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OPP 6102-2 UNIVERSITY BLVD E</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5485-1 UNIVERSITY GARDENS DR</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5465-1 UNIVERSITY GARDENS DR</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5435-1 UNIVERSITY GARDENS DR</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5415-1 UNIVERSITY GARDENS DR</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5385-1 UNIVERSITY GARDENS DR</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5365-1 UNIVERSITY GARDENS DR</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5345-1 UNIVERSITY GARDENS DR</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F 5325-1 UNIVERSITY GARDENS DR</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F 5305-1 UNIVERSITY GARDENS DR</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F 5275-1 UNIVERSITY GARDENS DR</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F 5255-1 UNIVERSITY GARDENS DR</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F 5235-1 UNIVERSITY GARDENS DR</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F 5215-1 UNIVERSITY GARDENS DR</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F 1960-1 CRIMSON WAY</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F 1940-1 CRIMSON WY</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F 1920-1 CRIMSON WY</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F 1900-1 CRIMSON WY</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F 1919-1 CRIMSON WY</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F 1929-1 CRIMSON WY</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5521-1 UNIVERSITY BLVD E</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5541-1 UNIVERSITY BLVD E</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5561-1 UNIVERSITY BLVD E</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F 5625-1 UNIVERSITY BLVD E</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F 5725-1 UNIVERSITY BLVD E</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1921-1 TUSK AVE</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1900-1 TUSK AVE</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1912-1 TUSK AVE</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5721-1 UNIVERSITY BLVD E</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5632-1 UNIVERSITY BLVD E</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5626-1 UNIVERSITY BLVD E</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6018-2 18TH ST E</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6120-2 18TH ST E</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F 6208-2 18TH ST E</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F 1817-2 62ND AVE E</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OPP 1826-2 62ND AVE E</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I 6210.1 62ND AVE E</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I 5710.1.1 UNIVERSITY BLVD E</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1818-2 61ST AVE E</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1804-2 61ST AVE E</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OPP 6102-2 UNIVERSITY BLVD E</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tabSelected="1" workbookViewId="0">
      <pane xSplit="1" ySplit="1" topLeftCell="B14" activePane="bottomRight" state="frozen"/>
      <selection pane="topRight" activeCell="A9" sqref="A9"/>
      <selection pane="bottomLeft" activeCell="A9" sqref="A9"/>
      <selection pane="bottomRight" activeCell="Y36" sqref="Y3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v>3</v>
      </c>
      <c r="C30" s="4">
        <v>48</v>
      </c>
      <c r="D30" s="4">
        <v>48</v>
      </c>
      <c r="E30" s="4">
        <v>50</v>
      </c>
      <c r="F30" s="4"/>
      <c r="G30" s="4"/>
      <c r="H30" s="4"/>
      <c r="I30" s="4"/>
      <c r="J30" s="4"/>
      <c r="K30" s="4"/>
      <c r="L30" s="4"/>
      <c r="M30" s="4"/>
      <c r="N30" s="4"/>
      <c r="O30" s="4"/>
      <c r="P30" s="4"/>
      <c r="Q30" s="4"/>
      <c r="R30" s="4"/>
      <c r="S30" s="4"/>
      <c r="T30" s="4"/>
      <c r="U30" s="4"/>
      <c r="V30" s="4"/>
      <c r="W30" s="4">
        <v>42</v>
      </c>
      <c r="X30" s="4">
        <v>40</v>
      </c>
      <c r="Y30" s="4"/>
      <c r="Z30" s="4"/>
      <c r="AA30" s="4"/>
      <c r="AB30" s="4"/>
      <c r="AC30" s="4"/>
      <c r="AD30" s="4"/>
      <c r="AE30" s="4"/>
      <c r="AF30" s="4"/>
      <c r="AG30" s="4"/>
      <c r="AH30" s="4"/>
      <c r="AI30" s="4"/>
      <c r="AJ30" s="4"/>
      <c r="AK30" s="4"/>
      <c r="AL30" s="4"/>
      <c r="AM30" s="4"/>
      <c r="AN30" s="4"/>
      <c r="AO30" s="4"/>
      <c r="AP30" s="4"/>
    </row>
    <row r="31" spans="1:42" x14ac:dyDescent="0.25">
      <c r="A31" s="6">
        <v>32</v>
      </c>
      <c r="B31" s="5">
        <v>4</v>
      </c>
      <c r="C31" s="4">
        <v>48</v>
      </c>
      <c r="D31" s="4">
        <v>48</v>
      </c>
      <c r="E31" s="4">
        <v>48</v>
      </c>
      <c r="F31" s="4">
        <v>48</v>
      </c>
      <c r="G31" s="4"/>
      <c r="H31" s="4"/>
      <c r="I31" s="4"/>
      <c r="J31" s="4"/>
      <c r="K31" s="4"/>
      <c r="L31" s="4"/>
      <c r="M31" s="4"/>
      <c r="N31" s="4"/>
      <c r="O31" s="4"/>
      <c r="P31" s="4"/>
      <c r="Q31" s="4"/>
      <c r="R31" s="4"/>
      <c r="S31" s="4"/>
      <c r="T31" s="4"/>
      <c r="U31" s="4"/>
      <c r="V31" s="4"/>
      <c r="W31" s="4">
        <v>39</v>
      </c>
      <c r="X31" s="4">
        <v>44</v>
      </c>
      <c r="Y31" s="4">
        <v>33</v>
      </c>
      <c r="Z31" s="4">
        <v>46</v>
      </c>
      <c r="AA31" s="4"/>
      <c r="AB31" s="4"/>
      <c r="AC31" s="4"/>
      <c r="AD31" s="4"/>
      <c r="AE31" s="4"/>
      <c r="AF31" s="4"/>
      <c r="AG31" s="4"/>
      <c r="AH31" s="4"/>
      <c r="AI31" s="4"/>
      <c r="AJ31" s="4"/>
      <c r="AK31" s="4"/>
      <c r="AL31" s="4"/>
      <c r="AM31" s="4"/>
      <c r="AN31" s="4"/>
      <c r="AO31" s="4"/>
      <c r="AP31" s="4"/>
    </row>
    <row r="32" spans="1:42" x14ac:dyDescent="0.25">
      <c r="A32" s="6">
        <v>33</v>
      </c>
      <c r="B32" s="5">
        <v>3</v>
      </c>
      <c r="C32" s="4">
        <v>48</v>
      </c>
      <c r="D32" s="4">
        <v>48</v>
      </c>
      <c r="E32" s="4">
        <v>48</v>
      </c>
      <c r="F32" s="4"/>
      <c r="G32" s="4"/>
      <c r="H32" s="4"/>
      <c r="I32" s="4"/>
      <c r="J32" s="4"/>
      <c r="K32" s="4"/>
      <c r="L32" s="4"/>
      <c r="M32" s="4"/>
      <c r="N32" s="4"/>
      <c r="O32" s="4"/>
      <c r="P32" s="4"/>
      <c r="Q32" s="4"/>
      <c r="R32" s="4"/>
      <c r="S32" s="4"/>
      <c r="T32" s="4"/>
      <c r="U32" s="4"/>
      <c r="V32" s="4"/>
      <c r="W32" s="4">
        <v>32</v>
      </c>
      <c r="X32" s="4">
        <v>31</v>
      </c>
      <c r="Y32" s="4">
        <v>26</v>
      </c>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v>1</v>
      </c>
      <c r="C34" s="4"/>
      <c r="D34" s="4"/>
      <c r="E34" s="4"/>
      <c r="F34" s="4"/>
      <c r="G34" s="4"/>
      <c r="H34" s="4"/>
      <c r="I34" s="4"/>
      <c r="J34" s="4"/>
      <c r="K34" s="4"/>
      <c r="L34" s="4"/>
      <c r="M34" s="4"/>
      <c r="N34" s="4"/>
      <c r="O34" s="4"/>
      <c r="P34" s="4"/>
      <c r="Q34" s="4"/>
      <c r="R34" s="4"/>
      <c r="S34" s="4"/>
      <c r="T34" s="4"/>
      <c r="U34" s="4"/>
      <c r="V34" s="4"/>
      <c r="W34" s="4">
        <v>154</v>
      </c>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9" t="s">
        <v>63</v>
      </c>
      <c r="C2" s="269"/>
      <c r="D2" s="269"/>
      <c r="E2" s="129"/>
      <c r="F2" s="129"/>
      <c r="G2" s="266" t="s">
        <v>64</v>
      </c>
      <c r="H2" s="266"/>
      <c r="I2" s="266"/>
      <c r="J2" s="130"/>
      <c r="K2" s="131"/>
      <c r="L2" s="266" t="s">
        <v>65</v>
      </c>
      <c r="M2" s="266"/>
      <c r="N2" s="266"/>
      <c r="O2" s="130"/>
      <c r="P2" s="131"/>
      <c r="Q2" s="266" t="s">
        <v>66</v>
      </c>
      <c r="R2" s="266"/>
      <c r="S2" s="266"/>
      <c r="T2" s="130"/>
      <c r="U2" s="131"/>
      <c r="V2" s="266" t="s">
        <v>67</v>
      </c>
      <c r="W2" s="266"/>
      <c r="X2" s="266"/>
      <c r="Y2" s="130"/>
      <c r="Z2" s="131"/>
      <c r="AA2" s="266" t="s">
        <v>68</v>
      </c>
      <c r="AB2" s="266"/>
      <c r="AC2" s="266"/>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0" t="s">
        <v>69</v>
      </c>
      <c r="C3" s="270"/>
      <c r="D3" s="143">
        <f>SUM('8645C Innerduct'!C2:AF499)</f>
        <v>969</v>
      </c>
      <c r="E3" s="129"/>
      <c r="F3" s="129"/>
      <c r="G3" s="264" t="s">
        <v>70</v>
      </c>
      <c r="H3" s="267"/>
      <c r="I3" s="137" t="str">
        <f>IFERROR(IF(AND(#REF!="Y",#REF!="N"),I4,IF(AND(I4&gt;0,End_Sections!B2="B"),IF(#REF!&lt;1000,I4+10,I4+20),I4)),"")</f>
        <v/>
      </c>
      <c r="J3" s="130"/>
      <c r="K3" s="131"/>
      <c r="L3" s="264" t="s">
        <v>70</v>
      </c>
      <c r="M3" s="267"/>
      <c r="N3" s="137" t="str">
        <f>IFERROR(IF(AND(#REF!="Y",#REF!="N"),N4,IF(AND(N4&gt;0,End_Sections!C2="B"),IF(#REF!&lt;1000,N4+10,N4+20),N4)),"")</f>
        <v/>
      </c>
      <c r="O3" s="130"/>
      <c r="P3" s="131"/>
      <c r="Q3" s="264" t="s">
        <v>70</v>
      </c>
      <c r="R3" s="267"/>
      <c r="S3" s="137" t="str">
        <f>IFERROR(IF(AND(#REF!="Y",#REF!="N"),S4,IF(AND(S4&gt;0,End_Sections!D2="B"),IF(#REF!&lt;1000,S4+10,S4+20),S4)),"")</f>
        <v/>
      </c>
      <c r="T3" s="130"/>
      <c r="U3" s="131"/>
      <c r="V3" s="264" t="s">
        <v>70</v>
      </c>
      <c r="W3" s="267"/>
      <c r="X3" s="137" t="str">
        <f>IFERROR(IF(AND(#REF!="Y",#REF!="N"),X4,IF(AND(X4&gt;0,End_Sections!E2="B"),IF(#REF!&lt;1000,X4+10,X4+20),X4)),"")</f>
        <v/>
      </c>
      <c r="Y3" s="130"/>
      <c r="Z3" s="131"/>
      <c r="AA3" s="264" t="s">
        <v>70</v>
      </c>
      <c r="AB3" s="267"/>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0" t="s">
        <v>71</v>
      </c>
      <c r="C4" s="270"/>
      <c r="D4" s="143">
        <f>D3-(COUNTA('8645C Innerduct'!C2:V499)*4)</f>
        <v>929</v>
      </c>
      <c r="E4" s="129"/>
      <c r="F4" s="129"/>
      <c r="G4" s="264" t="s">
        <v>72</v>
      </c>
      <c r="H4" s="267"/>
      <c r="I4" s="137" t="str">
        <f>IFERROR(IF(#REF!="","",IF(Aerial!D2="",#REF!,#REF!-(SUM(Aerial!D2,Aerial!D3,End_Sections!B4,End_Sections!B9)))),"")</f>
        <v/>
      </c>
      <c r="J4" s="130"/>
      <c r="K4" s="131"/>
      <c r="L4" s="264" t="s">
        <v>72</v>
      </c>
      <c r="M4" s="267"/>
      <c r="N4" s="137" t="str">
        <f>IFERROR(IF(#REF!="","",IF(Aerial!H2="",#REF!,#REF!-(SUM(Aerial!H2,Aerial!H3,End_Sections!C4,End_Sections!C9)))),"")</f>
        <v/>
      </c>
      <c r="O4" s="130"/>
      <c r="P4" s="131"/>
      <c r="Q4" s="264" t="s">
        <v>72</v>
      </c>
      <c r="R4" s="267"/>
      <c r="S4" s="137" t="str">
        <f>IFERROR(IF(#REF!="","",IF(Aerial!L2="",#REF!,#REF!-(SUM(Aerial!L2,Aerial!L3,End_Sections!D4,End_Sections!D9)))),"")</f>
        <v/>
      </c>
      <c r="T4" s="130"/>
      <c r="U4" s="131"/>
      <c r="V4" s="264" t="s">
        <v>72</v>
      </c>
      <c r="W4" s="267"/>
      <c r="X4" s="137" t="str">
        <f>IFERROR(IF(#REF!="","",IF(Aerial!P2="",#REF!,#REF!-(SUM(Aerial!P2,Aerial!P3,End_Sections!E4,End_Sections!E9)))),"")</f>
        <v/>
      </c>
      <c r="Y4" s="130"/>
      <c r="Z4" s="131"/>
      <c r="AA4" s="264" t="s">
        <v>72</v>
      </c>
      <c r="AB4" s="267"/>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0" t="s">
        <v>73</v>
      </c>
      <c r="C5" s="270"/>
      <c r="D5" s="143">
        <f>SUM('8645C Innerduct'!W2:AF499)</f>
        <v>487</v>
      </c>
      <c r="E5" s="129"/>
      <c r="F5" s="129"/>
      <c r="G5" s="264" t="s">
        <v>71</v>
      </c>
      <c r="H5" s="265"/>
      <c r="I5" s="137" t="str">
        <f>IFERROR(IF(#REF!="","",I4-(SUM(#REF!))-(SUM(End_Sections!B3,End_Sections!B8))),"")</f>
        <v/>
      </c>
      <c r="J5" s="130"/>
      <c r="K5" s="131"/>
      <c r="L5" s="264" t="s">
        <v>71</v>
      </c>
      <c r="M5" s="265"/>
      <c r="N5" s="137" t="str">
        <f>IFERROR(IF(#REF!="","",N4-(SUM(#REF!))-(SUM(End_Sections!C3,End_Sections!C8))),"")</f>
        <v/>
      </c>
      <c r="O5" s="130"/>
      <c r="P5" s="131"/>
      <c r="Q5" s="264" t="s">
        <v>71</v>
      </c>
      <c r="R5" s="265"/>
      <c r="S5" s="137" t="str">
        <f>IFERROR(IF(#REF!="","",S4-(SUM(#REF!))-(SUM(End_Sections!D3,End_Sections!D8))),"")</f>
        <v/>
      </c>
      <c r="T5" s="130"/>
      <c r="U5" s="131"/>
      <c r="V5" s="264" t="s">
        <v>71</v>
      </c>
      <c r="W5" s="265"/>
      <c r="X5" s="137" t="str">
        <f>IFERROR(IF(#REF!="","",X4-(SUM(#REF!))-(SUM(End_Sections!E3,End_Sections!E8))),"")</f>
        <v/>
      </c>
      <c r="Y5" s="130"/>
      <c r="Z5" s="131"/>
      <c r="AA5" s="264" t="s">
        <v>71</v>
      </c>
      <c r="AB5" s="265"/>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0" t="s">
        <v>74</v>
      </c>
      <c r="C6" s="270"/>
      <c r="D6" s="143">
        <f>SUM('8645C Innerduct'!AG2:AP499)</f>
        <v>0</v>
      </c>
      <c r="E6" s="129"/>
      <c r="F6" s="129"/>
      <c r="G6" s="264" t="s">
        <v>75</v>
      </c>
      <c r="H6" s="265"/>
      <c r="I6" s="137" t="str">
        <f>IFERROR(IF(AND(#REF!="Y",#REF!="N"),J6,IF(End_Sections!B2="A",IF(#REF!&lt;1000,J6+10,J6+20),J6)),"")</f>
        <v/>
      </c>
      <c r="J6" s="138" t="e">
        <f>IF(K6=0,"",K6)</f>
        <v>#REF!</v>
      </c>
      <c r="K6" s="131" t="e">
        <f>IF(I$4=0,#REF!,IF(Aerial!D3="",SUM(Aerial!D2,End_Sections!B4,End_Sections!B9),Aerial!D2))</f>
        <v>#REF!</v>
      </c>
      <c r="L6" s="264" t="s">
        <v>75</v>
      </c>
      <c r="M6" s="265"/>
      <c r="N6" s="137" t="str">
        <f>IFERROR(IF(AND(#REF!="Y",#REF!="N"),O6,IF(End_Sections!C2="A",IF(#REF!&lt;1000,O6+10,O6+20),O6)),"")</f>
        <v/>
      </c>
      <c r="O6" s="138" t="e">
        <f>IF(P6=0,"",P6)</f>
        <v>#REF!</v>
      </c>
      <c r="P6" s="131" t="e">
        <f>IF(N$4=0,#REF!,IF(Aerial!H3="",SUM(Aerial!H2,End_Sections!C4,End_Sections!C9),Aerial!H2))</f>
        <v>#REF!</v>
      </c>
      <c r="Q6" s="264" t="s">
        <v>75</v>
      </c>
      <c r="R6" s="265"/>
      <c r="S6" s="137" t="str">
        <f>IFERROR(IF(AND(#REF!="Y",#REF!="N"),T6,IF(End_Sections!D2="A",IF(#REF!&lt;1000,T6+10,T6+20),T6)),"")</f>
        <v/>
      </c>
      <c r="T6" s="138" t="e">
        <f>IF(U6=0,"",U6)</f>
        <v>#REF!</v>
      </c>
      <c r="U6" s="131" t="e">
        <f>IF(S$4=0,#REF!,IF(Aerial!L3="",SUM(Aerial!L2,End_Sections!D4,End_Sections!D9),Aerial!L2))</f>
        <v>#REF!</v>
      </c>
      <c r="V6" s="264" t="s">
        <v>75</v>
      </c>
      <c r="W6" s="265"/>
      <c r="X6" s="137" t="str">
        <f>IFERROR(IF(AND(#REF!="Y",#REF!="N"),Y6,IF(End_Sections!E2="A",IF(#REF!&lt;1000,Y6+10,Y6+20),Y6)),"")</f>
        <v/>
      </c>
      <c r="Y6" s="138" t="e">
        <f>IF(Z6=0,"",Z6)</f>
        <v>#REF!</v>
      </c>
      <c r="Z6" s="131" t="e">
        <f>IF(X$4=0,#REF!,IF(Aerial!P3="",SUM(Aerial!P2,End_Sections!E4,End_Sections!E9),Aerial!P2))</f>
        <v>#REF!</v>
      </c>
      <c r="AA6" s="264" t="s">
        <v>75</v>
      </c>
      <c r="AB6" s="265"/>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0" t="s">
        <v>76</v>
      </c>
      <c r="C7" s="270"/>
      <c r="D7" s="144">
        <f>SUM('8645C Innerduct'!B:B)</f>
        <v>11</v>
      </c>
      <c r="E7" s="129"/>
      <c r="F7" s="129"/>
      <c r="G7" s="264" t="s">
        <v>77</v>
      </c>
      <c r="H7" s="265"/>
      <c r="I7" s="137" t="e">
        <f>J7</f>
        <v>#REF!</v>
      </c>
      <c r="J7" s="138" t="e">
        <f>IF(K7="","",K7)</f>
        <v>#REF!</v>
      </c>
      <c r="K7" s="131" t="e">
        <f>IF(J6="","",IF(Aerial!D3="","",SUM(Aerial!D3,End_Sections!B9)))</f>
        <v>#REF!</v>
      </c>
      <c r="L7" s="264" t="s">
        <v>77</v>
      </c>
      <c r="M7" s="265"/>
      <c r="N7" s="137" t="e">
        <f>O7</f>
        <v>#REF!</v>
      </c>
      <c r="O7" s="138" t="e">
        <f>IF(P7="","",P7)</f>
        <v>#REF!</v>
      </c>
      <c r="P7" s="131" t="e">
        <f>IF(O6="","",IF(Aerial!H3="","",SUM(Aerial!H3,End_Sections!C9)))</f>
        <v>#REF!</v>
      </c>
      <c r="Q7" s="264" t="s">
        <v>77</v>
      </c>
      <c r="R7" s="265"/>
      <c r="S7" s="137" t="e">
        <f>T7</f>
        <v>#REF!</v>
      </c>
      <c r="T7" s="138" t="e">
        <f>IF(U7="","",U7)</f>
        <v>#REF!</v>
      </c>
      <c r="U7" s="131" t="e">
        <f>IF(T6="","",IF(Aerial!L3="","",SUM(Aerial!L3,End_Sections!D9)))</f>
        <v>#REF!</v>
      </c>
      <c r="V7" s="264" t="s">
        <v>77</v>
      </c>
      <c r="W7" s="265"/>
      <c r="X7" s="137" t="e">
        <f>Y7</f>
        <v>#REF!</v>
      </c>
      <c r="Y7" s="138" t="e">
        <f>IF(Z7="","",Z7)</f>
        <v>#REF!</v>
      </c>
      <c r="Z7" s="131" t="e">
        <f>IF(Y6="","",IF(Aerial!P3="","",SUM(Aerial!P3,End_Sections!E9)))</f>
        <v>#REF!</v>
      </c>
      <c r="AA7" s="264" t="s">
        <v>77</v>
      </c>
      <c r="AB7" s="265"/>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8"/>
      <c r="H8" s="268"/>
      <c r="I8" s="132"/>
      <c r="J8" s="133"/>
      <c r="K8" s="131" t="e">
        <f>K7</f>
        <v>#REF!</v>
      </c>
      <c r="L8" s="268"/>
      <c r="M8" s="268"/>
      <c r="N8" s="132"/>
      <c r="O8" s="133"/>
      <c r="P8" s="131"/>
      <c r="Q8" s="268"/>
      <c r="R8" s="268"/>
      <c r="S8" s="132"/>
      <c r="T8" s="133"/>
      <c r="U8" s="131"/>
      <c r="V8" s="268"/>
      <c r="W8" s="268"/>
      <c r="X8" s="132"/>
      <c r="Y8" s="133"/>
      <c r="Z8" s="131"/>
      <c r="AA8" s="268"/>
      <c r="AB8" s="268"/>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8"/>
      <c r="H9" s="268"/>
      <c r="I9" s="132"/>
      <c r="J9" s="133"/>
      <c r="K9" s="131"/>
      <c r="L9" s="268"/>
      <c r="M9" s="268"/>
      <c r="N9" s="132"/>
      <c r="O9" s="133"/>
      <c r="P9" s="131"/>
      <c r="Q9" s="268"/>
      <c r="R9" s="268"/>
      <c r="S9" s="132"/>
      <c r="T9" s="133"/>
      <c r="U9" s="131"/>
      <c r="V9" s="268"/>
      <c r="W9" s="268"/>
      <c r="X9" s="132"/>
      <c r="Y9" s="133"/>
      <c r="Z9" s="131"/>
      <c r="AA9" s="268"/>
      <c r="AB9" s="268"/>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6" t="s">
        <v>78</v>
      </c>
      <c r="H10" s="266"/>
      <c r="I10" s="266"/>
      <c r="J10" s="130"/>
      <c r="K10" s="131"/>
      <c r="L10" s="266" t="s">
        <v>79</v>
      </c>
      <c r="M10" s="266"/>
      <c r="N10" s="266"/>
      <c r="O10" s="130"/>
      <c r="P10" s="131"/>
      <c r="Q10" s="266" t="s">
        <v>80</v>
      </c>
      <c r="R10" s="266"/>
      <c r="S10" s="266"/>
      <c r="T10" s="130"/>
      <c r="U10" s="131"/>
      <c r="V10" s="266" t="s">
        <v>81</v>
      </c>
      <c r="W10" s="266"/>
      <c r="X10" s="266"/>
      <c r="Y10" s="130"/>
      <c r="Z10" s="131"/>
      <c r="AA10" s="266" t="s">
        <v>82</v>
      </c>
      <c r="AB10" s="266"/>
      <c r="AC10" s="266"/>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9" t="s">
        <v>83</v>
      </c>
      <c r="C11" s="269"/>
      <c r="D11" s="269"/>
      <c r="E11" s="129"/>
      <c r="F11" s="129"/>
      <c r="G11" s="264" t="s">
        <v>70</v>
      </c>
      <c r="H11" s="267"/>
      <c r="I11" s="137" t="str">
        <f>IFERROR(IF(AND(#REF!="Y",#REF!="N"),I12,IF(AND(I12&gt;0,End_Sections!G2="B"),IF(#REF!&lt;1000,I12+10,I12+20),I12)),"")</f>
        <v/>
      </c>
      <c r="J11" s="130"/>
      <c r="K11" s="131"/>
      <c r="L11" s="264" t="s">
        <v>70</v>
      </c>
      <c r="M11" s="267"/>
      <c r="N11" s="137" t="str">
        <f>IFERROR(IF(AND(#REF!="Y",#REF!="N"),N12,IF(AND(N12&gt;0,End_Sections!H2="B"),IF(#REF!&lt;1000,N12+10,N12+20),N12)),"")</f>
        <v/>
      </c>
      <c r="O11" s="130"/>
      <c r="P11" s="131"/>
      <c r="Q11" s="264" t="s">
        <v>70</v>
      </c>
      <c r="R11" s="267"/>
      <c r="S11" s="137" t="str">
        <f>IFERROR(IF(AND(#REF!="Y",#REF!="N"),S12,IF(AND(S12&gt;0,End_Sections!I2="B"),IF(#REF!&lt;1000,S12+10,S12+20),S12)),"")</f>
        <v/>
      </c>
      <c r="T11" s="130"/>
      <c r="U11" s="131"/>
      <c r="V11" s="264" t="s">
        <v>70</v>
      </c>
      <c r="W11" s="267"/>
      <c r="X11" s="137" t="str">
        <f>IFERROR(IF(AND(#REF!="Y",#REF!="N"),X12,IF(AND(X12&gt;0,End_Sections!J2="B"),IF(#REF!&lt;1000,X12+10,X12+20),X12)),"")</f>
        <v/>
      </c>
      <c r="Y11" s="130"/>
      <c r="Z11" s="131"/>
      <c r="AA11" s="264" t="s">
        <v>70</v>
      </c>
      <c r="AB11" s="267"/>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2" t="s">
        <v>84</v>
      </c>
      <c r="C12" s="262"/>
      <c r="D12" s="144">
        <f>Data!E2</f>
        <v>67</v>
      </c>
      <c r="E12" s="129"/>
      <c r="F12" s="129"/>
      <c r="G12" s="264" t="s">
        <v>72</v>
      </c>
      <c r="H12" s="267"/>
      <c r="I12" s="137" t="str">
        <f>IFERROR(IF(#REF!="","",IF(Aerial!X2="",#REF!,#REF!-(SUM(Aerial!X2,Aerial!X3,,End_Sections!G4,End_Sections!G9)))),"")</f>
        <v/>
      </c>
      <c r="J12" s="130"/>
      <c r="K12" s="131"/>
      <c r="L12" s="264" t="s">
        <v>72</v>
      </c>
      <c r="M12" s="267"/>
      <c r="N12" s="137" t="str">
        <f>IFERROR(IF(#REF!="","",IF(Aerial!AB2="",#REF!,#REF!-(SUM(Aerial!AB2,Aerial!AB3,End_Sections!H4,End_Sections!H9)))),"")</f>
        <v/>
      </c>
      <c r="O12" s="130"/>
      <c r="P12" s="131"/>
      <c r="Q12" s="264" t="s">
        <v>72</v>
      </c>
      <c r="R12" s="267"/>
      <c r="S12" s="137" t="str">
        <f>IFERROR(IF(#REF!="","",IF(Aerial!AF2="",#REF!,#REF!-(SUM(Aerial!AF2,Aerial!AF3,End_Sections!I4,End_Sections!I9)))),"")</f>
        <v/>
      </c>
      <c r="T12" s="130"/>
      <c r="U12" s="131"/>
      <c r="V12" s="264" t="s">
        <v>72</v>
      </c>
      <c r="W12" s="267"/>
      <c r="X12" s="137" t="str">
        <f>IFERROR(IF(#REF!="","",IF(Aerial!AJ2="",#REF!,#REF!-(SUM(Aerial!AJ2,Aerial!AJ3,End_Sections!J4,End_Sections!J9)))),"")</f>
        <v/>
      </c>
      <c r="Y12" s="130"/>
      <c r="Z12" s="131"/>
      <c r="AA12" s="264" t="s">
        <v>72</v>
      </c>
      <c r="AB12" s="267"/>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2" t="s">
        <v>85</v>
      </c>
      <c r="C13" s="262"/>
      <c r="D13" s="144">
        <f>Data!E3</f>
        <v>2</v>
      </c>
      <c r="E13" s="129"/>
      <c r="F13" s="129"/>
      <c r="G13" s="264" t="s">
        <v>71</v>
      </c>
      <c r="H13" s="265"/>
      <c r="I13" s="137" t="str">
        <f>IFERROR(IF(#REF!="","",I12-(SUM(#REF!))-(SUM(End_Sections!G3,End_Sections!G8))),"")</f>
        <v/>
      </c>
      <c r="J13" s="130"/>
      <c r="K13" s="131"/>
      <c r="L13" s="264" t="s">
        <v>71</v>
      </c>
      <c r="M13" s="265"/>
      <c r="N13" s="137" t="str">
        <f>IFERROR(IF(#REF!="","",N12-(SUM(#REF!))-(SUM(End_Sections!H3,End_Sections!H8))),"")</f>
        <v/>
      </c>
      <c r="O13" s="130"/>
      <c r="P13" s="131"/>
      <c r="Q13" s="264" t="s">
        <v>71</v>
      </c>
      <c r="R13" s="265"/>
      <c r="S13" s="137" t="str">
        <f>IFERROR(IF(#REF!="","",S12-(SUM(#REF!))-(SUM(End_Sections!I3,End_Sections!I8))),"")</f>
        <v/>
      </c>
      <c r="T13" s="130"/>
      <c r="U13" s="131"/>
      <c r="V13" s="264" t="s">
        <v>71</v>
      </c>
      <c r="W13" s="265"/>
      <c r="X13" s="137" t="str">
        <f>IFERROR(IF(#REF!="","",X12-(SUM(#REF!))-(SUM(End_Sections!J3,End_Sections!J8))),"")</f>
        <v/>
      </c>
      <c r="Y13" s="130"/>
      <c r="Z13" s="131"/>
      <c r="AA13" s="264" t="s">
        <v>71</v>
      </c>
      <c r="AB13" s="265"/>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2" t="s">
        <v>86</v>
      </c>
      <c r="C14" s="262"/>
      <c r="D14" s="144">
        <f>Data!E4</f>
        <v>7</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2" t="s">
        <v>87</v>
      </c>
      <c r="C15" s="262"/>
      <c r="D15" s="144">
        <f>Data!E5</f>
        <v>11</v>
      </c>
      <c r="E15" s="129"/>
      <c r="F15" s="129"/>
      <c r="G15" s="264" t="s">
        <v>75</v>
      </c>
      <c r="H15" s="265"/>
      <c r="I15" s="137" t="str">
        <f>IFERROR(IF(AND(#REF!="Y",#REF!="N"),J15,IF(End_Sections!G2="A",IF(#REF!&lt;1000,J15+10,J15+20),J15)),"")</f>
        <v/>
      </c>
      <c r="J15" s="138" t="e">
        <f>IF(K15=0,"",K15)</f>
        <v>#REF!</v>
      </c>
      <c r="K15" s="131" t="e">
        <f>IF(I$12=0,#REF!,IF(Aerial!X3="",SUM(Aerial!X2,End_Sections!G4,End_Sections!G9),Aerial!X2))</f>
        <v>#REF!</v>
      </c>
      <c r="L15" s="264" t="s">
        <v>75</v>
      </c>
      <c r="M15" s="265"/>
      <c r="N15" s="137" t="str">
        <f>IFERROR(IF(AND(#REF!="Y",#REF!="N"),O15,IF(End_Sections!H2="A",IF(#REF!&lt;1000,O15+10,O15+20),O15)),"")</f>
        <v/>
      </c>
      <c r="O15" s="138" t="e">
        <f>IF(P15=0,"",P15)</f>
        <v>#REF!</v>
      </c>
      <c r="P15" s="131" t="e">
        <f>IF(N$12=0,#REF!,IF(Aerial!AB3="",SUM(Aerial!AB2,End_Sections!H4,End_Sections!H9),Aerial!AB2))</f>
        <v>#REF!</v>
      </c>
      <c r="Q15" s="264" t="s">
        <v>75</v>
      </c>
      <c r="R15" s="265"/>
      <c r="S15" s="137" t="str">
        <f>IFERROR(IF(AND(#REF!="Y",#REF!="N"),T15,IF(End_Sections!I2="A",IF(#REF!&lt;1000,T15+10,T15+20),T15)),"")</f>
        <v/>
      </c>
      <c r="T15" s="138" t="e">
        <f>IF(U15=0,"",U15)</f>
        <v>#REF!</v>
      </c>
      <c r="U15" s="131" t="e">
        <f>IF(S$12=0,#REF!,IF(Aerial!AF3="",SUM(Aerial!AF2,End_Sections!I4,End_Sections!I9),Aerial!AF2))</f>
        <v>#REF!</v>
      </c>
      <c r="V15" s="264" t="s">
        <v>75</v>
      </c>
      <c r="W15" s="265"/>
      <c r="X15" s="137" t="str">
        <f>IFERROR(IF(AND(#REF!="Y",#REF!="N"),Y15,IF(End_Sections!J2="A",IF(#REF!&lt;1000,Y15+10,Y15+20),Y15)),"")</f>
        <v/>
      </c>
      <c r="Y15" s="138" t="e">
        <f>IF(Z15=0,"",Z15)</f>
        <v>#REF!</v>
      </c>
      <c r="Z15" s="131" t="e">
        <f>IF(X$12=0,#REF!,IF(Aerial!AJ3="",SUM(Aerial!AJ2,End_Sections!J4,End_Sections!J9),Aerial!AJ2))</f>
        <v>#REF!</v>
      </c>
      <c r="AA15" s="264" t="s">
        <v>75</v>
      </c>
      <c r="AB15" s="265"/>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7"/>
      <c r="I16" s="137" t="str">
        <f>IFERROR(IF(AND(#REF!="Y",#REF!="N"),I17,IF(AND(I17&gt;0,End_Sections!L2="B"),IF(#REF!&lt;1000,I17+10,I17+20),I17)),"")</f>
        <v/>
      </c>
      <c r="J16" s="130"/>
      <c r="K16" s="131"/>
      <c r="L16" s="264" t="s">
        <v>70</v>
      </c>
      <c r="M16" s="267"/>
      <c r="N16" s="137" t="str">
        <f>IFERROR(IF(AND(#REF!="Y",#REF!="N"),N17,IF(AND(N17&gt;0,End_Sections!M2="B"),IF(#REF!&lt;1000,N17+10,N17+20),N17)),"")</f>
        <v/>
      </c>
      <c r="O16" s="130"/>
      <c r="P16" s="131"/>
      <c r="Q16" s="264" t="s">
        <v>70</v>
      </c>
      <c r="R16" s="267"/>
      <c r="S16" s="137" t="str">
        <f>IFERROR(IF(AND(#REF!="Y",#REF!="N"),S17,IF(AND(S17&gt;0,End_Sections!N2="B"),IF(#REF!&lt;1000,S17+10,S17+20),S17)),"")</f>
        <v/>
      </c>
      <c r="T16" s="130"/>
      <c r="U16" s="131"/>
      <c r="V16" s="264" t="s">
        <v>70</v>
      </c>
      <c r="W16" s="267"/>
      <c r="X16" s="137" t="str">
        <f>IFERROR(IF(AND(#REF!="Y",#REF!="N"),X17,IF(AND(X17&gt;0,End_Sections!O2="B"),IF(#REF!&lt;1000,X17+10,X17+20),X17)),"")</f>
        <v/>
      </c>
      <c r="Y16" s="130"/>
      <c r="Z16" s="131"/>
      <c r="AA16" s="264" t="s">
        <v>70</v>
      </c>
      <c r="AB16" s="267"/>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7"/>
      <c r="I17" s="137" t="str">
        <f>IFERROR(IF(#REF!="","",IF(Aerial!AR2="",#REF!,#REF!-(SUM(Aerial!AR2,Aerial!AR3,End_Sections!L4,End_Sections!L9)))),"")</f>
        <v/>
      </c>
      <c r="J17" s="130"/>
      <c r="K17" s="131"/>
      <c r="L17" s="264" t="s">
        <v>72</v>
      </c>
      <c r="M17" s="267"/>
      <c r="N17" s="137" t="str">
        <f>IFERROR(IF(#REF!="","",IF(Aerial!AV2="",#REF!,#REF!-(SUM(Aerial!AV2,Aerial!AV3,End_Sections!M4,End_Sections!M9)))),"")</f>
        <v/>
      </c>
      <c r="O17" s="130"/>
      <c r="P17" s="131"/>
      <c r="Q17" s="264" t="s">
        <v>72</v>
      </c>
      <c r="R17" s="267"/>
      <c r="S17" s="137" t="str">
        <f>IFERROR(IF(#REF!="","",IF(Aerial!AZ2="",#REF!,#REF!-(SUM(Aerial!AZ2,Aerial!AZ3,End_Sections!N4,End_Sections!N9)))),"")</f>
        <v/>
      </c>
      <c r="T17" s="130"/>
      <c r="U17" s="131"/>
      <c r="V17" s="264" t="s">
        <v>72</v>
      </c>
      <c r="W17" s="267"/>
      <c r="X17" s="137" t="str">
        <f>IFERROR(IF(#REF!="","",IF(Aerial!BD2="",#REF!,#REF!-(SUM(Aerial!BD2,Aerial!BD3,End_Sections!O4,End_Sections!O9)))),"")</f>
        <v/>
      </c>
      <c r="Y17" s="130"/>
      <c r="Z17" s="131"/>
      <c r="AA17" s="264" t="s">
        <v>72</v>
      </c>
      <c r="AB17" s="267"/>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5"/>
      <c r="I18" s="137" t="str">
        <f>IFERROR(IF(#REF!="","",I17-(SUM(#REF!))-(SUM(End_Sections!L3,End_Sections!L8))),"")</f>
        <v/>
      </c>
      <c r="J18" s="130"/>
      <c r="K18" s="131"/>
      <c r="L18" s="264" t="s">
        <v>71</v>
      </c>
      <c r="M18" s="265"/>
      <c r="N18" s="137" t="str">
        <f>IFERROR(IF(#REF!="","",N17-(SUM(#REF!))-(SUM(End_Sections!M3,End_Sections!M8))),"")</f>
        <v/>
      </c>
      <c r="O18" s="130"/>
      <c r="P18" s="131"/>
      <c r="Q18" s="264" t="s">
        <v>71</v>
      </c>
      <c r="R18" s="265"/>
      <c r="S18" s="137" t="str">
        <f>IFERROR(IF(#REF!="","",S17-(SUM(#REF!))-(SUM(End_Sections!N3,End_Sections!N8))),"")</f>
        <v/>
      </c>
      <c r="T18" s="130"/>
      <c r="U18" s="131"/>
      <c r="V18" s="264" t="s">
        <v>71</v>
      </c>
      <c r="W18" s="265"/>
      <c r="X18" s="137" t="str">
        <f>IFERROR(IF(#REF!="","",X17-(SUM(#REF!))-(SUM(End_Sections!O3,End_Sections!O8))),"")</f>
        <v/>
      </c>
      <c r="Y18" s="130"/>
      <c r="Z18" s="131"/>
      <c r="AA18" s="264" t="s">
        <v>71</v>
      </c>
      <c r="AB18" s="265"/>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9" t="s">
        <v>88</v>
      </c>
      <c r="C19" s="269"/>
      <c r="D19" s="269"/>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5"/>
      <c r="I23" s="137" t="e">
        <f>J23</f>
        <v>#REF!</v>
      </c>
      <c r="J23" s="138" t="e">
        <f>IF(K23=0,"",K23)</f>
        <v>#REF!</v>
      </c>
      <c r="K23" s="131" t="e">
        <f>IF(#REF!="","",IF(Aerial!AR3="","",SUM(Aerial!AR3,End_Sections!L9)))</f>
        <v>#REF!</v>
      </c>
      <c r="L23" s="264" t="s">
        <v>77</v>
      </c>
      <c r="M23" s="265"/>
      <c r="N23" s="137" t="e">
        <f>O23</f>
        <v>#REF!</v>
      </c>
      <c r="O23" s="138" t="e">
        <f>IF(P23=0,"",P23)</f>
        <v>#REF!</v>
      </c>
      <c r="P23" s="131" t="e">
        <f>IF(#REF!="","",IF(Aerial!AV3="","",SUM(Aerial!AV3,End_Sections!M9)))</f>
        <v>#REF!</v>
      </c>
      <c r="Q23" s="264" t="s">
        <v>77</v>
      </c>
      <c r="R23" s="265"/>
      <c r="S23" s="137" t="e">
        <f>T23</f>
        <v>#REF!</v>
      </c>
      <c r="T23" s="138" t="e">
        <f>IF(U23=0,"",U23)</f>
        <v>#REF!</v>
      </c>
      <c r="U23" s="131" t="e">
        <f>IF(#REF!="","",IF(Aerial!AZ3="","",SUM(Aerial!AZ3,End_Sections!N9)))</f>
        <v>#REF!</v>
      </c>
      <c r="V23" s="264" t="s">
        <v>77</v>
      </c>
      <c r="W23" s="265"/>
      <c r="X23" s="137" t="e">
        <f>Y23</f>
        <v>#REF!</v>
      </c>
      <c r="Y23" s="138" t="e">
        <f>IF(Z23=0,"",Z23)</f>
        <v>#REF!</v>
      </c>
      <c r="Z23" s="131" t="e">
        <f>IF(#REF!="","",IF(Aerial!BD3="","",SUM(Aerial!BD3,End_Sections!O9)))</f>
        <v>#REF!</v>
      </c>
      <c r="AA23" s="264" t="s">
        <v>77</v>
      </c>
      <c r="AB23" s="265"/>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3" t="s">
        <v>92</v>
      </c>
      <c r="C24" s="263"/>
      <c r="D24" s="263"/>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0" t="s">
        <v>93</v>
      </c>
      <c r="C25" s="270"/>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1" t="s">
        <v>94</v>
      </c>
      <c r="C26" s="271"/>
      <c r="D26" s="145"/>
      <c r="E26" s="129"/>
      <c r="F26" s="129"/>
      <c r="G26" s="266" t="s">
        <v>95</v>
      </c>
      <c r="H26" s="266"/>
      <c r="I26" s="266"/>
      <c r="J26" s="130"/>
      <c r="K26" s="131"/>
      <c r="L26" s="266" t="s">
        <v>96</v>
      </c>
      <c r="M26" s="266"/>
      <c r="N26" s="266"/>
      <c r="O26" s="130"/>
      <c r="P26" s="131"/>
      <c r="Q26" s="266" t="s">
        <v>97</v>
      </c>
      <c r="R26" s="266"/>
      <c r="S26" s="266"/>
      <c r="T26" s="130"/>
      <c r="U26" s="131"/>
      <c r="V26" s="266" t="s">
        <v>98</v>
      </c>
      <c r="W26" s="266"/>
      <c r="X26" s="266"/>
      <c r="Y26" s="130"/>
      <c r="Z26" s="131"/>
      <c r="AA26" s="266" t="s">
        <v>99</v>
      </c>
      <c r="AB26" s="266"/>
      <c r="AC26" s="266"/>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0" t="s">
        <v>100</v>
      </c>
      <c r="C27" s="270"/>
      <c r="D27" s="145"/>
      <c r="E27" s="129"/>
      <c r="F27" s="129"/>
      <c r="G27" s="264" t="s">
        <v>70</v>
      </c>
      <c r="H27" s="267"/>
      <c r="I27" s="137" t="str">
        <f>IFERROR(IF(AND(#REF!="Y",#REF!="N"),#REF!,IF(AND(#REF!&gt;0,End_Sections!Q2="B"),IF(#REF!&lt;1000,#REF!+10,#REF!+20),#REF!)),"")</f>
        <v/>
      </c>
      <c r="J27" s="130"/>
      <c r="K27" s="131"/>
      <c r="L27" s="264" t="s">
        <v>70</v>
      </c>
      <c r="M27" s="267"/>
      <c r="N27" s="137" t="str">
        <f>IFERROR(IF(AND(#REF!="Y",#REF!="N"),#REF!,IF(AND(#REF!&gt;0,End_Sections!R2="B"),IF(#REF!&lt;1000,#REF!+10,#REF!+20),#REF!)),"")</f>
        <v/>
      </c>
      <c r="O27" s="130"/>
      <c r="P27" s="131"/>
      <c r="Q27" s="264" t="s">
        <v>70</v>
      </c>
      <c r="R27" s="267"/>
      <c r="S27" s="137" t="str">
        <f>IFERROR(IF(AND(#REF!="Y",#REF!="N"),#REF!,IF(AND(#REF!&gt;0,End_Sections!S2="B"),IF(#REF!&lt;1000,#REF!+10,#REF!+20),#REF!)),"")</f>
        <v/>
      </c>
      <c r="T27" s="130"/>
      <c r="U27" s="131"/>
      <c r="V27" s="264" t="s">
        <v>70</v>
      </c>
      <c r="W27" s="267"/>
      <c r="X27" s="137" t="str">
        <f>IFERROR(IF(AND(#REF!="Y",#REF!="N"),#REF!,IF(AND(#REF!&gt;0,End_Sections!T2="B"),IF(#REF!&lt;1000,#REF!+10,#REF!+20),#REF!)),"")</f>
        <v/>
      </c>
      <c r="Y27" s="130"/>
      <c r="Z27" s="131"/>
      <c r="AA27" s="264" t="s">
        <v>70</v>
      </c>
      <c r="AB27" s="267"/>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1" t="s">
        <v>101</v>
      </c>
      <c r="C28" s="271"/>
      <c r="D28" s="145"/>
      <c r="E28" s="129"/>
      <c r="F28" s="129"/>
      <c r="G28" s="264" t="s">
        <v>71</v>
      </c>
      <c r="H28" s="265"/>
      <c r="I28" s="137" t="str">
        <f>IFERROR(IF(#REF!="","",#REF!-(SUM(#REF!))-(SUM(End_Sections!Q3,End_Sections!Q8))),"")</f>
        <v/>
      </c>
      <c r="J28" s="130"/>
      <c r="K28" s="131"/>
      <c r="L28" s="264" t="s">
        <v>71</v>
      </c>
      <c r="M28" s="265"/>
      <c r="N28" s="137" t="str">
        <f>IFERROR(IF(#REF!="","",#REF!-(SUM(#REF!))-(SUM(End_Sections!R3,End_Sections!R8))),"")</f>
        <v/>
      </c>
      <c r="O28" s="130"/>
      <c r="P28" s="131"/>
      <c r="Q28" s="264" t="s">
        <v>71</v>
      </c>
      <c r="R28" s="265"/>
      <c r="S28" s="137" t="str">
        <f>IFERROR(IF(#REF!="","",#REF!-(SUM(#REF!))-(SUM(End_Sections!S3,End_Sections!S8))),"")</f>
        <v/>
      </c>
      <c r="T28" s="130"/>
      <c r="U28" s="131"/>
      <c r="V28" s="264" t="s">
        <v>71</v>
      </c>
      <c r="W28" s="265"/>
      <c r="X28" s="137" t="str">
        <f>IFERROR(IF(#REF!="","",#REF!-(SUM(#REF!))-(SUM(End_Sections!T3,End_Sections!T8))),"")</f>
        <v/>
      </c>
      <c r="Y28" s="130"/>
      <c r="Z28" s="131"/>
      <c r="AA28" s="264" t="s">
        <v>71</v>
      </c>
      <c r="AB28" s="265"/>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1" t="s">
        <v>102</v>
      </c>
      <c r="C29" s="271"/>
      <c r="D29" s="145"/>
      <c r="E29" s="129"/>
      <c r="F29" s="129"/>
      <c r="G29" s="264" t="s">
        <v>75</v>
      </c>
      <c r="H29" s="265"/>
      <c r="I29" s="137" t="str">
        <f>IFERROR(IF(AND(#REF!="Y",#REF!="N"),J29,IF(End_Sections!Q2="A",IF(#REF!&lt;1000,J29+10,J29+20),J29)),"")</f>
        <v/>
      </c>
      <c r="J29" s="138" t="e">
        <f>IF(K29=0,"",K29)</f>
        <v>#REF!</v>
      </c>
      <c r="K29" s="131" t="e">
        <f>IF(#REF!=0,#REF!,IF(Aerial!BL3="",SUM(Aerial!BL2,End_Sections!Q4,End_Sections!Q9),Aerial!BL2))</f>
        <v>#REF!</v>
      </c>
      <c r="L29" s="264" t="s">
        <v>75</v>
      </c>
      <c r="M29" s="265"/>
      <c r="N29" s="137" t="str">
        <f>IFERROR(IF(AND(#REF!="Y",#REF!="N"),O29,IF(End_Sections!R2="A",IF(#REF!&lt;1000,O29+10,O29+20),O29)),"")</f>
        <v/>
      </c>
      <c r="O29" s="138" t="e">
        <f>IF(P29=0,"",P29)</f>
        <v>#REF!</v>
      </c>
      <c r="P29" s="131" t="e">
        <f>IF(#REF!=0,#REF!,IF(Aerial!BP3="",SUM(Aerial!BP2,End_Sections!R4,End_Sections!R9),Aerial!BP2))</f>
        <v>#REF!</v>
      </c>
      <c r="Q29" s="264" t="s">
        <v>75</v>
      </c>
      <c r="R29" s="265"/>
      <c r="S29" s="137" t="str">
        <f>IFERROR(IF(AND(#REF!="Y",#REF!="N"),T29,IF(End_Sections!S2="A",IF(#REF!&lt;1000,T29+10,T29+20),T29)),"")</f>
        <v/>
      </c>
      <c r="T29" s="138" t="e">
        <f>IF(U29=0,"",U29)</f>
        <v>#REF!</v>
      </c>
      <c r="U29" s="131" t="e">
        <f>IF(#REF!=0,#REF!,IF(Aerial!BT3="",SUM(Aerial!BT2,End_Sections!S4,End_Sections!S9),Aerial!BT2))</f>
        <v>#REF!</v>
      </c>
      <c r="V29" s="264" t="s">
        <v>75</v>
      </c>
      <c r="W29" s="265"/>
      <c r="X29" s="137" t="str">
        <f>IFERROR(IF(AND(#REF!="Y",#REF!="N"),Y29,IF(End_Sections!T2="A",IF(#REF!&lt;1000,Y29+10,Y29+20),Y29)),"")</f>
        <v/>
      </c>
      <c r="Y29" s="138" t="e">
        <f>IF(Z29=0,"",Z29)</f>
        <v>#REF!</v>
      </c>
      <c r="Z29" s="131" t="e">
        <f>IF(#REF!=0,#REF!,IF(Aerial!BX3="",SUM(Aerial!BX2,End_Sections!T4,End_Sections!T9),Aerial!BX2))</f>
        <v>#REF!</v>
      </c>
      <c r="AA29" s="264" t="s">
        <v>75</v>
      </c>
      <c r="AB29" s="265"/>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2"/>
      <c r="C30" s="272"/>
      <c r="D30" s="272"/>
      <c r="E30" s="129"/>
      <c r="F30" s="129"/>
      <c r="G30" s="264" t="s">
        <v>77</v>
      </c>
      <c r="H30" s="265"/>
      <c r="I30" s="137" t="e">
        <f>J30</f>
        <v>#REF!</v>
      </c>
      <c r="J30" s="138" t="e">
        <f>IF(K30=0,"",K30)</f>
        <v>#REF!</v>
      </c>
      <c r="K30" s="131" t="e">
        <f>IF(J29="","",IF(Aerial!BL3="","",SUM(Aerial!BL3,End_Sections!Q9)))</f>
        <v>#REF!</v>
      </c>
      <c r="L30" s="264" t="s">
        <v>77</v>
      </c>
      <c r="M30" s="265"/>
      <c r="N30" s="137" t="e">
        <f>O30</f>
        <v>#REF!</v>
      </c>
      <c r="O30" s="138" t="e">
        <f>IF(P30=0,"",P30)</f>
        <v>#REF!</v>
      </c>
      <c r="P30" s="131" t="e">
        <f>IF(O29="","",IF(Aerial!BP3="","",SUM(Aerial!BP3,End_Sections!R9)))</f>
        <v>#REF!</v>
      </c>
      <c r="Q30" s="264" t="s">
        <v>77</v>
      </c>
      <c r="R30" s="265"/>
      <c r="S30" s="137" t="e">
        <f>T30</f>
        <v>#REF!</v>
      </c>
      <c r="T30" s="138" t="e">
        <f>IF(U30=0,"",U30)</f>
        <v>#REF!</v>
      </c>
      <c r="U30" s="131" t="e">
        <f>IF(T29="","",IF(Aerial!BT3="","",SUM(Aerial!BT3,End_Sections!S9)))</f>
        <v>#REF!</v>
      </c>
      <c r="V30" s="264" t="s">
        <v>77</v>
      </c>
      <c r="W30" s="265"/>
      <c r="X30" s="137" t="e">
        <f>Y30</f>
        <v>#REF!</v>
      </c>
      <c r="Y30" s="138" t="e">
        <f>IF(Z30=0,"",Z30)</f>
        <v>#REF!</v>
      </c>
      <c r="Z30" s="131" t="e">
        <f>IF(Y29="","",IF(Aerial!BX3="","",SUM(Aerial!BX3,End_Sections!T9)))</f>
        <v>#REF!</v>
      </c>
      <c r="AA30" s="264" t="s">
        <v>77</v>
      </c>
      <c r="AB30" s="265"/>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8"/>
      <c r="C31" s="268"/>
      <c r="D31" s="136"/>
      <c r="E31" s="129"/>
      <c r="F31" s="129"/>
      <c r="G31" s="268"/>
      <c r="H31" s="268"/>
      <c r="I31" s="132"/>
      <c r="J31" s="133"/>
      <c r="K31" s="131"/>
      <c r="L31" s="268"/>
      <c r="M31" s="268"/>
      <c r="N31" s="132"/>
      <c r="O31" s="133"/>
      <c r="P31" s="131"/>
      <c r="Q31" s="268"/>
      <c r="R31" s="268"/>
      <c r="S31" s="132"/>
      <c r="T31" s="133"/>
      <c r="U31" s="131"/>
      <c r="V31" s="268"/>
      <c r="W31" s="268"/>
      <c r="X31" s="132"/>
      <c r="Y31" s="133"/>
      <c r="Z31" s="131"/>
      <c r="AA31" s="268"/>
      <c r="AB31" s="268"/>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8"/>
      <c r="C32" s="268"/>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6" t="s">
        <v>103</v>
      </c>
      <c r="H33" s="266"/>
      <c r="I33" s="266"/>
      <c r="J33" s="130"/>
      <c r="K33" s="131"/>
      <c r="L33" s="266" t="s">
        <v>104</v>
      </c>
      <c r="M33" s="266"/>
      <c r="N33" s="266"/>
      <c r="O33" s="130"/>
      <c r="P33" s="131"/>
      <c r="Q33" s="266" t="s">
        <v>105</v>
      </c>
      <c r="R33" s="266"/>
      <c r="S33" s="266"/>
      <c r="T33" s="130"/>
      <c r="U33" s="131"/>
      <c r="V33" s="266" t="s">
        <v>106</v>
      </c>
      <c r="W33" s="266"/>
      <c r="X33" s="266"/>
      <c r="Y33" s="130"/>
      <c r="Z33" s="131"/>
      <c r="AA33" s="266" t="s">
        <v>107</v>
      </c>
      <c r="AB33" s="266"/>
      <c r="AC33" s="266"/>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7"/>
      <c r="I34" s="137" t="str">
        <f>IFERROR(IF(AND(#REF!="Y",#REF!="N"),I35,IF(AND(I35&gt;0,End_Sections!V2="B"),IF(#REF!&lt;1000,I35+10,I35+20),I35)),"")</f>
        <v/>
      </c>
      <c r="J34" s="130"/>
      <c r="K34" s="131"/>
      <c r="L34" s="264" t="s">
        <v>70</v>
      </c>
      <c r="M34" s="267"/>
      <c r="N34" s="137" t="str">
        <f>IFERROR(IF(AND(#REF!="Y",#REF!="N"),N35,IF(AND(N35&gt;0,End_Sections!W2="B"),IF(#REF!&lt;1000,N35+10,N35+20),N35)),"")</f>
        <v/>
      </c>
      <c r="O34" s="130"/>
      <c r="P34" s="131"/>
      <c r="Q34" s="264" t="s">
        <v>70</v>
      </c>
      <c r="R34" s="267"/>
      <c r="S34" s="137" t="str">
        <f>IFERROR(IF(AND(#REF!="Y",#REF!="N"),S35,IF(AND(S35&gt;0,End_Sections!X2="B"),IF(#REF!&lt;1000,S35+10,S35+20),S35)),"")</f>
        <v/>
      </c>
      <c r="T34" s="130"/>
      <c r="U34" s="131"/>
      <c r="V34" s="264" t="s">
        <v>70</v>
      </c>
      <c r="W34" s="267"/>
      <c r="X34" s="137" t="str">
        <f>IFERROR(IF(AND(#REF!="Y",#REF!="N"),X35,IF(AND(X35&gt;0,End_Sections!Y2="B"),IF(#REF!&lt;1000,X35+10,X35+20),X35)),"")</f>
        <v/>
      </c>
      <c r="Y34" s="130"/>
      <c r="Z34" s="131"/>
      <c r="AA34" s="264" t="s">
        <v>70</v>
      </c>
      <c r="AB34" s="267"/>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7"/>
      <c r="I35" s="137" t="str">
        <f>IFERROR(IF(#REF!="","",IF(Aerial!CF2="",#REF!,#REF!-(SUM(Aerial!CF2,Aerial!CF3,End_Sections!V4,End_Sections!V9)))),"")</f>
        <v/>
      </c>
      <c r="J35" s="130"/>
      <c r="K35" s="131"/>
      <c r="L35" s="264" t="s">
        <v>72</v>
      </c>
      <c r="M35" s="267"/>
      <c r="N35" s="137" t="str">
        <f>IFERROR(IF(#REF!="","",IF(Aerial!CJ2="",#REF!,#REF!-(SUM(Aerial!CJ2,Aerial!CJ3,End_Sections!W4,End_Sections!W9)))),"")</f>
        <v/>
      </c>
      <c r="O35" s="130"/>
      <c r="P35" s="131"/>
      <c r="Q35" s="264" t="s">
        <v>72</v>
      </c>
      <c r="R35" s="267"/>
      <c r="S35" s="137" t="str">
        <f>IFERROR(IF(#REF!="","",IF(Aerial!CN2="",#REF!,#REF!-(SUM(Aerial!CN2,Aerial!CN3,End_Sections!X4,End_Sections!X9)))),"")</f>
        <v/>
      </c>
      <c r="T35" s="130"/>
      <c r="U35" s="131"/>
      <c r="V35" s="264" t="s">
        <v>72</v>
      </c>
      <c r="W35" s="267"/>
      <c r="X35" s="137" t="str">
        <f>IFERROR(IF(#REF!="","",IF(Aerial!CR2="",#REF!,#REF!-(SUM(Aerial!CR2,Aerial!CR3,End_Sections!Y4,End_Sections!Y9)))),"")</f>
        <v/>
      </c>
      <c r="Y35" s="130"/>
      <c r="Z35" s="131"/>
      <c r="AA35" s="264" t="s">
        <v>72</v>
      </c>
      <c r="AB35" s="267"/>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5"/>
      <c r="I36" s="137" t="str">
        <f>IFERROR(IF(#REF!="","",I35-(SUM(#REF!))-(SUM(End_Sections!V3,End_Sections!V8))),"")</f>
        <v/>
      </c>
      <c r="J36" s="130"/>
      <c r="K36" s="131"/>
      <c r="L36" s="264" t="s">
        <v>71</v>
      </c>
      <c r="M36" s="265"/>
      <c r="N36" s="137" t="str">
        <f>IFERROR(IF(#REF!="","",N35-(SUM(#REF!))-(SUM(End_Sections!W3,End_Sections!W8))),"")</f>
        <v/>
      </c>
      <c r="O36" s="130"/>
      <c r="P36" s="131"/>
      <c r="Q36" s="264" t="s">
        <v>71</v>
      </c>
      <c r="R36" s="265"/>
      <c r="S36" s="137" t="str">
        <f>IFERROR(IF(#REF!="","",S35-(SUM(#REF!))-(SUM(End_Sections!X3,End_Sections!X8))),"")</f>
        <v/>
      </c>
      <c r="T36" s="130"/>
      <c r="U36" s="131"/>
      <c r="V36" s="264" t="s">
        <v>71</v>
      </c>
      <c r="W36" s="265"/>
      <c r="X36" s="137" t="str">
        <f>IFERROR(IF(#REF!="","",X35-(SUM(#REF!))-(SUM(End_Sections!Y3,End_Sections!Y8))),"")</f>
        <v/>
      </c>
      <c r="Y36" s="130"/>
      <c r="Z36" s="131"/>
      <c r="AA36" s="264" t="s">
        <v>71</v>
      </c>
      <c r="AB36" s="265"/>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5"/>
      <c r="I37" s="137" t="str">
        <f>IFERROR(IF(AND(#REF!="Y",#REF!="N"),J37,IF(End_Sections!V2="A",IF(#REF!&lt;1000,J37+10,J37+20),J37)),"")</f>
        <v/>
      </c>
      <c r="J37" s="138" t="e">
        <f>IF(K37=0,"",K37)</f>
        <v>#REF!</v>
      </c>
      <c r="K37" s="131" t="e">
        <f>IF(I35=0,#REF!,IF(Aerial!CF3="",SUM(Aerial!CF2,End_Sections!V4,End_Sections!V9),Aerial!CF2))</f>
        <v>#REF!</v>
      </c>
      <c r="L37" s="264" t="s">
        <v>75</v>
      </c>
      <c r="M37" s="265"/>
      <c r="N37" s="137" t="str">
        <f>IFERROR(IF(AND(#REF!="Y",#REF!="N"),O37,IF(End_Sections!W2="A",IF(#REF!&lt;1000,O37+10,O37+20),O37)),"")</f>
        <v/>
      </c>
      <c r="O37" s="138" t="e">
        <f>IF(P37=0,"",P37)</f>
        <v>#REF!</v>
      </c>
      <c r="P37" s="131" t="e">
        <f>IF(N35=0,#REF!,IF(Aerial!CJ3="",SUM(Aerial!CJ2,End_Sections!W4,End_Sections!W9),Aerial!CJ2))</f>
        <v>#REF!</v>
      </c>
      <c r="Q37" s="264" t="s">
        <v>75</v>
      </c>
      <c r="R37" s="265"/>
      <c r="S37" s="137" t="str">
        <f>IFERROR(IF(AND(#REF!="Y",#REF!="N"),T37,IF(End_Sections!X2="A",IF(#REF!&lt;1000,T37+10,T37+20),T37)),"")</f>
        <v/>
      </c>
      <c r="T37" s="138" t="e">
        <f>IF(U37=0,"",U37)</f>
        <v>#REF!</v>
      </c>
      <c r="U37" s="131" t="e">
        <f>IF(S35=0,#REF!,IF(Aerial!CN3="",SUM(Aerial!CN2,End_Sections!X4,End_Sections!X9),Aerial!CN2))</f>
        <v>#REF!</v>
      </c>
      <c r="V37" s="264" t="s">
        <v>75</v>
      </c>
      <c r="W37" s="265"/>
      <c r="X37" s="137" t="str">
        <f>IFERROR(IF(AND(#REF!="Y",#REF!="N"),Y37,IF(End_Sections!Y2="A",IF(#REF!&lt;1000,Y37+10,Y37+20),Y37)),"")</f>
        <v/>
      </c>
      <c r="Y37" s="138" t="e">
        <f>IF(Z37=0,"",Z37)</f>
        <v>#REF!</v>
      </c>
      <c r="Z37" s="131" t="e">
        <f>IF(X35=0,#REF!,IF(Aerial!CR3="",SUM(Aerial!CR2,End_Sections!Y4,End_Sections!Y9),Aerial!CR2))</f>
        <v>#REF!</v>
      </c>
      <c r="AA37" s="264" t="s">
        <v>75</v>
      </c>
      <c r="AB37" s="265"/>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5"/>
      <c r="I38" s="137" t="e">
        <f>J38</f>
        <v>#REF!</v>
      </c>
      <c r="J38" s="138" t="e">
        <f>IF(K38="","",K38)</f>
        <v>#REF!</v>
      </c>
      <c r="K38" s="131" t="e">
        <f>IF(J37="","",IF(Aerial!CF3="","",SUM(Aerial!CF3,End_Sections!V9)))</f>
        <v>#REF!</v>
      </c>
      <c r="L38" s="264" t="s">
        <v>77</v>
      </c>
      <c r="M38" s="265"/>
      <c r="N38" s="137" t="e">
        <f>O38</f>
        <v>#REF!</v>
      </c>
      <c r="O38" s="138" t="e">
        <f>IF(P38="","",P38)</f>
        <v>#REF!</v>
      </c>
      <c r="P38" s="131" t="e">
        <f>IF(O37="","",IF(Aerial!CJ3="","",SUM(Aerial!CJ3,End_Sections!W9)))</f>
        <v>#REF!</v>
      </c>
      <c r="Q38" s="264" t="s">
        <v>77</v>
      </c>
      <c r="R38" s="265"/>
      <c r="S38" s="137" t="e">
        <f>T38</f>
        <v>#REF!</v>
      </c>
      <c r="T38" s="138" t="e">
        <f>IF(U38="","",U38)</f>
        <v>#REF!</v>
      </c>
      <c r="U38" s="131" t="e">
        <f>IF(T37="","",IF(Aerial!CN3="","",SUM(Aerial!CN3,End_Sections!X9)))</f>
        <v>#REF!</v>
      </c>
      <c r="V38" s="264" t="s">
        <v>77</v>
      </c>
      <c r="W38" s="265"/>
      <c r="X38" s="137" t="e">
        <f>Y38</f>
        <v>#REF!</v>
      </c>
      <c r="Y38" s="138" t="e">
        <f>IF(Z38="","",Z38)</f>
        <v>#REF!</v>
      </c>
      <c r="Z38" s="131" t="e">
        <f>IF(Y37="","",IF(Aerial!CR3="","",SUM(Aerial!CR3,End_Sections!Y9)))</f>
        <v>#REF!</v>
      </c>
      <c r="AA38" s="264" t="s">
        <v>77</v>
      </c>
      <c r="AB38" s="265"/>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8"/>
      <c r="H39" s="268"/>
      <c r="I39" s="132"/>
      <c r="J39" s="133"/>
      <c r="K39" s="131" t="e">
        <f>K38</f>
        <v>#REF!</v>
      </c>
      <c r="L39" s="268"/>
      <c r="M39" s="268"/>
      <c r="N39" s="132"/>
      <c r="O39" s="133"/>
      <c r="P39" s="131"/>
      <c r="Q39" s="268"/>
      <c r="R39" s="268"/>
      <c r="S39" s="132"/>
      <c r="T39" s="133"/>
      <c r="U39" s="131"/>
      <c r="V39" s="268"/>
      <c r="W39" s="268"/>
      <c r="X39" s="132"/>
      <c r="Y39" s="133"/>
      <c r="Z39" s="131"/>
      <c r="AA39" s="268"/>
      <c r="AB39" s="268"/>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8"/>
      <c r="H40" s="268"/>
      <c r="I40" s="132"/>
      <c r="J40" s="133"/>
      <c r="K40" s="131"/>
      <c r="L40" s="268"/>
      <c r="M40" s="268"/>
      <c r="N40" s="132"/>
      <c r="O40" s="133"/>
      <c r="P40" s="131"/>
      <c r="Q40" s="268"/>
      <c r="R40" s="268"/>
      <c r="S40" s="132"/>
      <c r="T40" s="133"/>
      <c r="U40" s="131"/>
      <c r="V40" s="268"/>
      <c r="W40" s="268"/>
      <c r="X40" s="132"/>
      <c r="Y40" s="133"/>
      <c r="Z40" s="131"/>
      <c r="AA40" s="268"/>
      <c r="AB40" s="268"/>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6" t="s">
        <v>108</v>
      </c>
      <c r="H41" s="266"/>
      <c r="I41" s="266"/>
      <c r="J41" s="130"/>
      <c r="K41" s="131"/>
      <c r="L41" s="266" t="s">
        <v>109</v>
      </c>
      <c r="M41" s="266"/>
      <c r="N41" s="266"/>
      <c r="O41" s="130"/>
      <c r="P41" s="131"/>
      <c r="Q41" s="266" t="s">
        <v>110</v>
      </c>
      <c r="R41" s="266"/>
      <c r="S41" s="266"/>
      <c r="T41" s="130"/>
      <c r="U41" s="131"/>
      <c r="V41" s="266" t="s">
        <v>111</v>
      </c>
      <c r="W41" s="266"/>
      <c r="X41" s="266"/>
      <c r="Y41" s="130"/>
      <c r="Z41" s="131"/>
      <c r="AA41" s="266" t="s">
        <v>112</v>
      </c>
      <c r="AB41" s="266"/>
      <c r="AC41" s="266"/>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7"/>
      <c r="I42" s="137" t="str">
        <f>IFERROR(IF(AND(#REF!="Y",#REF!="N"),I43,IF(AND(I43&gt;0,End_Sections!AA2="B"),IF(#REF!&lt;1000,I43+10,I43+20),I43)),"")</f>
        <v/>
      </c>
      <c r="J42" s="130"/>
      <c r="K42" s="131"/>
      <c r="L42" s="264" t="s">
        <v>70</v>
      </c>
      <c r="M42" s="267"/>
      <c r="N42" s="137" t="str">
        <f>IFERROR(IF(AND(#REF!="Y",#REF!="N"),N43,IF(AND(N43&gt;0,End_Sections!AB2="B"),IF(#REF!&lt;1000,N43+10,N43+20),N43)),"")</f>
        <v/>
      </c>
      <c r="O42" s="130"/>
      <c r="P42" s="131"/>
      <c r="Q42" s="264" t="s">
        <v>70</v>
      </c>
      <c r="R42" s="267"/>
      <c r="S42" s="137" t="str">
        <f>IFERROR(IF(AND(#REF!="Y",#REF!="N"),S43,IF(AND(S43&gt;0,End_Sections!AC2="B"),IF(#REF!&lt;1000,S43+10,S43+20),S43)),"")</f>
        <v/>
      </c>
      <c r="T42" s="130"/>
      <c r="U42" s="131"/>
      <c r="V42" s="264" t="s">
        <v>70</v>
      </c>
      <c r="W42" s="267"/>
      <c r="X42" s="137" t="str">
        <f>IFERROR(IF(AND(#REF!="Y",#REF!="N"),X43,IF(AND(X43&gt;0,End_Sections!AD2="B"),IF(#REF!&lt;1000,X43+10,X43+20),X43)),"")</f>
        <v/>
      </c>
      <c r="Y42" s="130"/>
      <c r="Z42" s="131"/>
      <c r="AA42" s="264" t="s">
        <v>70</v>
      </c>
      <c r="AB42" s="267"/>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7"/>
      <c r="I43" s="137" t="str">
        <f>IFERROR(IF(#REF!="","",IF(Aerial!CZ2="",#REF!,#REF!-(SUM(Aerial!CZ2,Aerial!CZ3,End_Sections!AA4,End_Sections!AA9)))),"")</f>
        <v/>
      </c>
      <c r="J43" s="130"/>
      <c r="K43" s="131"/>
      <c r="L43" s="264" t="s">
        <v>72</v>
      </c>
      <c r="M43" s="267"/>
      <c r="N43" s="137" t="str">
        <f>IFERROR(IF(#REF!="","",IF(Aerial!DD2="",#REF!,#REF!-(SUM(Aerial!DD2,Aerial!DD3,End_Sections!AB4,End_Sections!AB9)))),"")</f>
        <v/>
      </c>
      <c r="O43" s="130"/>
      <c r="P43" s="131"/>
      <c r="Q43" s="264" t="s">
        <v>72</v>
      </c>
      <c r="R43" s="267"/>
      <c r="S43" s="137" t="str">
        <f>IFERROR(IF(#REF!="","",IF(Aerial!DH2="",#REF!,#REF!-(SUM(Aerial!DH2,Aerial!DH3,End_Sections!AC4,End_Sections!AC9)))),"")</f>
        <v/>
      </c>
      <c r="T43" s="130"/>
      <c r="U43" s="131"/>
      <c r="V43" s="264" t="s">
        <v>72</v>
      </c>
      <c r="W43" s="267"/>
      <c r="X43" s="137" t="str">
        <f>IFERROR(IF(#REF!="","",IF(Aerial!DN2="",#REF!,#REF!-(SUM(Aerial!DL2,Aerial!DL3,End_Sections!AD4,End_Sections!AD9)))),"")</f>
        <v/>
      </c>
      <c r="Y43" s="130"/>
      <c r="Z43" s="131"/>
      <c r="AA43" s="264" t="s">
        <v>72</v>
      </c>
      <c r="AB43" s="267"/>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5"/>
      <c r="I44" s="137" t="str">
        <f>IFERROR(IF(#REF!="","",I43-(SUM(#REF!))-(SUM(End_Sections!AA3,End_Sections!AA8))),"")</f>
        <v/>
      </c>
      <c r="J44" s="130"/>
      <c r="K44" s="131"/>
      <c r="L44" s="264" t="s">
        <v>71</v>
      </c>
      <c r="M44" s="265"/>
      <c r="N44" s="137" t="str">
        <f>IFERROR(IF(#REF!="","",N43-(SUM(#REF!))-(SUM(End_Sections!AB3,End_Sections!AB8))),"")</f>
        <v/>
      </c>
      <c r="O44" s="130"/>
      <c r="P44" s="131"/>
      <c r="Q44" s="264" t="s">
        <v>71</v>
      </c>
      <c r="R44" s="265"/>
      <c r="S44" s="137" t="str">
        <f>IFERROR(IF(#REF!="","",S43-(SUM(#REF!))-(SUM(End_Sections!AC3,End_Sections!AC8))),"")</f>
        <v/>
      </c>
      <c r="T44" s="130"/>
      <c r="U44" s="131"/>
      <c r="V44" s="264" t="s">
        <v>71</v>
      </c>
      <c r="W44" s="265"/>
      <c r="X44" s="137" t="str">
        <f>IFERROR(IF(#REF!="","",X43-(SUM(#REF!))-(SUM(End_Sections!AD3,End_Sections!AD8))),"")</f>
        <v/>
      </c>
      <c r="Y44" s="130"/>
      <c r="Z44" s="131"/>
      <c r="AA44" s="264" t="s">
        <v>71</v>
      </c>
      <c r="AB44" s="265"/>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5"/>
      <c r="I45" s="137" t="str">
        <f>IFERROR(IF(AND(#REF!="Y",#REF!="N"),J45,IF(End_Sections!AA2="A",IF(#REF!&lt;1000,J45+10,J45+20),J45)),"")</f>
        <v/>
      </c>
      <c r="J45" s="138" t="e">
        <f>IF(K45=0,"",K45)</f>
        <v>#REF!</v>
      </c>
      <c r="K45" s="131" t="e">
        <f>IF(I43=0,#REF!,IF(Aerial!CZ3="",SUM(Aerial!CZ2,End_Sections!AA4,End_Sections!AA9),Aerial!CZ2))</f>
        <v>#REF!</v>
      </c>
      <c r="L45" s="264" t="s">
        <v>75</v>
      </c>
      <c r="M45" s="265"/>
      <c r="N45" s="137" t="str">
        <f>IFERROR(IF(AND(#REF!="Y",#REF!="N"),O45,IF(End_Sections!AB2="A",IF(#REF!&lt;1000,O45+10,O45+20),O45)),"")</f>
        <v/>
      </c>
      <c r="O45" s="138" t="e">
        <f>IF(P45=0,"",P45)</f>
        <v>#REF!</v>
      </c>
      <c r="P45" s="131" t="e">
        <f>IF(N43=0,#REF!,IF(Aerial!DD3="",SUM(Aerial!DD2,End_Sections!AB4,End_Sections!AB9),Aerial!DD2))</f>
        <v>#REF!</v>
      </c>
      <c r="Q45" s="264" t="s">
        <v>75</v>
      </c>
      <c r="R45" s="265"/>
      <c r="S45" s="137" t="str">
        <f>IFERROR(IF(AND(#REF!="Y",#REF!="N"),T45,IF(End_Sections!AC2="A",IF(#REF!&lt;1000,T45+10,T45+20),T45)),"")</f>
        <v/>
      </c>
      <c r="T45" s="138" t="e">
        <f>IF(U45=0,"",U45)</f>
        <v>#REF!</v>
      </c>
      <c r="U45" s="131" t="e">
        <f>IF(S43=0,#REF!,IF(Aerial!DH3="",SUM(Aerial!DH2,End_Sections!AC4,End_Sections!AC9),Aerial!DH2))</f>
        <v>#REF!</v>
      </c>
      <c r="V45" s="264" t="s">
        <v>75</v>
      </c>
      <c r="W45" s="265"/>
      <c r="X45" s="137" t="str">
        <f>IFERROR(IF(AND(#REF!="Y",#REF!="N"),Y45,IF(End_Sections!AD2="A",IF(#REF!&lt;1000,Y45+10,Y45+20),Y45)),"")</f>
        <v/>
      </c>
      <c r="Y45" s="138" t="e">
        <f>IF(Z45=0,"",Z45)</f>
        <v>#REF!</v>
      </c>
      <c r="Z45" s="131" t="e">
        <f>IF(X43=0,#REF!,IF(Aerial!DL3="",SUM(Aerial!DL2,End_Sections!AD4,End_Sections!AD9),Aerial!DL2))</f>
        <v>#REF!</v>
      </c>
      <c r="AA45" s="264" t="s">
        <v>75</v>
      </c>
      <c r="AB45" s="265"/>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5"/>
      <c r="I46" s="137" t="e">
        <f>J46</f>
        <v>#REF!</v>
      </c>
      <c r="J46" s="138" t="e">
        <f>IF(K46=0,"",K46)</f>
        <v>#REF!</v>
      </c>
      <c r="K46" s="131" t="e">
        <f>IF(J45="","",IF(Aerial!CZ3="","",SUM(Aerial!CZ3,End_Sections!AA9)))</f>
        <v>#REF!</v>
      </c>
      <c r="L46" s="264" t="s">
        <v>77</v>
      </c>
      <c r="M46" s="265"/>
      <c r="N46" s="137" t="e">
        <f>O46</f>
        <v>#REF!</v>
      </c>
      <c r="O46" s="138" t="e">
        <f>IF(P46=0,"",P46)</f>
        <v>#REF!</v>
      </c>
      <c r="P46" s="131" t="e">
        <f>IF(O45="","",IF(Aerial!DD3="","",SUM(Aerial!DD3,End_Sections!AB9)))</f>
        <v>#REF!</v>
      </c>
      <c r="Q46" s="264" t="s">
        <v>77</v>
      </c>
      <c r="R46" s="265"/>
      <c r="S46" s="137" t="e">
        <f>T46</f>
        <v>#REF!</v>
      </c>
      <c r="T46" s="138" t="e">
        <f>IF(U46=0,"",U46)</f>
        <v>#REF!</v>
      </c>
      <c r="U46" s="131" t="e">
        <f>IF(T45="","",IF(Aerial!DH3="","",SUM(Aerial!DH3,End_Sections!AC9)))</f>
        <v>#REF!</v>
      </c>
      <c r="V46" s="264" t="s">
        <v>77</v>
      </c>
      <c r="W46" s="265"/>
      <c r="X46" s="137" t="e">
        <f>Y46</f>
        <v>#REF!</v>
      </c>
      <c r="Y46" s="138" t="e">
        <f>IF(Z46=0,"",Z46)</f>
        <v>#REF!</v>
      </c>
      <c r="Z46" s="131" t="e">
        <f>IF(Y45="","",IF(Aerial!DL3="","",SUM(Aerial!DL3,End_Sections!AD9)))</f>
        <v>#REF!</v>
      </c>
      <c r="AA46" s="264" t="s">
        <v>77</v>
      </c>
      <c r="AB46" s="265"/>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6" t="s">
        <v>113</v>
      </c>
      <c r="H49" s="266"/>
      <c r="I49" s="266"/>
      <c r="J49" s="130"/>
      <c r="K49" s="131"/>
      <c r="L49" s="266" t="s">
        <v>114</v>
      </c>
      <c r="M49" s="266"/>
      <c r="N49" s="266"/>
      <c r="O49" s="130"/>
      <c r="P49" s="131"/>
      <c r="Q49" s="266" t="s">
        <v>115</v>
      </c>
      <c r="R49" s="266"/>
      <c r="S49" s="266"/>
      <c r="T49" s="130"/>
      <c r="U49" s="131"/>
      <c r="V49" s="266" t="s">
        <v>116</v>
      </c>
      <c r="W49" s="266"/>
      <c r="X49" s="266"/>
      <c r="Y49" s="130"/>
      <c r="Z49" s="131"/>
      <c r="AA49" s="266" t="s">
        <v>117</v>
      </c>
      <c r="AB49" s="266"/>
      <c r="AC49" s="266"/>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7"/>
      <c r="I50" s="137" t="str">
        <f>IFERROR(IF(AND(#REF!="Y",#REF!="N"),I51,IF(AND(I51&gt;0,End_Sections!AF2="B"),IF(#REF!&lt;1000,I51+10,I51+20),I51)),"")</f>
        <v/>
      </c>
      <c r="J50" s="130"/>
      <c r="K50" s="131"/>
      <c r="L50" s="264" t="s">
        <v>70</v>
      </c>
      <c r="M50" s="267"/>
      <c r="N50" s="137" t="str">
        <f>IFERROR(IF(AND(#REF!="Y",#REF!="N"),N51,IF(AND(N51&gt;0,End_Sections!AG2="B"),IF(#REF!&lt;1000,N51+10,N51+20),N51)),"")</f>
        <v/>
      </c>
      <c r="O50" s="130"/>
      <c r="P50" s="131"/>
      <c r="Q50" s="264" t="s">
        <v>70</v>
      </c>
      <c r="R50" s="267"/>
      <c r="S50" s="137" t="str">
        <f>IFERROR(IF(AND(#REF!="Y",#REF!="N"),S51,IF(AND(S51&gt;0,End_Sections!AH2="B"),IF(#REF!&lt;1000,S51+10,S51+20),S51)),"")</f>
        <v/>
      </c>
      <c r="T50" s="130"/>
      <c r="U50" s="131"/>
      <c r="V50" s="264" t="s">
        <v>70</v>
      </c>
      <c r="W50" s="267"/>
      <c r="X50" s="137" t="str">
        <f>IFERROR(IF(AND(#REF!="Y",#REF!="N"),X51,IF(AND(X51&gt;0,End_Sections!AI2="B"),IF(#REF!&lt;1000,X51+10,X51+20),X51)),"")</f>
        <v/>
      </c>
      <c r="Y50" s="130"/>
      <c r="Z50" s="131"/>
      <c r="AA50" s="264" t="s">
        <v>70</v>
      </c>
      <c r="AB50" s="267"/>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7"/>
      <c r="I51" s="137" t="str">
        <f>IFERROR(IF(#REF!="","",IF(Aerial!DT2="",#REF!,#REF!-(SUM(Aerial!DT2,Aerial!DT3,End_Sections!AF4,End_Sections!AF9)))),"")</f>
        <v/>
      </c>
      <c r="J51" s="130"/>
      <c r="K51" s="131"/>
      <c r="L51" s="264" t="s">
        <v>72</v>
      </c>
      <c r="M51" s="267"/>
      <c r="N51" s="137" t="str">
        <f>IFERROR(IF(#REF!="","",IF(Aerial!DX2="",#REF!,#REF!-(SUM(Aerial!DX2,Aerial!DX3,End_Sections!AG4,End_Sections!AG9)))),"")</f>
        <v/>
      </c>
      <c r="O51" s="130"/>
      <c r="P51" s="131"/>
      <c r="Q51" s="264" t="s">
        <v>72</v>
      </c>
      <c r="R51" s="267"/>
      <c r="S51" s="137" t="str">
        <f>IFERROR(IF(#REF!="","",IF(Aerial!EB2="",#REF!,#REF!-(SUM(Aerial!EB2,Aerial!EB3,End_Sections!AH4,End_Sections!AH9)))),"")</f>
        <v/>
      </c>
      <c r="T51" s="130"/>
      <c r="U51" s="131"/>
      <c r="V51" s="264" t="s">
        <v>72</v>
      </c>
      <c r="W51" s="267"/>
      <c r="X51" s="137" t="str">
        <f>IFERROR(IF(#REF!="","",IF(Aerial!EF2="",#REF!,#REF!-(SUM(Aerial!EF2,Aerial!EF3,End_Sections!AI4,End_Sections!AI9)))),"")</f>
        <v/>
      </c>
      <c r="Y51" s="130"/>
      <c r="Z51" s="131"/>
      <c r="AA51" s="264" t="s">
        <v>72</v>
      </c>
      <c r="AB51" s="267"/>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5"/>
      <c r="I52" s="137" t="str">
        <f>IFERROR(IF(#REF!="","",I51-(SUM(#REF!))-(SUM(End_Sections!AF3,End_Sections!AF8))),"")</f>
        <v/>
      </c>
      <c r="J52" s="130"/>
      <c r="K52" s="131"/>
      <c r="L52" s="264" t="s">
        <v>71</v>
      </c>
      <c r="M52" s="265"/>
      <c r="N52" s="137" t="str">
        <f>IFERROR(IF(#REF!="","",N51-(SUM(#REF!))-(SUM(End_Sections!AG3,End_Sections!AG8))),"")</f>
        <v/>
      </c>
      <c r="O52" s="130"/>
      <c r="P52" s="131"/>
      <c r="Q52" s="264" t="s">
        <v>71</v>
      </c>
      <c r="R52" s="265"/>
      <c r="S52" s="137" t="str">
        <f>IFERROR(IF(#REF!="","",S51-(SUM(#REF!))-(SUM(End_Sections!AH3,End_Sections!AH8))),"")</f>
        <v/>
      </c>
      <c r="T52" s="130"/>
      <c r="U52" s="131"/>
      <c r="V52" s="264" t="s">
        <v>71</v>
      </c>
      <c r="W52" s="265"/>
      <c r="X52" s="137" t="str">
        <f>IFERROR(IF(#REF!="","",X51-(SUM(#REF!))-(SUM(End_Sections!AI3,End_Sections!AI8))),"")</f>
        <v/>
      </c>
      <c r="Y52" s="130"/>
      <c r="Z52" s="131"/>
      <c r="AA52" s="264" t="s">
        <v>71</v>
      </c>
      <c r="AB52" s="265"/>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5"/>
      <c r="I53" s="137" t="str">
        <f>IFERROR(IF(AND(#REF!="Y",#REF!="N"),J53,IF(End_Sections!AF2="A",IF(#REF!&lt;1000,J53+10,J53+20),J53)),"")</f>
        <v/>
      </c>
      <c r="J53" s="138" t="e">
        <f>IF(K53=0,"",K53)</f>
        <v>#REF!</v>
      </c>
      <c r="K53" s="131" t="e">
        <f>IF(I51=0,#REF!,IF(Aerial!DT3="",SUM(Aerial!DT2,End_Sections!AF4,End_Sections!AF9),Aerial!DT2))</f>
        <v>#REF!</v>
      </c>
      <c r="L53" s="264" t="s">
        <v>75</v>
      </c>
      <c r="M53" s="265"/>
      <c r="N53" s="137" t="str">
        <f>IFERROR(IF(AND(#REF!="Y",#REF!="N"),O53,IF(End_Sections!AG2="A",IF(#REF!&lt;1000,O53+10,O53+20),O53)),"")</f>
        <v/>
      </c>
      <c r="O53" s="138" t="e">
        <f>IF(P53=0,"",P53)</f>
        <v>#REF!</v>
      </c>
      <c r="P53" s="131" t="e">
        <f>IF(N51=0,#REF!,IF(Aerial!DX3="",SUM(Aerial!DX2,End_Sections!AG4,End_Sections!AG9),Aerial!DX2))</f>
        <v>#REF!</v>
      </c>
      <c r="Q53" s="264" t="s">
        <v>75</v>
      </c>
      <c r="R53" s="265"/>
      <c r="S53" s="137" t="str">
        <f>IFERROR(IF(AND(#REF!="Y",#REF!="N"),T53,IF(End_Sections!AH2="A",IF(#REF!&lt;1000,T53+10,T53+20),T53)),"")</f>
        <v/>
      </c>
      <c r="T53" s="138" t="e">
        <f>IF(U53=0,"",U53)</f>
        <v>#REF!</v>
      </c>
      <c r="U53" s="131" t="e">
        <f>IF(S51=0,#REF!,IF(Aerial!EB3="",SUM(Aerial!EB2,End_Sections!AH4,End_Sections!AH9),Aerial!EB2))</f>
        <v>#REF!</v>
      </c>
      <c r="V53" s="264" t="s">
        <v>75</v>
      </c>
      <c r="W53" s="265"/>
      <c r="X53" s="137" t="str">
        <f>IFERROR(IF(AND(#REF!="Y",#REF!="N"),Y53,IF(End_Sections!AI2="A",IF(#REF!&lt;1000,Y53+10,Y53+20),Y53)),"")</f>
        <v/>
      </c>
      <c r="Y53" s="138" t="e">
        <f>IF(Z53=0,"",Z53)</f>
        <v>#REF!</v>
      </c>
      <c r="Z53" s="131" t="e">
        <f>IF(X51=0,#REF!,IF(Aerial!EF3="",SUM(Aerial!EF2,End_Sections!AI4,End_Sections!AI9),Aerial!EF2))</f>
        <v>#REF!</v>
      </c>
      <c r="AA53" s="264" t="s">
        <v>75</v>
      </c>
      <c r="AB53" s="265"/>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5"/>
      <c r="I54" s="137" t="e">
        <f>J54</f>
        <v>#REF!</v>
      </c>
      <c r="J54" s="138" t="e">
        <f>IF(K54=0,"",K54)</f>
        <v>#REF!</v>
      </c>
      <c r="K54" s="131" t="e">
        <f>IF(J53="","",IF(Aerial!DT3="","",SUM(Aerial!DT3,End_Sections!AF9)))</f>
        <v>#REF!</v>
      </c>
      <c r="L54" s="264" t="s">
        <v>77</v>
      </c>
      <c r="M54" s="265"/>
      <c r="N54" s="137" t="e">
        <f>O54</f>
        <v>#REF!</v>
      </c>
      <c r="O54" s="138" t="e">
        <f>IF(P54=0,"",P54)</f>
        <v>#REF!</v>
      </c>
      <c r="P54" s="131" t="e">
        <f>IF(O53="","",IF(Aerial!DX3="","",SUM(Aerial!DX3,End_Sections!AG9)))</f>
        <v>#REF!</v>
      </c>
      <c r="Q54" s="264" t="s">
        <v>77</v>
      </c>
      <c r="R54" s="265"/>
      <c r="S54" s="137" t="e">
        <f>T54</f>
        <v>#REF!</v>
      </c>
      <c r="T54" s="138" t="e">
        <f>IF(U54=0,"",U54)</f>
        <v>#REF!</v>
      </c>
      <c r="U54" s="131" t="e">
        <f>IF(T53="","",IF(Aerial!EB3="","",SUM(Aerial!EB3,End_Sections!AH9)))</f>
        <v>#REF!</v>
      </c>
      <c r="V54" s="264" t="s">
        <v>77</v>
      </c>
      <c r="W54" s="265"/>
      <c r="X54" s="137" t="e">
        <f>Y54</f>
        <v>#REF!</v>
      </c>
      <c r="Y54" s="138" t="e">
        <f>IF(Z54=0,"",Z54)</f>
        <v>#REF!</v>
      </c>
      <c r="Z54" s="131" t="e">
        <f>IF(Y53="","",IF(Aerial!EF3="","",SUM(Aerial!EF3,End_Sections!AI9)))</f>
        <v>#REF!</v>
      </c>
      <c r="AA54" s="264" t="s">
        <v>77</v>
      </c>
      <c r="AB54" s="265"/>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6" t="s">
        <v>118</v>
      </c>
      <c r="H57" s="266"/>
      <c r="I57" s="266"/>
      <c r="J57" s="130"/>
      <c r="K57" s="131"/>
      <c r="L57" s="266" t="s">
        <v>119</v>
      </c>
      <c r="M57" s="266"/>
      <c r="N57" s="266"/>
      <c r="O57" s="130"/>
      <c r="P57" s="131"/>
      <c r="Q57" s="266" t="s">
        <v>120</v>
      </c>
      <c r="R57" s="266"/>
      <c r="S57" s="266"/>
      <c r="T57" s="130"/>
      <c r="U57" s="131"/>
      <c r="V57" s="266" t="s">
        <v>121</v>
      </c>
      <c r="W57" s="266"/>
      <c r="X57" s="266"/>
      <c r="Y57" s="130"/>
      <c r="Z57" s="131"/>
      <c r="AA57" s="266" t="s">
        <v>122</v>
      </c>
      <c r="AB57" s="266"/>
      <c r="AC57" s="266"/>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7"/>
      <c r="I58" s="137" t="str">
        <f>IFERROR(IF(AND(#REF!="Y",#REF!="N"),I59,IF(AND(I59&gt;0,End_Sections!AK2="B"),IF(#REF!&lt;1000,I59+10,I59+20),I59)),"")</f>
        <v/>
      </c>
      <c r="J58" s="130"/>
      <c r="K58" s="131"/>
      <c r="L58" s="264" t="s">
        <v>70</v>
      </c>
      <c r="M58" s="267"/>
      <c r="N58" s="137" t="str">
        <f>IFERROR(IF(AND(#REF!="Y",#REF!="N"),N59,IF(AND(N59&gt;0,End_Sections!AL2="B"),IF(#REF!&lt;1000,N59+10,N59+20),N59)),"")</f>
        <v/>
      </c>
      <c r="O58" s="130"/>
      <c r="P58" s="131"/>
      <c r="Q58" s="264" t="s">
        <v>70</v>
      </c>
      <c r="R58" s="267"/>
      <c r="S58" s="137" t="str">
        <f>IFERROR(IF(AND(#REF!="Y",#REF!="N"),S59,IF(AND(S59&gt;0,End_Sections!AM2="B"),IF(#REF!&lt;1000,S59+10,S59+20),S59)),"")</f>
        <v/>
      </c>
      <c r="T58" s="130"/>
      <c r="U58" s="131"/>
      <c r="V58" s="264" t="s">
        <v>70</v>
      </c>
      <c r="W58" s="267"/>
      <c r="X58" s="137" t="str">
        <f>IFERROR(IF(AND(#REF!="Y",#REF!="N"),X59,IF(AND(X59&gt;0,End_Sections!AN2="B"),IF(#REF!&lt;1000,X59+10,X59+20),X59)),"")</f>
        <v/>
      </c>
      <c r="Y58" s="130"/>
      <c r="Z58" s="131"/>
      <c r="AA58" s="264" t="s">
        <v>70</v>
      </c>
      <c r="AB58" s="267"/>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7"/>
      <c r="I59" s="137" t="str">
        <f>IFERROR(IF(#REF!="","",IF(Aerial!EN2="",#REF!,#REF!-(SUM(Aerial!EN2,Aerial!EN3,End_Sections!AK4,End_Sections!AK9)))),"")</f>
        <v/>
      </c>
      <c r="J59" s="130"/>
      <c r="K59" s="131"/>
      <c r="L59" s="264" t="s">
        <v>72</v>
      </c>
      <c r="M59" s="267"/>
      <c r="N59" s="137" t="str">
        <f>IFERROR(IF(#REF!="","",IF(Aerial!ER2="",#REF!,#REF!-(SUM(Aerial!ER2,Aerial!ER3,End_Sections!AL4,End_Sections!AL9)))),"")</f>
        <v/>
      </c>
      <c r="O59" s="130"/>
      <c r="P59" s="131"/>
      <c r="Q59" s="264" t="s">
        <v>72</v>
      </c>
      <c r="R59" s="267"/>
      <c r="S59" s="137" t="str">
        <f>IFERROR(IF(#REF!="","",IF(Aerial!EV2="",#REF!,#REF!-(SUM(Aerial!EV2,Aerial!EV3,End_Sections!AM4,End_Sections!AM9)))),"")</f>
        <v/>
      </c>
      <c r="T59" s="130"/>
      <c r="U59" s="131"/>
      <c r="V59" s="264" t="s">
        <v>72</v>
      </c>
      <c r="W59" s="267"/>
      <c r="X59" s="137" t="str">
        <f>IFERROR(IF(#REF!="","",IF(Aerial!EZ2="",#REF!,#REF!-(SUM(Aerial!EZ2,Aerial!EZ3,End_Sections!AN4,End_Sections!AN9)))),"")</f>
        <v/>
      </c>
      <c r="Y59" s="130"/>
      <c r="Z59" s="131"/>
      <c r="AA59" s="264" t="s">
        <v>72</v>
      </c>
      <c r="AB59" s="267"/>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5"/>
      <c r="I60" s="137" t="str">
        <f>IFERROR(IF(#REF!="","",I59-(SUM(#REF!))-(SUM(End_Sections!AK3,End_Sections!AK8))),"")</f>
        <v/>
      </c>
      <c r="J60" s="130"/>
      <c r="K60" s="131"/>
      <c r="L60" s="264" t="s">
        <v>71</v>
      </c>
      <c r="M60" s="265"/>
      <c r="N60" s="137" t="str">
        <f>IFERROR(IF(#REF!="","",N59-(SUM(#REF!))-(SUM(End_Sections!AL3,End_Sections!AL8))),"")</f>
        <v/>
      </c>
      <c r="O60" s="130"/>
      <c r="P60" s="131"/>
      <c r="Q60" s="264" t="s">
        <v>71</v>
      </c>
      <c r="R60" s="265"/>
      <c r="S60" s="137" t="str">
        <f>IFERROR(IF(#REF!="","",S59-(SUM(#REF!))-(SUM(End_Sections!AM3,End_Sections!AM8))),"")</f>
        <v/>
      </c>
      <c r="T60" s="130"/>
      <c r="U60" s="131"/>
      <c r="V60" s="264" t="s">
        <v>71</v>
      </c>
      <c r="W60" s="265"/>
      <c r="X60" s="137" t="str">
        <f>IFERROR(IF(#REF!="","",X59-(SUM(#REF!))-(SUM(End_Sections!AN3,End_Sections!AN8))),"")</f>
        <v/>
      </c>
      <c r="Y60" s="130"/>
      <c r="Z60" s="131"/>
      <c r="AA60" s="264" t="s">
        <v>71</v>
      </c>
      <c r="AB60" s="265"/>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5"/>
      <c r="I61" s="137" t="str">
        <f>IFERROR(IF(AND(#REF!="Y",#REF!="N"),J61,IF(End_Sections!AK2="A",IF(#REF!&lt;1000,J61+10,J61+20),J61)),"")</f>
        <v/>
      </c>
      <c r="J61" s="138" t="e">
        <f>IF(K61=0,"",K61)</f>
        <v>#REF!</v>
      </c>
      <c r="K61" s="131" t="e">
        <f>IF(I59=0,#REF!,IF(Aerial!EN3="",SUM(Aerial!EN2,End_Sections!AK4,End_Sections!AK9),Aerial!EN2))</f>
        <v>#REF!</v>
      </c>
      <c r="L61" s="264" t="s">
        <v>75</v>
      </c>
      <c r="M61" s="265"/>
      <c r="N61" s="137" t="str">
        <f>IFERROR(IF(AND(#REF!="Y",#REF!="N"),O61,IF(End_Sections!AL2="A",IF(#REF!&lt;1000,O61+10,O61+20),O61)),"")</f>
        <v/>
      </c>
      <c r="O61" s="138" t="e">
        <f>IF(P61=0,"",P61)</f>
        <v>#REF!</v>
      </c>
      <c r="P61" s="131" t="e">
        <f>IF(N59=0,#REF!,IF(Aerial!ER3="",SUM(Aerial!ER2,End_Sections!AL4,End_Sections!AL9),Aerial!ER2))</f>
        <v>#REF!</v>
      </c>
      <c r="Q61" s="264" t="s">
        <v>75</v>
      </c>
      <c r="R61" s="265"/>
      <c r="S61" s="137" t="str">
        <f>IFERROR(IF(AND(#REF!="Y",#REF!="N"),T61,IF(End_Sections!AM2="A",IF(#REF!&lt;1000,T61+10,T61+20),T61)),"")</f>
        <v/>
      </c>
      <c r="T61" s="138" t="e">
        <f>IF(U61=0,"",U61)</f>
        <v>#REF!</v>
      </c>
      <c r="U61" s="131" t="e">
        <f>IF(S59=0,#REF!,IF(Aerial!EV3="",SUM(Aerial!EV2,End_Sections!AM4,End_Sections!AM9),Aerial!EV2))</f>
        <v>#REF!</v>
      </c>
      <c r="V61" s="264" t="s">
        <v>75</v>
      </c>
      <c r="W61" s="265"/>
      <c r="X61" s="137" t="str">
        <f>IFERROR(IF(AND(#REF!="Y",#REF!="N"),Y61,IF(End_Sections!AN2="A",IF(#REF!&lt;1000,Y61+10,Y61+20),Y61)),"")</f>
        <v/>
      </c>
      <c r="Y61" s="138" t="e">
        <f>IF(Z61=0,"",Z61)</f>
        <v>#REF!</v>
      </c>
      <c r="Z61" s="131" t="e">
        <f>IF(X59=0,#REF!,IF(Aerial!EZ3="",SUM(Aerial!EZ2,End_Sections!AN4,End_Sections!AN9),Aerial!EZ2))</f>
        <v>#REF!</v>
      </c>
      <c r="AA61" s="264" t="s">
        <v>75</v>
      </c>
      <c r="AB61" s="265"/>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5"/>
      <c r="I62" s="137" t="e">
        <f>J62</f>
        <v>#REF!</v>
      </c>
      <c r="J62" s="138" t="e">
        <f>IF(K62=0,"",K62)</f>
        <v>#REF!</v>
      </c>
      <c r="K62" s="131" t="e">
        <f>IF(J61="","",IF(Aerial!EN3="","",SUM(Aerial!EN3,End_Sections!AK9)))</f>
        <v>#REF!</v>
      </c>
      <c r="L62" s="264" t="s">
        <v>77</v>
      </c>
      <c r="M62" s="265"/>
      <c r="N62" s="137" t="e">
        <f>O62</f>
        <v>#REF!</v>
      </c>
      <c r="O62" s="138" t="e">
        <f>IF(P62=0,"",P62)</f>
        <v>#REF!</v>
      </c>
      <c r="P62" s="131" t="e">
        <f>IF(O61="","",IF(Aerial!ER3="","",SUM(Aerial!ER3,End_Sections!AL9)))</f>
        <v>#REF!</v>
      </c>
      <c r="Q62" s="264" t="s">
        <v>77</v>
      </c>
      <c r="R62" s="265"/>
      <c r="S62" s="137" t="e">
        <f>T62</f>
        <v>#REF!</v>
      </c>
      <c r="T62" s="138" t="e">
        <f>IF(U62=0,"",U62)</f>
        <v>#REF!</v>
      </c>
      <c r="U62" s="131" t="e">
        <f>IF(T61="","",IF(Aerial!EV3="","",SUM(Aerial!EV3,End_Sections!AM9)))</f>
        <v>#REF!</v>
      </c>
      <c r="V62" s="264" t="s">
        <v>77</v>
      </c>
      <c r="W62" s="265"/>
      <c r="X62" s="137" t="e">
        <f>Y62</f>
        <v>#REF!</v>
      </c>
      <c r="Y62" s="138" t="e">
        <f>IF(Z62=0,"",Z62)</f>
        <v>#REF!</v>
      </c>
      <c r="Z62" s="131" t="e">
        <f>IF(Y61="","",IF(Aerial!EZ3="","",SUM(Aerial!EZ3,End_Sections!AN9)))</f>
        <v>#REF!</v>
      </c>
      <c r="AA62" s="264" t="s">
        <v>77</v>
      </c>
      <c r="AB62" s="265"/>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80" zoomScaleNormal="80" workbookViewId="0">
      <pane ySplit="8" topLeftCell="A9" activePane="bottomLeft" state="frozen"/>
      <selection pane="bottomLeft" activeCell="CX17" sqref="CX17"/>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3" t="s">
        <v>123</v>
      </c>
      <c r="B1" s="273"/>
      <c r="C1" s="273"/>
      <c r="D1" s="273"/>
      <c r="F1" s="273" t="s">
        <v>124</v>
      </c>
      <c r="G1" s="273"/>
      <c r="H1" s="273"/>
      <c r="I1" s="273"/>
      <c r="K1" s="273" t="s">
        <v>125</v>
      </c>
      <c r="L1" s="273"/>
      <c r="M1" s="273"/>
      <c r="N1" s="273"/>
      <c r="P1" s="273" t="s">
        <v>126</v>
      </c>
      <c r="Q1" s="273"/>
      <c r="R1" s="273"/>
      <c r="S1" s="273"/>
      <c r="U1" s="273" t="s">
        <v>127</v>
      </c>
      <c r="V1" s="273"/>
      <c r="W1" s="273"/>
      <c r="X1" s="273"/>
      <c r="Z1" s="273" t="s">
        <v>128</v>
      </c>
      <c r="AA1" s="273"/>
      <c r="AB1" s="273"/>
      <c r="AC1" s="273"/>
      <c r="AE1" s="273" t="s">
        <v>129</v>
      </c>
      <c r="AF1" s="273"/>
      <c r="AG1" s="273"/>
      <c r="AH1" s="273"/>
      <c r="AJ1" s="273" t="s">
        <v>130</v>
      </c>
      <c r="AK1" s="273"/>
      <c r="AL1" s="273"/>
      <c r="AM1" s="273"/>
      <c r="AO1" s="273" t="s">
        <v>131</v>
      </c>
      <c r="AP1" s="273"/>
      <c r="AQ1" s="273"/>
      <c r="AR1" s="273"/>
      <c r="AT1" s="273" t="s">
        <v>132</v>
      </c>
      <c r="AU1" s="273"/>
      <c r="AV1" s="273"/>
      <c r="AW1" s="273"/>
      <c r="AY1" s="273" t="s">
        <v>133</v>
      </c>
      <c r="AZ1" s="273"/>
      <c r="BA1" s="273"/>
      <c r="BB1" s="273"/>
      <c r="BD1" s="273" t="s">
        <v>134</v>
      </c>
      <c r="BE1" s="273"/>
      <c r="BF1" s="273"/>
      <c r="BG1" s="273"/>
      <c r="BI1" s="273" t="s">
        <v>135</v>
      </c>
      <c r="BJ1" s="273"/>
      <c r="BK1" s="273"/>
      <c r="BL1" s="273"/>
      <c r="BN1" s="273" t="s">
        <v>136</v>
      </c>
      <c r="BO1" s="273"/>
      <c r="BP1" s="273"/>
      <c r="BQ1" s="273"/>
      <c r="BS1" s="273" t="s">
        <v>137</v>
      </c>
      <c r="BT1" s="273"/>
      <c r="BU1" s="273"/>
      <c r="BV1" s="273"/>
      <c r="BX1" s="273" t="s">
        <v>138</v>
      </c>
      <c r="BY1" s="273"/>
      <c r="BZ1" s="273"/>
      <c r="CA1" s="273"/>
      <c r="CC1" s="273" t="s">
        <v>139</v>
      </c>
      <c r="CD1" s="273"/>
      <c r="CE1" s="273"/>
      <c r="CF1" s="273"/>
      <c r="CH1" s="273" t="s">
        <v>140</v>
      </c>
      <c r="CI1" s="273"/>
      <c r="CJ1" s="273"/>
      <c r="CK1" s="273"/>
      <c r="CM1" s="273" t="s">
        <v>141</v>
      </c>
      <c r="CN1" s="273"/>
      <c r="CO1" s="273"/>
      <c r="CP1" s="273"/>
      <c r="CR1" s="273" t="s">
        <v>142</v>
      </c>
      <c r="CS1" s="273"/>
      <c r="CT1" s="273"/>
      <c r="CU1" s="273"/>
      <c r="CW1" s="273" t="s">
        <v>143</v>
      </c>
      <c r="CX1" s="273"/>
      <c r="CY1" s="273"/>
      <c r="CZ1" s="273"/>
      <c r="DB1" s="273" t="s">
        <v>144</v>
      </c>
      <c r="DC1" s="273"/>
      <c r="DD1" s="273"/>
      <c r="DE1" s="273"/>
      <c r="DG1" s="273" t="s">
        <v>145</v>
      </c>
      <c r="DH1" s="273"/>
      <c r="DI1" s="273"/>
      <c r="DJ1" s="273"/>
      <c r="DL1" s="273" t="s">
        <v>146</v>
      </c>
      <c r="DM1" s="273"/>
      <c r="DN1" s="273"/>
      <c r="DO1" s="273"/>
      <c r="DQ1" s="273" t="s">
        <v>147</v>
      </c>
      <c r="DR1" s="273"/>
      <c r="DS1" s="273"/>
      <c r="DT1" s="273"/>
      <c r="DV1" s="273" t="s">
        <v>148</v>
      </c>
      <c r="DW1" s="273"/>
      <c r="DX1" s="273"/>
      <c r="DY1" s="273"/>
      <c r="EA1" s="273" t="s">
        <v>149</v>
      </c>
      <c r="EB1" s="273"/>
      <c r="EC1" s="273"/>
      <c r="ED1" s="273"/>
      <c r="EF1" s="273" t="s">
        <v>150</v>
      </c>
      <c r="EG1" s="273"/>
      <c r="EH1" s="273"/>
      <c r="EI1" s="273"/>
      <c r="EK1" s="273" t="s">
        <v>151</v>
      </c>
      <c r="EL1" s="273"/>
      <c r="EM1" s="273"/>
      <c r="EN1" s="273"/>
      <c r="EP1" s="273" t="s">
        <v>152</v>
      </c>
      <c r="EQ1" s="273"/>
      <c r="ER1" s="273"/>
      <c r="ES1" s="273"/>
      <c r="EU1" s="273" t="s">
        <v>153</v>
      </c>
      <c r="EV1" s="273"/>
      <c r="EW1" s="273"/>
      <c r="EX1" s="273"/>
      <c r="EZ1" s="273" t="s">
        <v>154</v>
      </c>
      <c r="FA1" s="273"/>
      <c r="FB1" s="273"/>
      <c r="FC1" s="273"/>
      <c r="FE1" s="273" t="s">
        <v>155</v>
      </c>
      <c r="FF1" s="273"/>
      <c r="FG1" s="273"/>
      <c r="FH1" s="273"/>
      <c r="FJ1" s="273" t="s">
        <v>156</v>
      </c>
      <c r="FK1" s="273"/>
      <c r="FL1" s="273"/>
      <c r="FM1" s="273"/>
      <c r="FO1" s="273" t="s">
        <v>157</v>
      </c>
      <c r="FP1" s="273"/>
      <c r="FQ1" s="273"/>
      <c r="FR1" s="273"/>
      <c r="FT1" s="273" t="s">
        <v>158</v>
      </c>
      <c r="FU1" s="273"/>
      <c r="FV1" s="273"/>
      <c r="FW1" s="273"/>
      <c r="FY1" s="273" t="s">
        <v>159</v>
      </c>
      <c r="FZ1" s="273"/>
      <c r="GA1" s="273"/>
      <c r="GB1" s="273"/>
      <c r="GD1" s="273" t="s">
        <v>160</v>
      </c>
      <c r="GE1" s="273"/>
      <c r="GF1" s="273"/>
      <c r="GG1" s="273"/>
      <c r="GI1" s="273" t="s">
        <v>161</v>
      </c>
      <c r="GJ1" s="273"/>
      <c r="GK1" s="273"/>
      <c r="GL1" s="273"/>
      <c r="GN1" s="273" t="s">
        <v>162</v>
      </c>
      <c r="GO1" s="273"/>
      <c r="GP1" s="273"/>
      <c r="GQ1" s="273"/>
      <c r="GS1" s="273" t="s">
        <v>163</v>
      </c>
      <c r="GT1" s="273"/>
      <c r="GU1" s="273"/>
      <c r="GV1" s="273"/>
      <c r="GX1" s="273" t="s">
        <v>164</v>
      </c>
      <c r="GY1" s="273"/>
      <c r="GZ1" s="273"/>
      <c r="HA1" s="273"/>
      <c r="HC1" s="273" t="s">
        <v>165</v>
      </c>
      <c r="HD1" s="273"/>
      <c r="HE1" s="273"/>
      <c r="HF1" s="273"/>
      <c r="HH1" s="273" t="s">
        <v>166</v>
      </c>
      <c r="HI1" s="273"/>
      <c r="HJ1" s="273"/>
      <c r="HK1" s="273"/>
      <c r="HM1" s="273" t="s">
        <v>167</v>
      </c>
      <c r="HN1" s="273"/>
      <c r="HO1" s="273"/>
      <c r="HP1" s="273"/>
      <c r="HR1" s="273" t="s">
        <v>168</v>
      </c>
      <c r="HS1" s="273"/>
      <c r="HT1" s="273"/>
      <c r="HU1" s="273"/>
      <c r="HW1" s="273" t="s">
        <v>169</v>
      </c>
      <c r="HX1" s="273"/>
      <c r="HY1" s="273"/>
      <c r="HZ1" s="273"/>
      <c r="IB1" s="273" t="s">
        <v>170</v>
      </c>
      <c r="IC1" s="273"/>
      <c r="ID1" s="273"/>
      <c r="IE1" s="273"/>
      <c r="IG1" s="273" t="s">
        <v>171</v>
      </c>
      <c r="IH1" s="273"/>
      <c r="II1" s="273"/>
      <c r="IJ1" s="273"/>
      <c r="IL1" s="273" t="s">
        <v>172</v>
      </c>
      <c r="IM1" s="273"/>
      <c r="IN1" s="273"/>
      <c r="IO1" s="273"/>
    </row>
    <row r="2" spans="1:250" x14ac:dyDescent="0.25">
      <c r="A2" s="274" t="s">
        <v>173</v>
      </c>
      <c r="B2" s="274"/>
      <c r="C2" s="274"/>
      <c r="D2" s="14">
        <f>IF(D3="","",IF(AND(D5="Y",D6="N"),D3,IF(D3&lt;1000,D3+10,D3+20)))</f>
        <v>448</v>
      </c>
      <c r="F2" s="274" t="s">
        <v>173</v>
      </c>
      <c r="G2" s="274"/>
      <c r="H2" s="274"/>
      <c r="I2" s="14">
        <f>IF(I3="","",IF(AND(I5="Y",I6="N"),I3,IF(I3&lt;1000,I3+10,I3+20)))</f>
        <v>1216</v>
      </c>
      <c r="K2" s="274" t="s">
        <v>173</v>
      </c>
      <c r="L2" s="274"/>
      <c r="M2" s="274"/>
      <c r="N2" s="14">
        <f>IF(N3="","",IF(AND(N5="Y",N6="N"),N3,IF(N3&lt;1000,N3+10,N3+20)))</f>
        <v>1369</v>
      </c>
      <c r="P2" s="274" t="s">
        <v>173</v>
      </c>
      <c r="Q2" s="274"/>
      <c r="R2" s="274"/>
      <c r="S2" s="14">
        <f>IF(S3="","",IF(AND(S5="Y",S6="N"),S3,IF(S3&lt;1000,S3+10,S3+20)))</f>
        <v>2136</v>
      </c>
      <c r="U2" s="274" t="s">
        <v>173</v>
      </c>
      <c r="V2" s="274"/>
      <c r="W2" s="274"/>
      <c r="X2" s="14">
        <f>IF(X3="","",IF(AND(X5="Y",X6="N"),X3,IF(X3&lt;1000,X3+10,X3+20)))</f>
        <v>1021</v>
      </c>
      <c r="Z2" s="274" t="s">
        <v>173</v>
      </c>
      <c r="AA2" s="274"/>
      <c r="AB2" s="274"/>
      <c r="AC2" s="14">
        <f>IF(AC3="","",IF(AND(AC5="Y",AC6="N"),AC3,IF(AC3&lt;1000,AC3+10,AC3+20)))</f>
        <v>1167</v>
      </c>
      <c r="AE2" s="274" t="s">
        <v>173</v>
      </c>
      <c r="AF2" s="274"/>
      <c r="AG2" s="274"/>
      <c r="AH2" s="14">
        <f>IF(AH3="","",IF(AND(AH5="Y",AH6="N"),AH3,IF(AH3&lt;1000,AH3+10,AH3+20)))</f>
        <v>1006</v>
      </c>
      <c r="AJ2" s="274" t="s">
        <v>173</v>
      </c>
      <c r="AK2" s="274"/>
      <c r="AL2" s="274"/>
      <c r="AM2" s="14">
        <f>IF(AM3="","",IF(AND(AM5="Y",AM6="N"),AM3,IF(AM3&lt;1000,AM3+10,AM3+20)))</f>
        <v>976</v>
      </c>
      <c r="AO2" s="274" t="s">
        <v>173</v>
      </c>
      <c r="AP2" s="274"/>
      <c r="AQ2" s="274"/>
      <c r="AR2" s="14">
        <f>IF(AR3="","",IF(AND(AR5="Y",AR6="N"),AR3,IF(AR3&lt;1000,AR3+10,AR3+20)))</f>
        <v>571</v>
      </c>
      <c r="AT2" s="274" t="s">
        <v>173</v>
      </c>
      <c r="AU2" s="274"/>
      <c r="AV2" s="274"/>
      <c r="AW2" s="14">
        <f>IF(AW3="","",IF(AND(AW5="Y",AW6="N"),AW3,IF(AW3&lt;1000,AW3+10,AW3+20)))</f>
        <v>587</v>
      </c>
      <c r="AY2" s="274" t="s">
        <v>173</v>
      </c>
      <c r="AZ2" s="274"/>
      <c r="BA2" s="274"/>
      <c r="BB2" s="14">
        <f>IF(BB3="","",IF(AND(BB5="Y",BB6="N"),BB3,IF(BB3&lt;1000,BB3+10,BB3+20)))</f>
        <v>1854</v>
      </c>
      <c r="BD2" s="274" t="s">
        <v>173</v>
      </c>
      <c r="BE2" s="274"/>
      <c r="BF2" s="274"/>
      <c r="BG2" s="14">
        <f>IF(BG3="","",IF(AND(BG5="Y",BG6="N"),BG3,IF(BG3&lt;1000,BG3+10,BG3+20)))</f>
        <v>255</v>
      </c>
      <c r="BI2" s="274" t="s">
        <v>173</v>
      </c>
      <c r="BJ2" s="274"/>
      <c r="BK2" s="274"/>
      <c r="BL2" s="14">
        <f>IF(BL3="","",IF(AND(BL5="Y",BL6="N"),BL3,IF(BL3&lt;1000,BL3+10,BL3+20)))</f>
        <v>420</v>
      </c>
      <c r="BN2" s="274" t="s">
        <v>173</v>
      </c>
      <c r="BO2" s="274"/>
      <c r="BP2" s="274"/>
      <c r="BQ2" s="14">
        <f>IF(BQ3="","",IF(AND(BQ5="Y",BQ6="N"),BQ3,IF(BQ3&lt;1000,BQ3+10,BQ3+20)))</f>
        <v>2412</v>
      </c>
      <c r="BS2" s="274" t="s">
        <v>173</v>
      </c>
      <c r="BT2" s="274"/>
      <c r="BU2" s="274"/>
      <c r="BV2" s="14">
        <f>IF(BV3="","",IF(AND(BV5="Y",BV6="N"),BV3,IF(BV3&lt;1000,BV3+10,BV3+20)))</f>
        <v>1699</v>
      </c>
      <c r="BX2" s="274" t="s">
        <v>173</v>
      </c>
      <c r="BY2" s="274"/>
      <c r="BZ2" s="274"/>
      <c r="CA2" s="14">
        <f>IF(CA3="","",IF(AND(CA5="Y",CA6="N"),CA3,IF(CA3&lt;1000,CA3+10,CA3+20)))</f>
        <v>376</v>
      </c>
      <c r="CC2" s="274" t="s">
        <v>173</v>
      </c>
      <c r="CD2" s="274"/>
      <c r="CE2" s="274"/>
      <c r="CF2" s="14">
        <f>IF(CF3="","",IF(AND(CF5="Y",CF6="N"),CF3,IF(CF3&lt;1000,CF3+10,CF3+20)))</f>
        <v>390</v>
      </c>
      <c r="CH2" s="274" t="s">
        <v>173</v>
      </c>
      <c r="CI2" s="274"/>
      <c r="CJ2" s="274"/>
      <c r="CK2" s="14">
        <f>IF(CK3="","",IF(AND(CK5="Y",CK6="N"),CK3,IF(CK3&lt;1000,CK3+10,CK3+20)))</f>
        <v>1819</v>
      </c>
      <c r="CM2" s="274" t="s">
        <v>173</v>
      </c>
      <c r="CN2" s="274"/>
      <c r="CO2" s="274"/>
      <c r="CP2" s="14">
        <f>IF(CP3="","",IF(AND(CP5="Y",CP6="N"),CP3,IF(CP3&lt;1000,CP3+10,CP3+20)))</f>
        <v>448</v>
      </c>
      <c r="CR2" s="274" t="s">
        <v>173</v>
      </c>
      <c r="CS2" s="274"/>
      <c r="CT2" s="274"/>
      <c r="CU2" s="14">
        <f>IF(CU3="","",IF(AND(CU5="Y",CU6="N"),CU3,IF(CU3&lt;1000,CU3+10,CU3+20)))</f>
        <v>564</v>
      </c>
      <c r="CW2" s="274" t="s">
        <v>173</v>
      </c>
      <c r="CX2" s="274"/>
      <c r="CY2" s="274"/>
      <c r="CZ2" s="14">
        <f>IF(CZ3="","",IF(AND(CZ5="Y",CZ6="N"),CZ3,IF(CZ3&lt;1000,CZ3+10,CZ3+20)))</f>
        <v>130</v>
      </c>
      <c r="DB2" s="274" t="s">
        <v>173</v>
      </c>
      <c r="DC2" s="274"/>
      <c r="DD2" s="274"/>
      <c r="DE2" s="14" t="str">
        <f>IF(DE3="","",IF(AND(DE5="Y",DE6="N"),DE3,IF(DE3&lt;1000,DE3+10,DE3+20)))</f>
        <v/>
      </c>
      <c r="DG2" s="274" t="s">
        <v>173</v>
      </c>
      <c r="DH2" s="274"/>
      <c r="DI2" s="274"/>
      <c r="DJ2" s="14" t="str">
        <f>IF(DJ3="","",IF(AND(DJ5="Y",DJ6="N"),DJ3,IF(DJ3&lt;1000,DJ3+10,DJ3+20)))</f>
        <v/>
      </c>
      <c r="DL2" s="274" t="s">
        <v>173</v>
      </c>
      <c r="DM2" s="274"/>
      <c r="DN2" s="274"/>
      <c r="DO2" s="14" t="str">
        <f>IF(DO3="","",IF(AND(DO5="Y",DO6="N"),DO3,IF(DO3&lt;1000,DO3+10,DO3+20)))</f>
        <v/>
      </c>
      <c r="DQ2" s="274" t="s">
        <v>173</v>
      </c>
      <c r="DR2" s="274"/>
      <c r="DS2" s="274"/>
      <c r="DT2" s="14" t="str">
        <f>IF(DT3="","",IF(AND(DT5="Y",DT6="N"),DT3,IF(DT3&lt;1000,DT3+10,DT3+20)))</f>
        <v/>
      </c>
      <c r="DV2" s="274" t="s">
        <v>173</v>
      </c>
      <c r="DW2" s="274"/>
      <c r="DX2" s="274"/>
      <c r="DY2" s="14" t="str">
        <f>IF(DY3="","",IF(AND(DY5="Y",DY6="N"),DY3,IF(DY3&lt;1000,DY3+10,DY3+20)))</f>
        <v/>
      </c>
      <c r="EA2" s="274" t="s">
        <v>173</v>
      </c>
      <c r="EB2" s="274"/>
      <c r="EC2" s="274"/>
      <c r="ED2" s="14" t="str">
        <f>IF(ED3="","",IF(AND(ED5="Y",ED6="N"),ED3,IF(ED3&lt;1000,ED3+10,ED3+20)))</f>
        <v/>
      </c>
      <c r="EF2" s="274" t="s">
        <v>173</v>
      </c>
      <c r="EG2" s="274"/>
      <c r="EH2" s="274"/>
      <c r="EI2" s="14" t="str">
        <f>IF(EI3="","",IF(AND(EI5="Y",EI6="N"),EI3,IF(EI3&lt;1000,EI3+10,EI3+20)))</f>
        <v/>
      </c>
      <c r="EK2" s="274" t="s">
        <v>173</v>
      </c>
      <c r="EL2" s="274"/>
      <c r="EM2" s="274"/>
      <c r="EN2" s="14" t="str">
        <f>IF(EN3="","",IF(AND(EN5="Y",EN6="N"),EN3,IF(EN3&lt;1000,EN3+10,EN3+20)))</f>
        <v/>
      </c>
      <c r="EP2" s="274" t="s">
        <v>173</v>
      </c>
      <c r="EQ2" s="274"/>
      <c r="ER2" s="274"/>
      <c r="ES2" s="14" t="str">
        <f>IF(ES3="","",IF(AND(ES5="Y",ES6="N"),ES3,IF(ES3&lt;1000,ES3+10,ES3+20)))</f>
        <v/>
      </c>
      <c r="EU2" s="274" t="s">
        <v>173</v>
      </c>
      <c r="EV2" s="274"/>
      <c r="EW2" s="274"/>
      <c r="EX2" s="14" t="str">
        <f>IF(EX3="","",IF(AND(EX5="Y",EX6="N"),EX3,IF(EX3&lt;1000,EX3+10,EX3+20)))</f>
        <v/>
      </c>
      <c r="EZ2" s="274" t="s">
        <v>173</v>
      </c>
      <c r="FA2" s="274"/>
      <c r="FB2" s="274"/>
      <c r="FC2" s="14" t="str">
        <f>IF(FC3="","",IF(AND(FC5="Y",FC6="N"),FC3,IF(FC3&lt;1000,FC3+10,FC3+20)))</f>
        <v/>
      </c>
      <c r="FE2" s="274" t="s">
        <v>173</v>
      </c>
      <c r="FF2" s="274"/>
      <c r="FG2" s="274"/>
      <c r="FH2" s="14" t="str">
        <f>IF(FH3="","",IF(AND(FH5="Y",FH6="N"),FH3,IF(FH3&lt;1000,FH3+10,FH3+20)))</f>
        <v/>
      </c>
      <c r="FJ2" s="274" t="s">
        <v>173</v>
      </c>
      <c r="FK2" s="274"/>
      <c r="FL2" s="274"/>
      <c r="FM2" s="14" t="str">
        <f>IF(FM3="","",IF(AND(FM5="Y",FM6="N"),FM3,IF(FM3&lt;1000,FM3+10,FM3+20)))</f>
        <v/>
      </c>
      <c r="FO2" s="274" t="s">
        <v>173</v>
      </c>
      <c r="FP2" s="274"/>
      <c r="FQ2" s="274"/>
      <c r="FR2" s="14" t="str">
        <f>IF(FR3="","",IF(AND(FR5="Y",FR6="N"),FR3,IF(FR3&lt;1000,FR3+10,FR3+20)))</f>
        <v/>
      </c>
      <c r="FT2" s="274" t="s">
        <v>173</v>
      </c>
      <c r="FU2" s="274"/>
      <c r="FV2" s="274"/>
      <c r="FW2" s="14" t="str">
        <f>IF(FW3="","",IF(AND(FW5="Y",FW6="N"),FW3,IF(FW3&lt;1000,FW3+10,FW3+20)))</f>
        <v/>
      </c>
      <c r="FY2" s="274" t="s">
        <v>173</v>
      </c>
      <c r="FZ2" s="274"/>
      <c r="GA2" s="274"/>
      <c r="GB2" s="14" t="str">
        <f>IF(GB3="","",IF(AND(GB5="Y",GB6="N"),GB3,IF(GB3&lt;1000,GB3+10,GB3+20)))</f>
        <v/>
      </c>
      <c r="GD2" s="274" t="s">
        <v>173</v>
      </c>
      <c r="GE2" s="274"/>
      <c r="GF2" s="274"/>
      <c r="GG2" s="14" t="str">
        <f>IF(GG3="","",IF(AND(GG5="Y",GG6="N"),GG3,IF(GG3&lt;1000,GG3+10,GG3+20)))</f>
        <v/>
      </c>
      <c r="GI2" s="274" t="s">
        <v>173</v>
      </c>
      <c r="GJ2" s="274"/>
      <c r="GK2" s="274"/>
      <c r="GL2" s="14" t="str">
        <f>IF(GL3="","",IF(AND(GL5="Y",GL6="N"),GL3,IF(GL3&lt;1000,GL3+10,GL3+20)))</f>
        <v/>
      </c>
      <c r="GN2" s="274" t="s">
        <v>173</v>
      </c>
      <c r="GO2" s="274"/>
      <c r="GP2" s="274"/>
      <c r="GQ2" s="14" t="str">
        <f>IF(GQ3="","",IF(AND(GQ5="Y",GQ6="N"),GQ3,IF(GQ3&lt;1000,GQ3+10,GQ3+20)))</f>
        <v/>
      </c>
      <c r="GS2" s="274" t="s">
        <v>173</v>
      </c>
      <c r="GT2" s="274"/>
      <c r="GU2" s="274"/>
      <c r="GV2" s="14" t="str">
        <f>IF(GV3="","",IF(AND(GV5="Y",GV6="N"),GV3,IF(GV3&lt;1000,GV3+10,GV3+20)))</f>
        <v/>
      </c>
      <c r="GX2" s="274" t="s">
        <v>173</v>
      </c>
      <c r="GY2" s="274"/>
      <c r="GZ2" s="274"/>
      <c r="HA2" s="14" t="str">
        <f>IF(HA3="","",IF(AND(HA5="Y",HA6="N"),HA3,IF(HA3&lt;1000,HA3+10,HA3+20)))</f>
        <v/>
      </c>
      <c r="HC2" s="274" t="s">
        <v>173</v>
      </c>
      <c r="HD2" s="274"/>
      <c r="HE2" s="274"/>
      <c r="HF2" s="14" t="str">
        <f>IF(HF3="","",IF(AND(HF5="Y",HF6="N"),HF3,IF(HF3&lt;1000,HF3+10,HF3+20)))</f>
        <v/>
      </c>
      <c r="HH2" s="274" t="s">
        <v>173</v>
      </c>
      <c r="HI2" s="274"/>
      <c r="HJ2" s="274"/>
      <c r="HK2" s="14" t="str">
        <f>IF(HK3="","",IF(AND(HK5="Y",HK6="N"),HK3,IF(HK3&lt;1000,HK3+10,HK3+20)))</f>
        <v/>
      </c>
      <c r="HM2" s="274" t="s">
        <v>173</v>
      </c>
      <c r="HN2" s="274"/>
      <c r="HO2" s="274"/>
      <c r="HP2" s="14" t="str">
        <f>IF(HP3="","",IF(AND(HP5="Y",HP6="N"),HP3,IF(HP3&lt;1000,HP3+10,HP3+20)))</f>
        <v/>
      </c>
      <c r="HR2" s="274" t="s">
        <v>173</v>
      </c>
      <c r="HS2" s="274"/>
      <c r="HT2" s="274"/>
      <c r="HU2" s="14" t="str">
        <f>IF(HU3="","",IF(AND(HU5="Y",HU6="N"),HU3,IF(HU3&lt;1000,HU3+10,HU3+20)))</f>
        <v/>
      </c>
      <c r="HW2" s="274" t="s">
        <v>173</v>
      </c>
      <c r="HX2" s="274"/>
      <c r="HY2" s="274"/>
      <c r="HZ2" s="14" t="str">
        <f>IF(HZ3="","",IF(AND(HZ5="Y",HZ6="N"),HZ3,IF(HZ3&lt;1000,HZ3+10,HZ3+20)))</f>
        <v/>
      </c>
      <c r="IB2" s="274" t="s">
        <v>173</v>
      </c>
      <c r="IC2" s="274"/>
      <c r="ID2" s="274"/>
      <c r="IE2" s="14" t="str">
        <f>IF(IE3="","",IF(AND(IE5="Y",IE6="N"),IE3,IF(IE3&lt;1000,IE3+10,IE3+20)))</f>
        <v/>
      </c>
      <c r="IG2" s="274" t="s">
        <v>173</v>
      </c>
      <c r="IH2" s="274"/>
      <c r="II2" s="274"/>
      <c r="IJ2" s="14" t="str">
        <f>IF(IJ3="","",IF(AND(IJ5="Y",IJ6="N"),IJ3,IF(IJ3&lt;1000,IJ3+10,IJ3+20)))</f>
        <v/>
      </c>
      <c r="IL2" s="274" t="s">
        <v>173</v>
      </c>
      <c r="IM2" s="274"/>
      <c r="IN2" s="274"/>
      <c r="IO2" s="14" t="str">
        <f>IF(IO3="","",IF(AND(IO5="Y",IO6="N"),IO3,IF(IO3&lt;1000,IO3+10,IO3+20)))</f>
        <v/>
      </c>
    </row>
    <row r="3" spans="1:250" x14ac:dyDescent="0.25">
      <c r="A3" s="274" t="s">
        <v>174</v>
      </c>
      <c r="B3" s="274"/>
      <c r="C3" s="274"/>
      <c r="D3" s="15">
        <f>IF(E3="","",SUM(E3,E5,E6))</f>
        <v>438</v>
      </c>
      <c r="E3" s="16">
        <f>IF(E9="","",SUM(E9:E208,B9:B208,D9:D208))</f>
        <v>438</v>
      </c>
      <c r="F3" s="274" t="s">
        <v>174</v>
      </c>
      <c r="G3" s="274"/>
      <c r="H3" s="274"/>
      <c r="I3" s="15">
        <f>IF(J3="","",SUM(J3,J5,J6))</f>
        <v>1196</v>
      </c>
      <c r="J3" s="16">
        <f>IF(J9="","",SUM(J9:J208,G9:G208,I9:I208))</f>
        <v>1196</v>
      </c>
      <c r="K3" s="274" t="s">
        <v>174</v>
      </c>
      <c r="L3" s="274"/>
      <c r="M3" s="274"/>
      <c r="N3" s="15">
        <f>IF(O3="","",SUM(O3,O5,O6))</f>
        <v>1349</v>
      </c>
      <c r="O3" s="16">
        <f>IF(O9="","",SUM(O9:O208,L9:L208,N9:N208))</f>
        <v>1349</v>
      </c>
      <c r="P3" s="274" t="s">
        <v>174</v>
      </c>
      <c r="Q3" s="274"/>
      <c r="R3" s="274"/>
      <c r="S3" s="15">
        <f>IF(T3="","",SUM(T3,T5,T6))</f>
        <v>2116</v>
      </c>
      <c r="T3" s="16">
        <f>IF(T9="","",SUM(T9:T208,Q9:Q208,S9:S208))</f>
        <v>2101</v>
      </c>
      <c r="U3" s="274" t="s">
        <v>174</v>
      </c>
      <c r="V3" s="274"/>
      <c r="W3" s="274"/>
      <c r="X3" s="15">
        <f>IF(Y3="","",SUM(Y3,Y5,Y6))</f>
        <v>1001</v>
      </c>
      <c r="Y3" s="16">
        <f>IF(Y9="","",SUM(Y9:Y208,V9:V208,X9:X208))</f>
        <v>986</v>
      </c>
      <c r="Z3" s="274" t="s">
        <v>174</v>
      </c>
      <c r="AA3" s="274"/>
      <c r="AB3" s="274"/>
      <c r="AC3" s="15">
        <f>IF(AD3="","",SUM(AD3,AD5,AD6))</f>
        <v>1147</v>
      </c>
      <c r="AD3" s="16">
        <f>IF(AD9="","",SUM(AD9:AD208,AA9:AA208,AC9:AC208))</f>
        <v>1122</v>
      </c>
      <c r="AE3" s="274" t="s">
        <v>174</v>
      </c>
      <c r="AF3" s="274"/>
      <c r="AG3" s="274"/>
      <c r="AH3" s="15">
        <f>IF(AI3="","",SUM(AI3,AI5,AI6))</f>
        <v>1006</v>
      </c>
      <c r="AI3" s="16">
        <f>IF(AI9="","",SUM(AI9:AI208,AF9:AF208,AH9:AH208))</f>
        <v>976</v>
      </c>
      <c r="AJ3" s="274" t="s">
        <v>174</v>
      </c>
      <c r="AK3" s="274"/>
      <c r="AL3" s="274"/>
      <c r="AM3" s="15">
        <f>IF(AN3="","",SUM(AN3,AN5,AN6))</f>
        <v>976</v>
      </c>
      <c r="AN3" s="16">
        <f>IF(AN9="","",SUM(AN9:AN208,AK9:AK208,AM9:AM208))</f>
        <v>946</v>
      </c>
      <c r="AO3" s="274" t="s">
        <v>174</v>
      </c>
      <c r="AP3" s="274"/>
      <c r="AQ3" s="274"/>
      <c r="AR3" s="15">
        <f>IF(AS3="","",SUM(AS3,AS5,AS6))</f>
        <v>571</v>
      </c>
      <c r="AS3" s="16">
        <f>IF(AS9="","",SUM(AS9:AS208,AP9:AP208,AR9:AR208))</f>
        <v>541</v>
      </c>
      <c r="AT3" s="274" t="s">
        <v>174</v>
      </c>
      <c r="AU3" s="274"/>
      <c r="AV3" s="274"/>
      <c r="AW3" s="15">
        <f>IF(AX3="","",SUM(AX3,AX5,AX6))</f>
        <v>587</v>
      </c>
      <c r="AX3" s="16">
        <f>IF(AX9="","",SUM(AX9:AX208,AU9:AU208,AW9:AW208))</f>
        <v>557</v>
      </c>
      <c r="AY3" s="274" t="s">
        <v>174</v>
      </c>
      <c r="AZ3" s="274"/>
      <c r="BA3" s="274"/>
      <c r="BB3" s="15">
        <f>IF(BC3="","",SUM(BC3,BC5,BC6))</f>
        <v>1834</v>
      </c>
      <c r="BC3" s="16">
        <f>IF(BC9="","",SUM(BC9:BC208,AZ9:AZ208,BB9:BB208))</f>
        <v>1819</v>
      </c>
      <c r="BD3" s="274" t="s">
        <v>174</v>
      </c>
      <c r="BE3" s="274"/>
      <c r="BF3" s="274"/>
      <c r="BG3" s="15">
        <f>IF(BH3="","",SUM(BH3,BH5,BH6))</f>
        <v>255</v>
      </c>
      <c r="BH3" s="16">
        <f>IF(BH9="","",SUM(BH9:BH208,BE9:BE208,BG9:BG208))</f>
        <v>225</v>
      </c>
      <c r="BI3" s="274" t="s">
        <v>174</v>
      </c>
      <c r="BJ3" s="274"/>
      <c r="BK3" s="274"/>
      <c r="BL3" s="15">
        <f>IF(BM3="","",SUM(BM3,BM5,BM6))</f>
        <v>410</v>
      </c>
      <c r="BM3" s="16">
        <f>IF(BM9="","",SUM(BM9:BM208,BJ9:BJ208,BL9:BL208))</f>
        <v>410</v>
      </c>
      <c r="BN3" s="274" t="s">
        <v>174</v>
      </c>
      <c r="BO3" s="274"/>
      <c r="BP3" s="274"/>
      <c r="BQ3" s="15">
        <f>IF(BR3="","",SUM(BR3,BR5,BR6))</f>
        <v>2392</v>
      </c>
      <c r="BR3" s="16">
        <f>IF(BR9="","",SUM(BR9:BR208,BO9:BO208,BQ9:BQ208))</f>
        <v>2367</v>
      </c>
      <c r="BS3" s="274" t="s">
        <v>174</v>
      </c>
      <c r="BT3" s="274"/>
      <c r="BU3" s="274"/>
      <c r="BV3" s="15">
        <f>IF(BW3="","",SUM(BW3,BW5,BW6))</f>
        <v>1679</v>
      </c>
      <c r="BW3" s="16">
        <f>IF(BW9="","",SUM(BW9:BW208,BT9:BT208,BV9:BV208))</f>
        <v>1679</v>
      </c>
      <c r="BX3" s="274" t="s">
        <v>174</v>
      </c>
      <c r="BY3" s="274"/>
      <c r="BZ3" s="274"/>
      <c r="CA3" s="15">
        <f>IF(CB3="","",SUM(CB3,CB5,CB6))</f>
        <v>376</v>
      </c>
      <c r="CB3" s="16">
        <f>IF(CB9="","",SUM(CB9:CB208,BY9:BY208,CA9:CA208))</f>
        <v>326</v>
      </c>
      <c r="CC3" s="274" t="s">
        <v>174</v>
      </c>
      <c r="CD3" s="274"/>
      <c r="CE3" s="274"/>
      <c r="CF3" s="15">
        <f>IF(CG3="","",SUM(CG3,CG5,CG6))</f>
        <v>390</v>
      </c>
      <c r="CG3" s="16">
        <f>IF(CG9="","",SUM(CG9:CG208,CD9:CD208,CF9:CF208))</f>
        <v>360</v>
      </c>
      <c r="CH3" s="274" t="s">
        <v>174</v>
      </c>
      <c r="CI3" s="274"/>
      <c r="CJ3" s="274"/>
      <c r="CK3" s="15">
        <f>IF(CL3="","",SUM(CL3,CL5,CL6))</f>
        <v>1799</v>
      </c>
      <c r="CL3" s="16">
        <f>IF(CL9="","",SUM(CL9:CL208,CI9:CI208,CK9:CK208))</f>
        <v>1774</v>
      </c>
      <c r="CM3" s="274" t="s">
        <v>174</v>
      </c>
      <c r="CN3" s="274"/>
      <c r="CO3" s="274"/>
      <c r="CP3" s="15">
        <f>IF(CQ3="","",SUM(CQ3,CQ5,CQ6))</f>
        <v>438</v>
      </c>
      <c r="CQ3" s="16">
        <f>IF(CQ9="","",SUM(CQ9:CQ208,CN9:CN208,CP9:CP208))</f>
        <v>438</v>
      </c>
      <c r="CR3" s="274" t="s">
        <v>174</v>
      </c>
      <c r="CS3" s="274"/>
      <c r="CT3" s="274"/>
      <c r="CU3" s="15">
        <f>IF(CV3="","",SUM(CV3,CV5,CV6))</f>
        <v>564</v>
      </c>
      <c r="CV3" s="16">
        <f>IF(CV9="","",SUM(CV9:CV208,CS9:CS208,CU9:CU208))</f>
        <v>534</v>
      </c>
      <c r="CW3" s="274" t="s">
        <v>174</v>
      </c>
      <c r="CX3" s="274"/>
      <c r="CY3" s="274"/>
      <c r="CZ3" s="15">
        <f>IF(DA3="","",SUM(DA3,DA5,DA6))</f>
        <v>120</v>
      </c>
      <c r="DA3" s="16">
        <f>IF(DA9="","",SUM(DA9:DA208,CX9:CX208,CZ9:CZ208))</f>
        <v>120</v>
      </c>
      <c r="DB3" s="274" t="s">
        <v>174</v>
      </c>
      <c r="DC3" s="274"/>
      <c r="DD3" s="274"/>
      <c r="DE3" s="15" t="str">
        <f>IF(DF3="","",SUM(DF3,DF5,DF6))</f>
        <v/>
      </c>
      <c r="DF3" s="16" t="str">
        <f>IF(DF9="","",SUM(DF9:DF208,DC9:DC208,DE9:DE208))</f>
        <v/>
      </c>
      <c r="DG3" s="274" t="s">
        <v>174</v>
      </c>
      <c r="DH3" s="274"/>
      <c r="DI3" s="274"/>
      <c r="DJ3" s="15" t="str">
        <f>IF(DK3="","",SUM(DK3,DK5,DK6))</f>
        <v/>
      </c>
      <c r="DK3" s="16" t="str">
        <f>IF(DK9="","",SUM(DK9:DK208,DH9:DH208,DJ9:DJ208))</f>
        <v/>
      </c>
      <c r="DL3" s="274" t="s">
        <v>174</v>
      </c>
      <c r="DM3" s="274"/>
      <c r="DN3" s="274"/>
      <c r="DO3" s="15" t="str">
        <f>IF(DP3="","",SUM(DP3,DP5,DP6))</f>
        <v/>
      </c>
      <c r="DP3" s="16" t="str">
        <f>IF(DP9="","",SUM(DP9:DP208,DM9:DM208,DO9:DO208))</f>
        <v/>
      </c>
      <c r="DQ3" s="274" t="s">
        <v>174</v>
      </c>
      <c r="DR3" s="274"/>
      <c r="DS3" s="274"/>
      <c r="DT3" s="15" t="str">
        <f>IF(DU3="","",SUM(DU3,DU5,DU6))</f>
        <v/>
      </c>
      <c r="DU3" s="16" t="str">
        <f>IF(DU9="","",SUM(DU9:DU208,DR9:DR208,DT9:DT208))</f>
        <v/>
      </c>
      <c r="DV3" s="274" t="s">
        <v>174</v>
      </c>
      <c r="DW3" s="274"/>
      <c r="DX3" s="274"/>
      <c r="DY3" s="15" t="str">
        <f>IF(DZ3="","",SUM(DZ3,DZ5,DZ6))</f>
        <v/>
      </c>
      <c r="DZ3" s="16" t="str">
        <f>IF(DZ9="","",SUM(DZ9:DZ208,DW9:DW208,DY9:DY208))</f>
        <v/>
      </c>
      <c r="EA3" s="274" t="s">
        <v>174</v>
      </c>
      <c r="EB3" s="274"/>
      <c r="EC3" s="274"/>
      <c r="ED3" s="15" t="str">
        <f>IF(EE3="","",SUM(EE3,EE5,EE6))</f>
        <v/>
      </c>
      <c r="EE3" s="16" t="str">
        <f>IF(EE9="","",SUM(EE9:EE208,EB9:EB208,ED9:ED208))</f>
        <v/>
      </c>
      <c r="EF3" s="274" t="s">
        <v>174</v>
      </c>
      <c r="EG3" s="274"/>
      <c r="EH3" s="274"/>
      <c r="EI3" s="15" t="str">
        <f>IF(EJ3="","",SUM(EJ3,EJ5,EJ6))</f>
        <v/>
      </c>
      <c r="EJ3" s="16" t="str">
        <f>IF(EJ9="","",SUM(EJ9:EJ208,EG9:EG208,EI9:EI208))</f>
        <v/>
      </c>
      <c r="EK3" s="274" t="s">
        <v>174</v>
      </c>
      <c r="EL3" s="274"/>
      <c r="EM3" s="274"/>
      <c r="EN3" s="15" t="str">
        <f>IF(EO3="","",SUM(EO3,EO5,EO6))</f>
        <v/>
      </c>
      <c r="EO3" s="16" t="str">
        <f>IF(EO9="","",SUM(EO9:EO208,EL9:EL208,EN9:EN208))</f>
        <v/>
      </c>
      <c r="EP3" s="274" t="s">
        <v>174</v>
      </c>
      <c r="EQ3" s="274"/>
      <c r="ER3" s="274"/>
      <c r="ES3" s="15" t="str">
        <f>IF(ET3="","",SUM(ET3,ET5,ET6))</f>
        <v/>
      </c>
      <c r="ET3" s="16" t="str">
        <f>IF(ET9="","",SUM(ET9:ET208,EQ9:EQ208,ES9:ES208))</f>
        <v/>
      </c>
      <c r="EU3" s="274" t="s">
        <v>174</v>
      </c>
      <c r="EV3" s="274"/>
      <c r="EW3" s="274"/>
      <c r="EX3" s="15" t="str">
        <f>IF(EY3="","",SUM(EY3,EY5,EY6))</f>
        <v/>
      </c>
      <c r="EY3" s="16" t="str">
        <f>IF(EY9="","",SUM(EY9:EY208,EV9:EV208,EX9:EX208))</f>
        <v/>
      </c>
      <c r="EZ3" s="274" t="s">
        <v>174</v>
      </c>
      <c r="FA3" s="274"/>
      <c r="FB3" s="274"/>
      <c r="FC3" s="15" t="str">
        <f>IF(FD3="","",SUM(FD3,FD5,FD6))</f>
        <v/>
      </c>
      <c r="FD3" s="16" t="str">
        <f>IF(FD9="","",SUM(FD9:FD208,FA9:FA208,FC9:FC208))</f>
        <v/>
      </c>
      <c r="FE3" s="274" t="s">
        <v>174</v>
      </c>
      <c r="FF3" s="274"/>
      <c r="FG3" s="274"/>
      <c r="FH3" s="15" t="str">
        <f>IF(FI3="","",SUM(FI3,FI5,FI6))</f>
        <v/>
      </c>
      <c r="FI3" s="16" t="str">
        <f>IF(FI9="","",SUM(FI9:FI208,FF9:FF208,FH9:FH208))</f>
        <v/>
      </c>
      <c r="FJ3" s="274" t="s">
        <v>174</v>
      </c>
      <c r="FK3" s="274"/>
      <c r="FL3" s="274"/>
      <c r="FM3" s="15" t="str">
        <f>IF(FN3="","",SUM(FN3,FN5,FN6))</f>
        <v/>
      </c>
      <c r="FN3" s="16" t="str">
        <f>IF(FN9="","",SUM(FN9:FN208,FK9:FK208,FM9:FM208))</f>
        <v/>
      </c>
      <c r="FO3" s="274" t="s">
        <v>174</v>
      </c>
      <c r="FP3" s="274"/>
      <c r="FQ3" s="274"/>
      <c r="FR3" s="15" t="str">
        <f>IF(FS3="","",SUM(FS3,FS5,FS6))</f>
        <v/>
      </c>
      <c r="FS3" s="16" t="str">
        <f>IF(FS9="","",SUM(FS9:FS208,FP9:FP208,FR9:FR208))</f>
        <v/>
      </c>
      <c r="FT3" s="274" t="s">
        <v>174</v>
      </c>
      <c r="FU3" s="274"/>
      <c r="FV3" s="274"/>
      <c r="FW3" s="15" t="str">
        <f>IF(FX3="","",SUM(FX3,FX5,FX6))</f>
        <v/>
      </c>
      <c r="FX3" s="16" t="str">
        <f>IF(FX9="","",SUM(FX9:FX208,FU9:FU208,FW9:FW208))</f>
        <v/>
      </c>
      <c r="FY3" s="274" t="s">
        <v>174</v>
      </c>
      <c r="FZ3" s="274"/>
      <c r="GA3" s="274"/>
      <c r="GB3" s="15" t="str">
        <f>IF(GC3="","",SUM(GC3,GC5,GC6))</f>
        <v/>
      </c>
      <c r="GC3" s="16" t="str">
        <f>IF(GC9="","",SUM(GC9:GC208,FZ9:FZ208,GB9:GB208))</f>
        <v/>
      </c>
      <c r="GD3" s="274" t="s">
        <v>174</v>
      </c>
      <c r="GE3" s="274"/>
      <c r="GF3" s="274"/>
      <c r="GG3" s="15" t="str">
        <f>IF(GH3="","",SUM(GH3,GH5,GH6))</f>
        <v/>
      </c>
      <c r="GH3" s="16" t="str">
        <f>IF(GH9="","",SUM(GH9:GH208,GE9:GE208,GG9:GG208))</f>
        <v/>
      </c>
      <c r="GI3" s="274" t="s">
        <v>174</v>
      </c>
      <c r="GJ3" s="274"/>
      <c r="GK3" s="274"/>
      <c r="GL3" s="15" t="str">
        <f>IF(GM3="","",SUM(GM3,GM5,GM6))</f>
        <v/>
      </c>
      <c r="GM3" s="16" t="str">
        <f>IF(GM9="","",SUM(GM9:GM208,GJ9:GJ208,GL9:GL208))</f>
        <v/>
      </c>
      <c r="GN3" s="274" t="s">
        <v>174</v>
      </c>
      <c r="GO3" s="274"/>
      <c r="GP3" s="274"/>
      <c r="GQ3" s="15" t="str">
        <f>IF(GR3="","",SUM(GR3,GR5,GR6))</f>
        <v/>
      </c>
      <c r="GR3" s="16" t="str">
        <f>IF(GR9="","",SUM(GR9:GR208,GO9:GO208,GQ9:GQ208))</f>
        <v/>
      </c>
      <c r="GS3" s="274" t="s">
        <v>174</v>
      </c>
      <c r="GT3" s="274"/>
      <c r="GU3" s="274"/>
      <c r="GV3" s="15" t="str">
        <f>IF(GW3="","",SUM(GW3,GW5,GW6))</f>
        <v/>
      </c>
      <c r="GW3" s="16" t="str">
        <f>IF(GW9="","",SUM(GW9:GW208,GT9:GT208,GV9:GV208))</f>
        <v/>
      </c>
      <c r="GX3" s="274" t="s">
        <v>174</v>
      </c>
      <c r="GY3" s="274"/>
      <c r="GZ3" s="274"/>
      <c r="HA3" s="15" t="str">
        <f>IF(HB3="","",SUM(HB3,HB5,HB6))</f>
        <v/>
      </c>
      <c r="HB3" s="16" t="str">
        <f>IF(HB9="","",SUM(HB9:HB208,GY9:GY208,HA9:HA208))</f>
        <v/>
      </c>
      <c r="HC3" s="274" t="s">
        <v>174</v>
      </c>
      <c r="HD3" s="274"/>
      <c r="HE3" s="274"/>
      <c r="HF3" s="15" t="str">
        <f>IF(HG3="","",SUM(HG3,HG5,HG6))</f>
        <v/>
      </c>
      <c r="HG3" s="16" t="str">
        <f>IF(HG9="","",SUM(HG9:HG208,HD9:HD208,HF9:HF208))</f>
        <v/>
      </c>
      <c r="HH3" s="274" t="s">
        <v>174</v>
      </c>
      <c r="HI3" s="274"/>
      <c r="HJ3" s="274"/>
      <c r="HK3" s="15" t="str">
        <f>IF(HL3="","",SUM(HL3,HL5,HL6))</f>
        <v/>
      </c>
      <c r="HL3" s="16" t="str">
        <f>IF(HL9="","",SUM(HL9:HL208,HI9:HI208,HK9:HK208))</f>
        <v/>
      </c>
      <c r="HM3" s="274" t="s">
        <v>174</v>
      </c>
      <c r="HN3" s="274"/>
      <c r="HO3" s="274"/>
      <c r="HP3" s="15" t="str">
        <f>IF(HQ3="","",SUM(HQ3,HQ5,HQ6))</f>
        <v/>
      </c>
      <c r="HQ3" s="16" t="str">
        <f>IF(HQ9="","",SUM(HQ9:HQ208,HN9:HN208,HP9:HP208))</f>
        <v/>
      </c>
      <c r="HR3" s="274" t="s">
        <v>174</v>
      </c>
      <c r="HS3" s="274"/>
      <c r="HT3" s="274"/>
      <c r="HU3" s="15" t="str">
        <f>IF(HV3="","",SUM(HV3,HV5,HV6))</f>
        <v/>
      </c>
      <c r="HV3" s="16" t="str">
        <f>IF(HV9="","",SUM(HV9:HV208,HS9:HS208,HU9:HU208))</f>
        <v/>
      </c>
      <c r="HW3" s="274" t="s">
        <v>174</v>
      </c>
      <c r="HX3" s="274"/>
      <c r="HY3" s="274"/>
      <c r="HZ3" s="15" t="str">
        <f>IF(IA3="","",SUM(IA3,IA5,IA6))</f>
        <v/>
      </c>
      <c r="IA3" s="16" t="str">
        <f>IF(IA9="","",SUM(IA9:IA208,HX9:HX208,HZ9:HZ208))</f>
        <v/>
      </c>
      <c r="IB3" s="274" t="s">
        <v>174</v>
      </c>
      <c r="IC3" s="274"/>
      <c r="ID3" s="274"/>
      <c r="IE3" s="15" t="str">
        <f>IF(IF3="","",SUM(IF3,IF5,IF6))</f>
        <v/>
      </c>
      <c r="IF3" s="16" t="str">
        <f>IF(IF9="","",SUM(IF9:IF208,IC9:IC208,IE9:IE208))</f>
        <v/>
      </c>
      <c r="IG3" s="274" t="s">
        <v>174</v>
      </c>
      <c r="IH3" s="274"/>
      <c r="II3" s="274"/>
      <c r="IJ3" s="15" t="str">
        <f>IF(IK3="","",SUM(IK3,IK5,IK6))</f>
        <v/>
      </c>
      <c r="IK3" s="16" t="str">
        <f>IF(IK9="","",SUM(IK9:IK208,IH9:IH208,IJ9:IJ208))</f>
        <v/>
      </c>
      <c r="IL3" s="274" t="s">
        <v>174</v>
      </c>
      <c r="IM3" s="274"/>
      <c r="IN3" s="274"/>
      <c r="IO3" s="15" t="str">
        <f>IF(IP3="","",SUM(IP3,IP5,IP6))</f>
        <v/>
      </c>
      <c r="IP3" s="16" t="str">
        <f>IF(IP9="","",SUM(IP9:IP208,IM9:IM208,IO9:IO208))</f>
        <v/>
      </c>
    </row>
    <row r="4" spans="1:250" x14ac:dyDescent="0.25">
      <c r="A4" s="275" t="s">
        <v>175</v>
      </c>
      <c r="B4" s="276"/>
      <c r="C4" s="277"/>
      <c r="D4" s="117" t="s">
        <v>178</v>
      </c>
      <c r="F4" s="275" t="s">
        <v>175</v>
      </c>
      <c r="G4" s="276"/>
      <c r="H4" s="277"/>
      <c r="I4" s="117" t="s">
        <v>179</v>
      </c>
      <c r="K4" s="275" t="s">
        <v>175</v>
      </c>
      <c r="L4" s="276"/>
      <c r="M4" s="277"/>
      <c r="N4" s="117" t="s">
        <v>179</v>
      </c>
      <c r="P4" s="275" t="s">
        <v>175</v>
      </c>
      <c r="Q4" s="276"/>
      <c r="R4" s="277"/>
      <c r="S4" s="117" t="s">
        <v>179</v>
      </c>
      <c r="U4" s="275" t="s">
        <v>175</v>
      </c>
      <c r="V4" s="276"/>
      <c r="W4" s="277"/>
      <c r="X4" s="117" t="s">
        <v>179</v>
      </c>
      <c r="Z4" s="275" t="s">
        <v>175</v>
      </c>
      <c r="AA4" s="276"/>
      <c r="AB4" s="277"/>
      <c r="AC4" s="117" t="s">
        <v>179</v>
      </c>
      <c r="AE4" s="275" t="s">
        <v>175</v>
      </c>
      <c r="AF4" s="276"/>
      <c r="AG4" s="277"/>
      <c r="AH4" s="117" t="s">
        <v>179</v>
      </c>
      <c r="AJ4" s="275" t="s">
        <v>175</v>
      </c>
      <c r="AK4" s="276"/>
      <c r="AL4" s="277"/>
      <c r="AM4" s="117" t="s">
        <v>179</v>
      </c>
      <c r="AO4" s="275" t="s">
        <v>175</v>
      </c>
      <c r="AP4" s="276"/>
      <c r="AQ4" s="277"/>
      <c r="AR4" s="117" t="s">
        <v>179</v>
      </c>
      <c r="AT4" s="275" t="s">
        <v>175</v>
      </c>
      <c r="AU4" s="276"/>
      <c r="AV4" s="277"/>
      <c r="AW4" s="117" t="s">
        <v>179</v>
      </c>
      <c r="AY4" s="275" t="s">
        <v>175</v>
      </c>
      <c r="AZ4" s="276"/>
      <c r="BA4" s="277"/>
      <c r="BB4" s="117" t="s">
        <v>179</v>
      </c>
      <c r="BD4" s="275" t="s">
        <v>175</v>
      </c>
      <c r="BE4" s="276"/>
      <c r="BF4" s="277"/>
      <c r="BG4" s="117" t="s">
        <v>179</v>
      </c>
      <c r="BI4" s="275" t="s">
        <v>175</v>
      </c>
      <c r="BJ4" s="276"/>
      <c r="BK4" s="277"/>
      <c r="BL4" s="117" t="s">
        <v>178</v>
      </c>
      <c r="BN4" s="275" t="s">
        <v>175</v>
      </c>
      <c r="BO4" s="276"/>
      <c r="BP4" s="277"/>
      <c r="BQ4" s="117" t="s">
        <v>179</v>
      </c>
      <c r="BS4" s="275" t="s">
        <v>175</v>
      </c>
      <c r="BT4" s="276"/>
      <c r="BU4" s="277"/>
      <c r="BV4" s="117" t="s">
        <v>179</v>
      </c>
      <c r="BX4" s="275" t="s">
        <v>175</v>
      </c>
      <c r="BY4" s="276"/>
      <c r="BZ4" s="277"/>
      <c r="CA4" s="117" t="s">
        <v>179</v>
      </c>
      <c r="CC4" s="275" t="s">
        <v>175</v>
      </c>
      <c r="CD4" s="276"/>
      <c r="CE4" s="277"/>
      <c r="CF4" s="117" t="s">
        <v>179</v>
      </c>
      <c r="CH4" s="275" t="s">
        <v>175</v>
      </c>
      <c r="CI4" s="276"/>
      <c r="CJ4" s="277"/>
      <c r="CK4" s="117" t="s">
        <v>179</v>
      </c>
      <c r="CM4" s="275" t="s">
        <v>175</v>
      </c>
      <c r="CN4" s="276"/>
      <c r="CO4" s="277"/>
      <c r="CP4" s="117" t="s">
        <v>178</v>
      </c>
      <c r="CR4" s="275" t="s">
        <v>175</v>
      </c>
      <c r="CS4" s="276"/>
      <c r="CT4" s="277"/>
      <c r="CU4" s="117" t="s">
        <v>179</v>
      </c>
      <c r="CW4" s="275" t="s">
        <v>175</v>
      </c>
      <c r="CX4" s="276"/>
      <c r="CY4" s="277"/>
      <c r="CZ4" s="117" t="s">
        <v>178</v>
      </c>
      <c r="DB4" s="275" t="s">
        <v>175</v>
      </c>
      <c r="DC4" s="276"/>
      <c r="DD4" s="277"/>
      <c r="DE4" s="117"/>
      <c r="DG4" s="275" t="s">
        <v>175</v>
      </c>
      <c r="DH4" s="276"/>
      <c r="DI4" s="277"/>
      <c r="DJ4" s="117"/>
      <c r="DL4" s="275" t="s">
        <v>175</v>
      </c>
      <c r="DM4" s="276"/>
      <c r="DN4" s="277"/>
      <c r="DO4" s="117"/>
      <c r="DQ4" s="275" t="s">
        <v>175</v>
      </c>
      <c r="DR4" s="276"/>
      <c r="DS4" s="277"/>
      <c r="DT4" s="117"/>
      <c r="DV4" s="275" t="s">
        <v>175</v>
      </c>
      <c r="DW4" s="276"/>
      <c r="DX4" s="277"/>
      <c r="DY4" s="117"/>
      <c r="EA4" s="275" t="s">
        <v>175</v>
      </c>
      <c r="EB4" s="276"/>
      <c r="EC4" s="277"/>
      <c r="ED4" s="117"/>
      <c r="EF4" s="275" t="s">
        <v>175</v>
      </c>
      <c r="EG4" s="276"/>
      <c r="EH4" s="277"/>
      <c r="EI4" s="117"/>
      <c r="EK4" s="275" t="s">
        <v>175</v>
      </c>
      <c r="EL4" s="276"/>
      <c r="EM4" s="277"/>
      <c r="EN4" s="117"/>
      <c r="EP4" s="275" t="s">
        <v>175</v>
      </c>
      <c r="EQ4" s="276"/>
      <c r="ER4" s="277"/>
      <c r="ES4" s="117"/>
      <c r="EU4" s="275" t="s">
        <v>175</v>
      </c>
      <c r="EV4" s="276"/>
      <c r="EW4" s="277"/>
      <c r="EX4" s="117"/>
      <c r="EZ4" s="275" t="s">
        <v>175</v>
      </c>
      <c r="FA4" s="276"/>
      <c r="FB4" s="277"/>
      <c r="FC4" s="117"/>
      <c r="FE4" s="275" t="s">
        <v>175</v>
      </c>
      <c r="FF4" s="276"/>
      <c r="FG4" s="277"/>
      <c r="FH4" s="117"/>
      <c r="FJ4" s="275" t="s">
        <v>175</v>
      </c>
      <c r="FK4" s="276"/>
      <c r="FL4" s="277"/>
      <c r="FM4" s="117"/>
      <c r="FO4" s="275" t="s">
        <v>175</v>
      </c>
      <c r="FP4" s="276"/>
      <c r="FQ4" s="277"/>
      <c r="FR4" s="117"/>
      <c r="FT4" s="275" t="s">
        <v>175</v>
      </c>
      <c r="FU4" s="276"/>
      <c r="FV4" s="277"/>
      <c r="FW4" s="117"/>
      <c r="FY4" s="275" t="s">
        <v>175</v>
      </c>
      <c r="FZ4" s="276"/>
      <c r="GA4" s="277"/>
      <c r="GB4" s="117"/>
      <c r="GD4" s="275" t="s">
        <v>175</v>
      </c>
      <c r="GE4" s="276"/>
      <c r="GF4" s="277"/>
      <c r="GG4" s="117"/>
      <c r="GI4" s="275" t="s">
        <v>175</v>
      </c>
      <c r="GJ4" s="276"/>
      <c r="GK4" s="277"/>
      <c r="GL4" s="117"/>
      <c r="GN4" s="275" t="s">
        <v>175</v>
      </c>
      <c r="GO4" s="276"/>
      <c r="GP4" s="277"/>
      <c r="GQ4" s="117"/>
      <c r="GS4" s="275" t="s">
        <v>175</v>
      </c>
      <c r="GT4" s="276"/>
      <c r="GU4" s="277"/>
      <c r="GV4" s="117"/>
      <c r="GX4" s="275" t="s">
        <v>175</v>
      </c>
      <c r="GY4" s="276"/>
      <c r="GZ4" s="277"/>
      <c r="HA4" s="117"/>
      <c r="HC4" s="275" t="s">
        <v>175</v>
      </c>
      <c r="HD4" s="276"/>
      <c r="HE4" s="277"/>
      <c r="HF4" s="117"/>
      <c r="HH4" s="275" t="s">
        <v>175</v>
      </c>
      <c r="HI4" s="276"/>
      <c r="HJ4" s="277"/>
      <c r="HK4" s="117"/>
      <c r="HM4" s="275" t="s">
        <v>175</v>
      </c>
      <c r="HN4" s="276"/>
      <c r="HO4" s="277"/>
      <c r="HP4" s="117"/>
      <c r="HR4" s="275" t="s">
        <v>175</v>
      </c>
      <c r="HS4" s="276"/>
      <c r="HT4" s="277"/>
      <c r="HU4" s="117"/>
      <c r="HW4" s="275" t="s">
        <v>175</v>
      </c>
      <c r="HX4" s="276"/>
      <c r="HY4" s="277"/>
      <c r="HZ4" s="117"/>
      <c r="IB4" s="275" t="s">
        <v>175</v>
      </c>
      <c r="IC4" s="276"/>
      <c r="ID4" s="277"/>
      <c r="IE4" s="117"/>
      <c r="IG4" s="275" t="s">
        <v>175</v>
      </c>
      <c r="IH4" s="276"/>
      <c r="II4" s="277"/>
      <c r="IJ4" s="117"/>
      <c r="IL4" s="275" t="s">
        <v>175</v>
      </c>
      <c r="IM4" s="276"/>
      <c r="IN4" s="277"/>
      <c r="IO4" s="117"/>
    </row>
    <row r="5" spans="1:250" x14ac:dyDescent="0.25">
      <c r="A5" s="275" t="s">
        <v>176</v>
      </c>
      <c r="B5" s="276"/>
      <c r="C5" s="277"/>
      <c r="D5" s="117" t="s">
        <v>178</v>
      </c>
      <c r="E5" s="16" t="str">
        <f>IF(D4="N","0",IF(D5="Y",E7/2,"0"))</f>
        <v>0</v>
      </c>
      <c r="F5" s="275" t="s">
        <v>176</v>
      </c>
      <c r="G5" s="276"/>
      <c r="H5" s="277"/>
      <c r="I5" s="117" t="s">
        <v>178</v>
      </c>
      <c r="J5" s="16" t="str">
        <f>IF(I4="N","0",IF(I5="Y",J7/2,"0"))</f>
        <v>0</v>
      </c>
      <c r="K5" s="275" t="s">
        <v>176</v>
      </c>
      <c r="L5" s="276"/>
      <c r="M5" s="277"/>
      <c r="N5" s="117" t="s">
        <v>178</v>
      </c>
      <c r="O5" s="16" t="str">
        <f>IF(N4="N","0",IF(N5="Y",O7/2,"0"))</f>
        <v>0</v>
      </c>
      <c r="P5" s="275" t="s">
        <v>176</v>
      </c>
      <c r="Q5" s="276"/>
      <c r="R5" s="277"/>
      <c r="S5" s="117" t="s">
        <v>178</v>
      </c>
      <c r="T5" s="16" t="str">
        <f>IF(S4="N","0",IF(S5="Y",T7/2,"0"))</f>
        <v>0</v>
      </c>
      <c r="U5" s="275" t="s">
        <v>176</v>
      </c>
      <c r="V5" s="276"/>
      <c r="W5" s="277"/>
      <c r="X5" s="117" t="s">
        <v>178</v>
      </c>
      <c r="Y5" s="16" t="str">
        <f>IF(X4="N","0",IF(X5="Y",Y7/2,"0"))</f>
        <v>0</v>
      </c>
      <c r="Z5" s="275" t="s">
        <v>176</v>
      </c>
      <c r="AA5" s="276"/>
      <c r="AB5" s="277"/>
      <c r="AC5" s="117" t="s">
        <v>178</v>
      </c>
      <c r="AD5" s="16" t="str">
        <f>IF(AC4="N","0",IF(AC5="Y",AD7/2,"0"))</f>
        <v>0</v>
      </c>
      <c r="AE5" s="275" t="s">
        <v>176</v>
      </c>
      <c r="AF5" s="276"/>
      <c r="AG5" s="277"/>
      <c r="AH5" s="117" t="s">
        <v>179</v>
      </c>
      <c r="AI5" s="16">
        <f>IF(AH4="N","0",IF(AH5="Y",AI7/2,"0"))</f>
        <v>15</v>
      </c>
      <c r="AJ5" s="275" t="s">
        <v>176</v>
      </c>
      <c r="AK5" s="276"/>
      <c r="AL5" s="277"/>
      <c r="AM5" s="117" t="s">
        <v>179</v>
      </c>
      <c r="AN5" s="16">
        <f>IF(AM4="N","0",IF(AM5="Y",AN7/2,"0"))</f>
        <v>15</v>
      </c>
      <c r="AO5" s="275" t="s">
        <v>176</v>
      </c>
      <c r="AP5" s="276"/>
      <c r="AQ5" s="277"/>
      <c r="AR5" s="117" t="s">
        <v>179</v>
      </c>
      <c r="AS5" s="16">
        <f>IF(AR4="N","0",IF(AR5="Y",AS7/2,"0"))</f>
        <v>15</v>
      </c>
      <c r="AT5" s="275" t="s">
        <v>176</v>
      </c>
      <c r="AU5" s="276"/>
      <c r="AV5" s="277"/>
      <c r="AW5" s="117" t="s">
        <v>179</v>
      </c>
      <c r="AX5" s="16">
        <f>IF(AW4="N","0",IF(AW5="Y",AX7/2,"0"))</f>
        <v>15</v>
      </c>
      <c r="AY5" s="275" t="s">
        <v>176</v>
      </c>
      <c r="AZ5" s="276"/>
      <c r="BA5" s="277"/>
      <c r="BB5" s="117" t="s">
        <v>178</v>
      </c>
      <c r="BC5" s="16" t="str">
        <f>IF(BB4="N","0",IF(BB5="Y",BC7/2,"0"))</f>
        <v>0</v>
      </c>
      <c r="BD5" s="275" t="s">
        <v>176</v>
      </c>
      <c r="BE5" s="276"/>
      <c r="BF5" s="277"/>
      <c r="BG5" s="117" t="s">
        <v>179</v>
      </c>
      <c r="BH5" s="16">
        <f>IF(BG4="N","0",IF(BG5="Y",BH7/2,"0"))</f>
        <v>15</v>
      </c>
      <c r="BI5" s="275" t="s">
        <v>176</v>
      </c>
      <c r="BJ5" s="276"/>
      <c r="BK5" s="277"/>
      <c r="BL5" s="117" t="s">
        <v>178</v>
      </c>
      <c r="BM5" s="16" t="str">
        <f>IF(BL4="N","0",IF(BL5="Y",BM7/2,"0"))</f>
        <v>0</v>
      </c>
      <c r="BN5" s="275" t="s">
        <v>176</v>
      </c>
      <c r="BO5" s="276"/>
      <c r="BP5" s="277"/>
      <c r="BQ5" s="117" t="s">
        <v>178</v>
      </c>
      <c r="BR5" s="16" t="str">
        <f>IF(BQ4="N","0",IF(BQ5="Y",BR7/2,"0"))</f>
        <v>0</v>
      </c>
      <c r="BS5" s="275" t="s">
        <v>176</v>
      </c>
      <c r="BT5" s="276"/>
      <c r="BU5" s="277"/>
      <c r="BV5" s="117" t="s">
        <v>178</v>
      </c>
      <c r="BW5" s="16" t="str">
        <f>IF(BV4="N","0",IF(BV5="Y",BW7/2,"0"))</f>
        <v>0</v>
      </c>
      <c r="BX5" s="275" t="s">
        <v>176</v>
      </c>
      <c r="BY5" s="276"/>
      <c r="BZ5" s="277"/>
      <c r="CA5" s="117" t="s">
        <v>179</v>
      </c>
      <c r="CB5" s="16">
        <f>IF(CA4="N","0",IF(CA5="Y",CB7/2,"0"))</f>
        <v>25</v>
      </c>
      <c r="CC5" s="275" t="s">
        <v>176</v>
      </c>
      <c r="CD5" s="276"/>
      <c r="CE5" s="277"/>
      <c r="CF5" s="117" t="s">
        <v>179</v>
      </c>
      <c r="CG5" s="16">
        <f>IF(CF4="N","0",IF(CF5="Y",CG7/2,"0"))</f>
        <v>15</v>
      </c>
      <c r="CH5" s="275" t="s">
        <v>176</v>
      </c>
      <c r="CI5" s="276"/>
      <c r="CJ5" s="277"/>
      <c r="CK5" s="117" t="s">
        <v>179</v>
      </c>
      <c r="CL5" s="16">
        <f>IF(CK4="N","0",IF(CK5="Y",CL7/2,"0"))</f>
        <v>25</v>
      </c>
      <c r="CM5" s="275" t="s">
        <v>176</v>
      </c>
      <c r="CN5" s="276"/>
      <c r="CO5" s="277"/>
      <c r="CP5" s="117" t="s">
        <v>178</v>
      </c>
      <c r="CQ5" s="16" t="str">
        <f>IF(CP4="N","0",IF(CP5="Y",CQ7/2,"0"))</f>
        <v>0</v>
      </c>
      <c r="CR5" s="275" t="s">
        <v>176</v>
      </c>
      <c r="CS5" s="276"/>
      <c r="CT5" s="277"/>
      <c r="CU5" s="117" t="s">
        <v>179</v>
      </c>
      <c r="CV5" s="16">
        <f>IF(CU4="N","0",IF(CU5="Y",CV7/2,"0"))</f>
        <v>15</v>
      </c>
      <c r="CW5" s="275" t="s">
        <v>176</v>
      </c>
      <c r="CX5" s="276"/>
      <c r="CY5" s="277"/>
      <c r="CZ5" s="117" t="s">
        <v>178</v>
      </c>
      <c r="DA5" s="16" t="str">
        <f>IF(CZ4="N","0",IF(CZ5="Y",DA7/2,"0"))</f>
        <v>0</v>
      </c>
      <c r="DB5" s="275" t="s">
        <v>176</v>
      </c>
      <c r="DC5" s="276"/>
      <c r="DD5" s="277"/>
      <c r="DE5" s="117"/>
      <c r="DF5" s="16" t="str">
        <f>IF(DE4="N","0",IF(DE5="Y",DF7/2,"0"))</f>
        <v>0</v>
      </c>
      <c r="DG5" s="275" t="s">
        <v>176</v>
      </c>
      <c r="DH5" s="276"/>
      <c r="DI5" s="277"/>
      <c r="DJ5" s="117"/>
      <c r="DK5" s="16" t="str">
        <f>IF(DJ4="N","0",IF(DJ5="Y",DK7/2,"0"))</f>
        <v>0</v>
      </c>
      <c r="DL5" s="275" t="s">
        <v>176</v>
      </c>
      <c r="DM5" s="276"/>
      <c r="DN5" s="277"/>
      <c r="DO5" s="117"/>
      <c r="DP5" s="16" t="str">
        <f>IF(DO4="N","0",IF(DO5="Y",DP7/2,"0"))</f>
        <v>0</v>
      </c>
      <c r="DQ5" s="275" t="s">
        <v>176</v>
      </c>
      <c r="DR5" s="276"/>
      <c r="DS5" s="277"/>
      <c r="DT5" s="117"/>
      <c r="DU5" s="16" t="str">
        <f>IF(DT4="N","0",IF(DT5="Y",DU7/2,"0"))</f>
        <v>0</v>
      </c>
      <c r="DV5" s="275" t="s">
        <v>176</v>
      </c>
      <c r="DW5" s="276"/>
      <c r="DX5" s="277"/>
      <c r="DY5" s="117"/>
      <c r="DZ5" s="16" t="str">
        <f>IF(DY4="N","0",IF(DY5="Y",DZ7/2,"0"))</f>
        <v>0</v>
      </c>
      <c r="EA5" s="275" t="s">
        <v>176</v>
      </c>
      <c r="EB5" s="276"/>
      <c r="EC5" s="277"/>
      <c r="ED5" s="117"/>
      <c r="EE5" s="16" t="str">
        <f>IF(ED4="N","0",IF(ED5="Y",EE7/2,"0"))</f>
        <v>0</v>
      </c>
      <c r="EF5" s="275" t="s">
        <v>176</v>
      </c>
      <c r="EG5" s="276"/>
      <c r="EH5" s="277"/>
      <c r="EI5" s="117"/>
      <c r="EJ5" s="16" t="str">
        <f>IF(EI4="N","0",IF(EI5="Y",EJ7/2,"0"))</f>
        <v>0</v>
      </c>
      <c r="EK5" s="275" t="s">
        <v>176</v>
      </c>
      <c r="EL5" s="276"/>
      <c r="EM5" s="277"/>
      <c r="EN5" s="117"/>
      <c r="EO5" s="16" t="str">
        <f>IF(EN4="N","0",IF(EN5="Y",EO7/2,"0"))</f>
        <v>0</v>
      </c>
      <c r="EP5" s="275" t="s">
        <v>176</v>
      </c>
      <c r="EQ5" s="276"/>
      <c r="ER5" s="277"/>
      <c r="ES5" s="117"/>
      <c r="ET5" s="16" t="str">
        <f>IF(ES4="N","0",IF(ES5="Y",ET7/2,"0"))</f>
        <v>0</v>
      </c>
      <c r="EU5" s="275" t="s">
        <v>176</v>
      </c>
      <c r="EV5" s="276"/>
      <c r="EW5" s="277"/>
      <c r="EX5" s="117"/>
      <c r="EY5" s="16" t="str">
        <f>IF(EX4="N","0",IF(EX5="Y",EY7/2,"0"))</f>
        <v>0</v>
      </c>
      <c r="EZ5" s="275" t="s">
        <v>176</v>
      </c>
      <c r="FA5" s="276"/>
      <c r="FB5" s="277"/>
      <c r="FC5" s="117"/>
      <c r="FD5" s="16" t="str">
        <f>IF(FC4="N","0",IF(FC5="Y",FD7/2,"0"))</f>
        <v>0</v>
      </c>
      <c r="FE5" s="275" t="s">
        <v>176</v>
      </c>
      <c r="FF5" s="276"/>
      <c r="FG5" s="277"/>
      <c r="FH5" s="117"/>
      <c r="FI5" s="16" t="str">
        <f>IF(FH4="N","0",IF(FH5="Y",FI7/2,"0"))</f>
        <v>0</v>
      </c>
      <c r="FJ5" s="275" t="s">
        <v>176</v>
      </c>
      <c r="FK5" s="276"/>
      <c r="FL5" s="277"/>
      <c r="FM5" s="117"/>
      <c r="FN5" s="16" t="str">
        <f>IF(FM4="N","0",IF(FM5="Y",FN7/2,"0"))</f>
        <v>0</v>
      </c>
      <c r="FO5" s="275" t="s">
        <v>176</v>
      </c>
      <c r="FP5" s="276"/>
      <c r="FQ5" s="277"/>
      <c r="FR5" s="117"/>
      <c r="FS5" s="16" t="str">
        <f>IF(FR4="N","0",IF(FR5="Y",FS7/2,"0"))</f>
        <v>0</v>
      </c>
      <c r="FT5" s="275" t="s">
        <v>176</v>
      </c>
      <c r="FU5" s="276"/>
      <c r="FV5" s="277"/>
      <c r="FW5" s="117"/>
      <c r="FX5" s="16" t="str">
        <f>IF(FW4="N","0",IF(FW5="Y",FX7/2,"0"))</f>
        <v>0</v>
      </c>
      <c r="FY5" s="275" t="s">
        <v>176</v>
      </c>
      <c r="FZ5" s="276"/>
      <c r="GA5" s="277"/>
      <c r="GB5" s="117"/>
      <c r="GC5" s="16" t="str">
        <f>IF(GB4="N","0",IF(GB5="Y",GC7/2,"0"))</f>
        <v>0</v>
      </c>
      <c r="GD5" s="275" t="s">
        <v>176</v>
      </c>
      <c r="GE5" s="276"/>
      <c r="GF5" s="277"/>
      <c r="GG5" s="117"/>
      <c r="GH5" s="16" t="str">
        <f>IF(GG4="N","0",IF(GG5="Y",GH7/2,"0"))</f>
        <v>0</v>
      </c>
      <c r="GI5" s="275" t="s">
        <v>176</v>
      </c>
      <c r="GJ5" s="276"/>
      <c r="GK5" s="277"/>
      <c r="GL5" s="117"/>
      <c r="GM5" s="16" t="str">
        <f>IF(GL4="N","0",IF(GL5="Y",GM7/2,"0"))</f>
        <v>0</v>
      </c>
      <c r="GN5" s="275" t="s">
        <v>176</v>
      </c>
      <c r="GO5" s="276"/>
      <c r="GP5" s="277"/>
      <c r="GQ5" s="117"/>
      <c r="GR5" s="16" t="str">
        <f>IF(GQ4="N","0",IF(GQ5="Y",GR7/2,"0"))</f>
        <v>0</v>
      </c>
      <c r="GS5" s="275" t="s">
        <v>176</v>
      </c>
      <c r="GT5" s="276"/>
      <c r="GU5" s="277"/>
      <c r="GV5" s="117"/>
      <c r="GW5" s="16" t="str">
        <f>IF(GV4="N","0",IF(GV5="Y",GW7/2,"0"))</f>
        <v>0</v>
      </c>
      <c r="GX5" s="275" t="s">
        <v>176</v>
      </c>
      <c r="GY5" s="276"/>
      <c r="GZ5" s="277"/>
      <c r="HA5" s="117"/>
      <c r="HB5" s="16" t="str">
        <f>IF(HA4="N","0",IF(HA5="Y",HB7/2,"0"))</f>
        <v>0</v>
      </c>
      <c r="HC5" s="275" t="s">
        <v>176</v>
      </c>
      <c r="HD5" s="276"/>
      <c r="HE5" s="277"/>
      <c r="HF5" s="117"/>
      <c r="HG5" s="16" t="str">
        <f>IF(HF4="N","0",IF(HF5="Y",HG7/2,"0"))</f>
        <v>0</v>
      </c>
      <c r="HH5" s="275" t="s">
        <v>176</v>
      </c>
      <c r="HI5" s="276"/>
      <c r="HJ5" s="277"/>
      <c r="HK5" s="117"/>
      <c r="HL5" s="16" t="str">
        <f>IF(HK4="N","0",IF(HK5="Y",HL7/2,"0"))</f>
        <v>0</v>
      </c>
      <c r="HM5" s="275" t="s">
        <v>176</v>
      </c>
      <c r="HN5" s="276"/>
      <c r="HO5" s="277"/>
      <c r="HP5" s="117"/>
      <c r="HQ5" s="16" t="str">
        <f>IF(HP4="N","0",IF(HP5="Y",HQ7/2,"0"))</f>
        <v>0</v>
      </c>
      <c r="HR5" s="275" t="s">
        <v>176</v>
      </c>
      <c r="HS5" s="276"/>
      <c r="HT5" s="277"/>
      <c r="HU5" s="117"/>
      <c r="HV5" s="16" t="str">
        <f>IF(HU4="N","0",IF(HU5="Y",HV7/2,"0"))</f>
        <v>0</v>
      </c>
      <c r="HW5" s="275" t="s">
        <v>176</v>
      </c>
      <c r="HX5" s="276"/>
      <c r="HY5" s="277"/>
      <c r="HZ5" s="117"/>
      <c r="IA5" s="16" t="str">
        <f>IF(HZ4="N","0",IF(HZ5="Y",IA7/2,"0"))</f>
        <v>0</v>
      </c>
      <c r="IB5" s="275" t="s">
        <v>176</v>
      </c>
      <c r="IC5" s="276"/>
      <c r="ID5" s="277"/>
      <c r="IE5" s="117"/>
      <c r="IF5" s="16" t="str">
        <f>IF(IE4="N","0",IF(IE5="Y",IF7/2,"0"))</f>
        <v>0</v>
      </c>
      <c r="IG5" s="275" t="s">
        <v>176</v>
      </c>
      <c r="IH5" s="276"/>
      <c r="II5" s="277"/>
      <c r="IJ5" s="117"/>
      <c r="IK5" s="16" t="str">
        <f>IF(IJ4="N","0",IF(IJ5="Y",IK7/2,"0"))</f>
        <v>0</v>
      </c>
      <c r="IL5" s="275" t="s">
        <v>176</v>
      </c>
      <c r="IM5" s="276"/>
      <c r="IN5" s="277"/>
      <c r="IO5" s="117"/>
      <c r="IP5" s="16" t="str">
        <f>IF(IO4="N","0",IF(IO5="Y",IP7/2,"0"))</f>
        <v>0</v>
      </c>
    </row>
    <row r="6" spans="1:250" x14ac:dyDescent="0.25">
      <c r="A6" s="275" t="s">
        <v>177</v>
      </c>
      <c r="B6" s="276"/>
      <c r="C6" s="277"/>
      <c r="D6" s="117" t="s">
        <v>179</v>
      </c>
      <c r="E6" s="16" t="str">
        <f>IF(D4="N","0",IF(D6="N",E7/2,"0"))</f>
        <v>0</v>
      </c>
      <c r="F6" s="275" t="s">
        <v>177</v>
      </c>
      <c r="G6" s="276"/>
      <c r="H6" s="277"/>
      <c r="I6" s="117" t="s">
        <v>179</v>
      </c>
      <c r="J6" s="16" t="str">
        <f>IF(I4="N","0",IF(I6="N",J7/2,"0"))</f>
        <v>0</v>
      </c>
      <c r="K6" s="275" t="s">
        <v>177</v>
      </c>
      <c r="L6" s="276"/>
      <c r="M6" s="277"/>
      <c r="N6" s="117" t="s">
        <v>179</v>
      </c>
      <c r="O6" s="16" t="str">
        <f>IF(N4="N","0",IF(N6="N",O7/2,"0"))</f>
        <v>0</v>
      </c>
      <c r="P6" s="275" t="s">
        <v>177</v>
      </c>
      <c r="Q6" s="276"/>
      <c r="R6" s="277"/>
      <c r="S6" s="117" t="s">
        <v>178</v>
      </c>
      <c r="T6" s="16">
        <f>IF(S4="N","0",IF(S6="N",T7/2,"0"))</f>
        <v>15</v>
      </c>
      <c r="U6" s="275" t="s">
        <v>177</v>
      </c>
      <c r="V6" s="276"/>
      <c r="W6" s="277"/>
      <c r="X6" s="117" t="s">
        <v>178</v>
      </c>
      <c r="Y6" s="16">
        <f>IF(X4="N","0",IF(X6="N",Y7/2,"0"))</f>
        <v>15</v>
      </c>
      <c r="Z6" s="275" t="s">
        <v>177</v>
      </c>
      <c r="AA6" s="276"/>
      <c r="AB6" s="277"/>
      <c r="AC6" s="117" t="s">
        <v>178</v>
      </c>
      <c r="AD6" s="16">
        <f>IF(AC4="N","0",IF(AC6="N",AD7/2,"0"))</f>
        <v>25</v>
      </c>
      <c r="AE6" s="275" t="s">
        <v>177</v>
      </c>
      <c r="AF6" s="276"/>
      <c r="AG6" s="277"/>
      <c r="AH6" s="117" t="s">
        <v>178</v>
      </c>
      <c r="AI6" s="16">
        <f>IF(AH4="N","0",IF(AH6="N",AI7/2,"0"))</f>
        <v>15</v>
      </c>
      <c r="AJ6" s="275" t="s">
        <v>177</v>
      </c>
      <c r="AK6" s="276"/>
      <c r="AL6" s="277"/>
      <c r="AM6" s="117" t="s">
        <v>178</v>
      </c>
      <c r="AN6" s="16">
        <f>IF(AM4="N","0",IF(AM6="N",AN7/2,"0"))</f>
        <v>15</v>
      </c>
      <c r="AO6" s="275" t="s">
        <v>177</v>
      </c>
      <c r="AP6" s="276"/>
      <c r="AQ6" s="277"/>
      <c r="AR6" s="117" t="s">
        <v>178</v>
      </c>
      <c r="AS6" s="16">
        <f>IF(AR4="N","0",IF(AR6="N",AS7/2,"0"))</f>
        <v>15</v>
      </c>
      <c r="AT6" s="275" t="s">
        <v>177</v>
      </c>
      <c r="AU6" s="276"/>
      <c r="AV6" s="277"/>
      <c r="AW6" s="117" t="s">
        <v>178</v>
      </c>
      <c r="AX6" s="16">
        <f>IF(AW4="N","0",IF(AW6="N",AX7/2,"0"))</f>
        <v>15</v>
      </c>
      <c r="AY6" s="275" t="s">
        <v>177</v>
      </c>
      <c r="AZ6" s="276"/>
      <c r="BA6" s="277"/>
      <c r="BB6" s="117" t="s">
        <v>178</v>
      </c>
      <c r="BC6" s="16">
        <f>IF(BB4="N","0",IF(BB6="N",BC7/2,"0"))</f>
        <v>15</v>
      </c>
      <c r="BD6" s="275" t="s">
        <v>177</v>
      </c>
      <c r="BE6" s="276"/>
      <c r="BF6" s="277"/>
      <c r="BG6" s="117" t="s">
        <v>178</v>
      </c>
      <c r="BH6" s="16">
        <f>IF(BG4="N","0",IF(BG6="N",BH7/2,"0"))</f>
        <v>15</v>
      </c>
      <c r="BI6" s="275" t="s">
        <v>177</v>
      </c>
      <c r="BJ6" s="276"/>
      <c r="BK6" s="277"/>
      <c r="BL6" s="117" t="s">
        <v>179</v>
      </c>
      <c r="BM6" s="16" t="str">
        <f>IF(BL4="N","0",IF(BL6="N",BM7/2,"0"))</f>
        <v>0</v>
      </c>
      <c r="BN6" s="275" t="s">
        <v>177</v>
      </c>
      <c r="BO6" s="276"/>
      <c r="BP6" s="277"/>
      <c r="BQ6" s="117" t="s">
        <v>178</v>
      </c>
      <c r="BR6" s="16">
        <f>IF(BQ4="N","0",IF(BQ6="N",BR7/2,"0"))</f>
        <v>25</v>
      </c>
      <c r="BS6" s="275" t="s">
        <v>177</v>
      </c>
      <c r="BT6" s="276"/>
      <c r="BU6" s="277"/>
      <c r="BV6" s="117" t="s">
        <v>179</v>
      </c>
      <c r="BW6" s="16" t="str">
        <f>IF(BV4="N","0",IF(BV6="N",BW7/2,"0"))</f>
        <v>0</v>
      </c>
      <c r="BX6" s="275" t="s">
        <v>177</v>
      </c>
      <c r="BY6" s="276"/>
      <c r="BZ6" s="277"/>
      <c r="CA6" s="117" t="s">
        <v>178</v>
      </c>
      <c r="CB6" s="16">
        <f>IF(CA4="N","0",IF(CA6="N",CB7/2,"0"))</f>
        <v>25</v>
      </c>
      <c r="CC6" s="275" t="s">
        <v>177</v>
      </c>
      <c r="CD6" s="276"/>
      <c r="CE6" s="277"/>
      <c r="CF6" s="117" t="s">
        <v>178</v>
      </c>
      <c r="CG6" s="16">
        <f>IF(CF4="N","0",IF(CF6="N",CG7/2,"0"))</f>
        <v>15</v>
      </c>
      <c r="CH6" s="275" t="s">
        <v>177</v>
      </c>
      <c r="CI6" s="276"/>
      <c r="CJ6" s="277"/>
      <c r="CK6" s="117" t="s">
        <v>179</v>
      </c>
      <c r="CL6" s="16" t="str">
        <f>IF(CK4="N","0",IF(CK6="N",CL7/2,"0"))</f>
        <v>0</v>
      </c>
      <c r="CM6" s="275" t="s">
        <v>177</v>
      </c>
      <c r="CN6" s="276"/>
      <c r="CO6" s="277"/>
      <c r="CP6" s="117" t="s">
        <v>179</v>
      </c>
      <c r="CQ6" s="16" t="str">
        <f>IF(CP4="N","0",IF(CP6="N",CQ7/2,"0"))</f>
        <v>0</v>
      </c>
      <c r="CR6" s="275" t="s">
        <v>177</v>
      </c>
      <c r="CS6" s="276"/>
      <c r="CT6" s="277"/>
      <c r="CU6" s="117" t="s">
        <v>178</v>
      </c>
      <c r="CV6" s="16">
        <f>IF(CU4="N","0",IF(CU6="N",CV7/2,"0"))</f>
        <v>15</v>
      </c>
      <c r="CW6" s="275" t="s">
        <v>177</v>
      </c>
      <c r="CX6" s="276"/>
      <c r="CY6" s="277"/>
      <c r="CZ6" s="117" t="s">
        <v>179</v>
      </c>
      <c r="DA6" s="16" t="str">
        <f>IF(CZ4="N","0",IF(CZ6="N",DA7/2,"0"))</f>
        <v>0</v>
      </c>
      <c r="DB6" s="275" t="s">
        <v>177</v>
      </c>
      <c r="DC6" s="276"/>
      <c r="DD6" s="277"/>
      <c r="DE6" s="117" t="s">
        <v>179</v>
      </c>
      <c r="DF6" s="16" t="str">
        <f>IF(DE4="N","0",IF(DE6="N",DF7/2,"0"))</f>
        <v>0</v>
      </c>
      <c r="DG6" s="275" t="s">
        <v>177</v>
      </c>
      <c r="DH6" s="276"/>
      <c r="DI6" s="277"/>
      <c r="DJ6" s="117" t="s">
        <v>178</v>
      </c>
      <c r="DK6" s="16">
        <f>IF(DJ4="N","0",IF(DJ6="N",DK7/2,"0"))</f>
        <v>0</v>
      </c>
      <c r="DL6" s="275" t="s">
        <v>177</v>
      </c>
      <c r="DM6" s="276"/>
      <c r="DN6" s="277"/>
      <c r="DO6" s="117" t="s">
        <v>178</v>
      </c>
      <c r="DP6" s="16">
        <f>IF(DO4="N","0",IF(DO6="N",DP7/2,"0"))</f>
        <v>0</v>
      </c>
      <c r="DQ6" s="275" t="s">
        <v>177</v>
      </c>
      <c r="DR6" s="276"/>
      <c r="DS6" s="277"/>
      <c r="DT6" s="117" t="s">
        <v>178</v>
      </c>
      <c r="DU6" s="16">
        <f>IF(DT4="N","0",IF(DT6="N",DU7/2,"0"))</f>
        <v>0</v>
      </c>
      <c r="DV6" s="275" t="s">
        <v>177</v>
      </c>
      <c r="DW6" s="276"/>
      <c r="DX6" s="277"/>
      <c r="DY6" s="117" t="s">
        <v>178</v>
      </c>
      <c r="DZ6" s="16">
        <f>IF(DY4="N","0",IF(DY6="N",DZ7/2,"0"))</f>
        <v>0</v>
      </c>
      <c r="EA6" s="275" t="s">
        <v>177</v>
      </c>
      <c r="EB6" s="276"/>
      <c r="EC6" s="277"/>
      <c r="ED6" s="117" t="s">
        <v>178</v>
      </c>
      <c r="EE6" s="16">
        <f>IF(ED4="N","0",IF(ED6="N",EE7/2,"0"))</f>
        <v>0</v>
      </c>
      <c r="EF6" s="275" t="s">
        <v>177</v>
      </c>
      <c r="EG6" s="276"/>
      <c r="EH6" s="277"/>
      <c r="EI6" s="117" t="s">
        <v>178</v>
      </c>
      <c r="EJ6" s="16">
        <f>IF(EI4="N","0",IF(EI6="N",EJ7/2,"0"))</f>
        <v>0</v>
      </c>
      <c r="EK6" s="275" t="s">
        <v>177</v>
      </c>
      <c r="EL6" s="276"/>
      <c r="EM6" s="277"/>
      <c r="EN6" s="117" t="s">
        <v>178</v>
      </c>
      <c r="EO6" s="16">
        <f>IF(EN4="N","0",IF(EN6="N",EO7/2,"0"))</f>
        <v>0</v>
      </c>
      <c r="EP6" s="275" t="s">
        <v>177</v>
      </c>
      <c r="EQ6" s="276"/>
      <c r="ER6" s="277"/>
      <c r="ES6" s="117" t="s">
        <v>178</v>
      </c>
      <c r="ET6" s="16">
        <f>IF(ES4="N","0",IF(ES6="N",ET7/2,"0"))</f>
        <v>0</v>
      </c>
      <c r="EU6" s="275" t="s">
        <v>177</v>
      </c>
      <c r="EV6" s="276"/>
      <c r="EW6" s="277"/>
      <c r="EX6" s="117" t="s">
        <v>178</v>
      </c>
      <c r="EY6" s="16">
        <f>IF(EX4="N","0",IF(EX6="N",EY7/2,"0"))</f>
        <v>0</v>
      </c>
      <c r="EZ6" s="275" t="s">
        <v>177</v>
      </c>
      <c r="FA6" s="276"/>
      <c r="FB6" s="277"/>
      <c r="FC6" s="117" t="s">
        <v>178</v>
      </c>
      <c r="FD6" s="16">
        <f>IF(FC4="N","0",IF(FC6="N",FD7/2,"0"))</f>
        <v>0</v>
      </c>
      <c r="FE6" s="275" t="s">
        <v>177</v>
      </c>
      <c r="FF6" s="276"/>
      <c r="FG6" s="277"/>
      <c r="FH6" s="117" t="s">
        <v>178</v>
      </c>
      <c r="FI6" s="16">
        <f>IF(FH4="N","0",IF(FH6="N",FI7/2,"0"))</f>
        <v>0</v>
      </c>
      <c r="FJ6" s="275" t="s">
        <v>177</v>
      </c>
      <c r="FK6" s="276"/>
      <c r="FL6" s="277"/>
      <c r="FM6" s="117" t="s">
        <v>178</v>
      </c>
      <c r="FN6" s="16">
        <f>IF(FM4="N","0",IF(FM6="N",FN7/2,"0"))</f>
        <v>0</v>
      </c>
      <c r="FO6" s="275" t="s">
        <v>177</v>
      </c>
      <c r="FP6" s="276"/>
      <c r="FQ6" s="277"/>
      <c r="FR6" s="117" t="s">
        <v>178</v>
      </c>
      <c r="FS6" s="16">
        <f>IF(FR4="N","0",IF(FR6="N",FS7/2,"0"))</f>
        <v>0</v>
      </c>
      <c r="FT6" s="275" t="s">
        <v>177</v>
      </c>
      <c r="FU6" s="276"/>
      <c r="FV6" s="277"/>
      <c r="FW6" s="117" t="s">
        <v>178</v>
      </c>
      <c r="FX6" s="16">
        <f>IF(FW4="N","0",IF(FW6="N",FX7/2,"0"))</f>
        <v>0</v>
      </c>
      <c r="FY6" s="275" t="s">
        <v>177</v>
      </c>
      <c r="FZ6" s="276"/>
      <c r="GA6" s="277"/>
      <c r="GB6" s="117" t="s">
        <v>178</v>
      </c>
      <c r="GC6" s="16">
        <f>IF(GB4="N","0",IF(GB6="N",GC7/2,"0"))</f>
        <v>0</v>
      </c>
      <c r="GD6" s="275" t="s">
        <v>177</v>
      </c>
      <c r="GE6" s="276"/>
      <c r="GF6" s="277"/>
      <c r="GG6" s="117" t="s">
        <v>178</v>
      </c>
      <c r="GH6" s="16">
        <f>IF(GG4="N","0",IF(GG6="N",GH7/2,"0"))</f>
        <v>0</v>
      </c>
      <c r="GI6" s="275" t="s">
        <v>177</v>
      </c>
      <c r="GJ6" s="276"/>
      <c r="GK6" s="277"/>
      <c r="GL6" s="117" t="s">
        <v>178</v>
      </c>
      <c r="GM6" s="16">
        <f>IF(GL4="N","0",IF(GL6="N",GM7/2,"0"))</f>
        <v>0</v>
      </c>
      <c r="GN6" s="275" t="s">
        <v>177</v>
      </c>
      <c r="GO6" s="276"/>
      <c r="GP6" s="277"/>
      <c r="GQ6" s="117" t="s">
        <v>178</v>
      </c>
      <c r="GR6" s="16">
        <f>IF(GQ4="N","0",IF(GQ6="N",GR7/2,"0"))</f>
        <v>0</v>
      </c>
      <c r="GS6" s="275" t="s">
        <v>177</v>
      </c>
      <c r="GT6" s="276"/>
      <c r="GU6" s="277"/>
      <c r="GV6" s="117" t="s">
        <v>178</v>
      </c>
      <c r="GW6" s="16">
        <f>IF(GV4="N","0",IF(GV6="N",GW7/2,"0"))</f>
        <v>0</v>
      </c>
      <c r="GX6" s="275" t="s">
        <v>177</v>
      </c>
      <c r="GY6" s="276"/>
      <c r="GZ6" s="277"/>
      <c r="HA6" s="117" t="s">
        <v>178</v>
      </c>
      <c r="HB6" s="16">
        <f>IF(HA4="N","0",IF(HA6="N",HB7/2,"0"))</f>
        <v>0</v>
      </c>
      <c r="HC6" s="275" t="s">
        <v>177</v>
      </c>
      <c r="HD6" s="276"/>
      <c r="HE6" s="277"/>
      <c r="HF6" s="117" t="s">
        <v>178</v>
      </c>
      <c r="HG6" s="16">
        <f>IF(HF4="N","0",IF(HF6="N",HG7/2,"0"))</f>
        <v>0</v>
      </c>
      <c r="HH6" s="275" t="s">
        <v>177</v>
      </c>
      <c r="HI6" s="276"/>
      <c r="HJ6" s="277"/>
      <c r="HK6" s="117" t="s">
        <v>178</v>
      </c>
      <c r="HL6" s="16">
        <f>IF(HK4="N","0",IF(HK6="N",HL7/2,"0"))</f>
        <v>0</v>
      </c>
      <c r="HM6" s="275" t="s">
        <v>177</v>
      </c>
      <c r="HN6" s="276"/>
      <c r="HO6" s="277"/>
      <c r="HP6" s="117" t="s">
        <v>178</v>
      </c>
      <c r="HQ6" s="16">
        <f>IF(HP4="N","0",IF(HP6="N",HQ7/2,"0"))</f>
        <v>0</v>
      </c>
      <c r="HR6" s="275" t="s">
        <v>177</v>
      </c>
      <c r="HS6" s="276"/>
      <c r="HT6" s="277"/>
      <c r="HU6" s="117" t="s">
        <v>178</v>
      </c>
      <c r="HV6" s="16">
        <f>IF(HU4="N","0",IF(HU6="N",HV7/2,"0"))</f>
        <v>0</v>
      </c>
      <c r="HW6" s="275" t="s">
        <v>177</v>
      </c>
      <c r="HX6" s="276"/>
      <c r="HY6" s="277"/>
      <c r="HZ6" s="117" t="s">
        <v>178</v>
      </c>
      <c r="IA6" s="16">
        <f>IF(HZ4="N","0",IF(HZ6="N",IA7/2,"0"))</f>
        <v>0</v>
      </c>
      <c r="IB6" s="275" t="s">
        <v>177</v>
      </c>
      <c r="IC6" s="276"/>
      <c r="ID6" s="277"/>
      <c r="IE6" s="117" t="s">
        <v>178</v>
      </c>
      <c r="IF6" s="16">
        <f>IF(IE4="N","0",IF(IE6="N",IF7/2,"0"))</f>
        <v>0</v>
      </c>
      <c r="IG6" s="275" t="s">
        <v>177</v>
      </c>
      <c r="IH6" s="276"/>
      <c r="II6" s="277"/>
      <c r="IJ6" s="117" t="s">
        <v>178</v>
      </c>
      <c r="IK6" s="16">
        <f>IF(IJ4="N","0",IF(IJ6="N",IK7/2,"0"))</f>
        <v>0</v>
      </c>
      <c r="IL6" s="275" t="s">
        <v>177</v>
      </c>
      <c r="IM6" s="276"/>
      <c r="IN6" s="277"/>
      <c r="IO6" s="117" t="s">
        <v>178</v>
      </c>
      <c r="IP6" s="16">
        <f>IF(IO4="N","0",IF(IO6="N",IP7/2,"0"))</f>
        <v>0</v>
      </c>
    </row>
    <row r="7" spans="1:250" x14ac:dyDescent="0.25">
      <c r="A7" s="275" t="s">
        <v>180</v>
      </c>
      <c r="B7" s="276"/>
      <c r="C7" s="277"/>
      <c r="D7" s="117"/>
      <c r="E7" s="16">
        <f>IF(OR(D7="RPX",D7="SS"),30,IF(OR(D7="RPX-T",D7="EUC"),50,0))</f>
        <v>0</v>
      </c>
      <c r="F7" s="275" t="s">
        <v>180</v>
      </c>
      <c r="G7" s="276"/>
      <c r="H7" s="277"/>
      <c r="I7" s="117" t="s">
        <v>487</v>
      </c>
      <c r="J7" s="16">
        <f>IF(OR(I7="RPX",I7="SS"),30,IF(OR(I7="RPX-T",I7="EUC"),50,0))</f>
        <v>30</v>
      </c>
      <c r="K7" s="275" t="s">
        <v>180</v>
      </c>
      <c r="L7" s="276"/>
      <c r="M7" s="277"/>
      <c r="N7" s="117" t="s">
        <v>492</v>
      </c>
      <c r="O7" s="16">
        <f>IF(OR(N7="RPX",N7="SS"),30,IF(OR(N7="RPX-T",N7="EUC"),50,0))</f>
        <v>50</v>
      </c>
      <c r="P7" s="275" t="s">
        <v>180</v>
      </c>
      <c r="Q7" s="276"/>
      <c r="R7" s="277"/>
      <c r="S7" s="117" t="s">
        <v>487</v>
      </c>
      <c r="T7" s="16">
        <f>IF(OR(S7="RPX",S7="SS"),30,IF(OR(S7="RPX-T",S7="EUC"),50,0))</f>
        <v>30</v>
      </c>
      <c r="U7" s="275" t="s">
        <v>180</v>
      </c>
      <c r="V7" s="276"/>
      <c r="W7" s="277"/>
      <c r="X7" s="117" t="s">
        <v>487</v>
      </c>
      <c r="Y7" s="16">
        <f>IF(OR(X7="RPX",X7="SS"),30,IF(OR(X7="RPX-T",X7="EUC"),50,0))</f>
        <v>30</v>
      </c>
      <c r="Z7" s="275" t="s">
        <v>180</v>
      </c>
      <c r="AA7" s="276"/>
      <c r="AB7" s="277"/>
      <c r="AC7" s="117" t="s">
        <v>492</v>
      </c>
      <c r="AD7" s="16">
        <f>IF(OR(AC7="RPX",AC7="SS"),30,IF(OR(AC7="RPX-T",AC7="EUC"),50,0))</f>
        <v>50</v>
      </c>
      <c r="AE7" s="275" t="s">
        <v>180</v>
      </c>
      <c r="AF7" s="276"/>
      <c r="AG7" s="277"/>
      <c r="AH7" s="117" t="s">
        <v>487</v>
      </c>
      <c r="AI7" s="16">
        <f>IF(OR(AH7="RPX",AH7="SS"),30,IF(OR(AH7="RPX-T",AH7="EUC"),50,0))</f>
        <v>30</v>
      </c>
      <c r="AJ7" s="275" t="s">
        <v>180</v>
      </c>
      <c r="AK7" s="276"/>
      <c r="AL7" s="277"/>
      <c r="AM7" s="117" t="s">
        <v>487</v>
      </c>
      <c r="AN7" s="16">
        <f>IF(OR(AM7="RPX",AM7="SS"),30,IF(OR(AM7="RPX-T",AM7="EUC"),50,0))</f>
        <v>30</v>
      </c>
      <c r="AO7" s="275" t="s">
        <v>180</v>
      </c>
      <c r="AP7" s="276"/>
      <c r="AQ7" s="277"/>
      <c r="AR7" s="117" t="s">
        <v>487</v>
      </c>
      <c r="AS7" s="16">
        <f>IF(OR(AR7="RPX",AR7="SS"),30,IF(OR(AR7="RPX-T",AR7="EUC"),50,0))</f>
        <v>30</v>
      </c>
      <c r="AT7" s="275" t="s">
        <v>180</v>
      </c>
      <c r="AU7" s="276"/>
      <c r="AV7" s="277"/>
      <c r="AW7" s="117" t="s">
        <v>487</v>
      </c>
      <c r="AX7" s="16">
        <f>IF(OR(AW7="RPX",AW7="SS"),30,IF(OR(AW7="RPX-T",AW7="EUC"),50,0))</f>
        <v>30</v>
      </c>
      <c r="AY7" s="275" t="s">
        <v>180</v>
      </c>
      <c r="AZ7" s="276"/>
      <c r="BA7" s="277"/>
      <c r="BB7" s="117" t="s">
        <v>487</v>
      </c>
      <c r="BC7" s="16">
        <f>IF(OR(BB7="RPX",BB7="SS"),30,IF(OR(BB7="RPX-T",BB7="EUC"),50,0))</f>
        <v>30</v>
      </c>
      <c r="BD7" s="275" t="s">
        <v>180</v>
      </c>
      <c r="BE7" s="276"/>
      <c r="BF7" s="277"/>
      <c r="BG7" s="117" t="s">
        <v>487</v>
      </c>
      <c r="BH7" s="16">
        <f>IF(OR(BG7="RPX",BG7="SS"),30,IF(OR(BG7="RPX-T",BG7="EUC"),50,0))</f>
        <v>30</v>
      </c>
      <c r="BI7" s="275" t="s">
        <v>180</v>
      </c>
      <c r="BJ7" s="276"/>
      <c r="BK7" s="277"/>
      <c r="BL7" s="117"/>
      <c r="BM7" s="16">
        <f>IF(OR(BL7="RPX",BL7="SS"),30,IF(OR(BL7="RPX-T",BL7="EUC"),50,0))</f>
        <v>0</v>
      </c>
      <c r="BN7" s="275" t="s">
        <v>180</v>
      </c>
      <c r="BO7" s="276"/>
      <c r="BP7" s="277"/>
      <c r="BQ7" s="117" t="s">
        <v>492</v>
      </c>
      <c r="BR7" s="16">
        <f>IF(OR(BQ7="RPX",BQ7="SS"),30,IF(OR(BQ7="RPX-T",BQ7="EUC"),50,0))</f>
        <v>50</v>
      </c>
      <c r="BS7" s="275" t="s">
        <v>180</v>
      </c>
      <c r="BT7" s="276"/>
      <c r="BU7" s="277"/>
      <c r="BV7" s="117" t="s">
        <v>492</v>
      </c>
      <c r="BW7" s="16">
        <f>IF(OR(BV7="RPX",BV7="SS"),30,IF(OR(BV7="RPX-T",BV7="EUC"),50,0))</f>
        <v>50</v>
      </c>
      <c r="BX7" s="275" t="s">
        <v>180</v>
      </c>
      <c r="BY7" s="276"/>
      <c r="BZ7" s="277"/>
      <c r="CA7" s="117" t="s">
        <v>492</v>
      </c>
      <c r="CB7" s="16">
        <f>IF(OR(CA7="RPX",CA7="SS"),30,IF(OR(CA7="RPX-T",CA7="EUC"),50,0))</f>
        <v>50</v>
      </c>
      <c r="CC7" s="275" t="s">
        <v>180</v>
      </c>
      <c r="CD7" s="276"/>
      <c r="CE7" s="277"/>
      <c r="CF7" s="117" t="s">
        <v>487</v>
      </c>
      <c r="CG7" s="16">
        <f>IF(OR(CF7="RPX",CF7="SS"),30,IF(OR(CF7="RPX-T",CF7="EUC"),50,0))</f>
        <v>30</v>
      </c>
      <c r="CH7" s="275" t="s">
        <v>180</v>
      </c>
      <c r="CI7" s="276"/>
      <c r="CJ7" s="277"/>
      <c r="CK7" s="117" t="s">
        <v>492</v>
      </c>
      <c r="CL7" s="16">
        <f>IF(OR(CK7="RPX",CK7="SS"),30,IF(OR(CK7="RPX-T",CK7="EUC"),50,0))</f>
        <v>50</v>
      </c>
      <c r="CM7" s="275" t="s">
        <v>180</v>
      </c>
      <c r="CN7" s="276"/>
      <c r="CO7" s="277"/>
      <c r="CP7" s="117"/>
      <c r="CQ7" s="16">
        <f>IF(OR(CP7="RPX",CP7="SS"),30,IF(OR(CP7="RPX-T",CP7="EUC"),50,0))</f>
        <v>0</v>
      </c>
      <c r="CR7" s="275" t="s">
        <v>180</v>
      </c>
      <c r="CS7" s="276"/>
      <c r="CT7" s="277"/>
      <c r="CU7" s="117" t="s">
        <v>487</v>
      </c>
      <c r="CV7" s="16">
        <f>IF(OR(CU7="RPX",CU7="SS"),30,IF(OR(CU7="RPX-T",CU7="EUC"),50,0))</f>
        <v>30</v>
      </c>
      <c r="CW7" s="275" t="s">
        <v>180</v>
      </c>
      <c r="CX7" s="276"/>
      <c r="CY7" s="277"/>
      <c r="CZ7" s="117"/>
      <c r="DA7" s="16">
        <f>IF(OR(CZ7="RPX",CZ7="SS"),30,IF(OR(CZ7="RPX-T",CZ7="EUC"),50,0))</f>
        <v>0</v>
      </c>
      <c r="DB7" s="275" t="s">
        <v>180</v>
      </c>
      <c r="DC7" s="276"/>
      <c r="DD7" s="277"/>
      <c r="DE7" s="117"/>
      <c r="DF7" s="16">
        <f>IF(OR(DE7="RPX",DE7="SS"),30,IF(OR(DE7="RPX-T",DE7="EUC"),50,0))</f>
        <v>0</v>
      </c>
      <c r="DG7" s="275" t="s">
        <v>180</v>
      </c>
      <c r="DH7" s="276"/>
      <c r="DI7" s="277"/>
      <c r="DJ7" s="117"/>
      <c r="DK7" s="16">
        <f>IF(OR(DJ7="RPX",DJ7="SS"),30,IF(OR(DJ7="RPX-T",DJ7="EUC"),50,0))</f>
        <v>0</v>
      </c>
      <c r="DL7" s="275" t="s">
        <v>180</v>
      </c>
      <c r="DM7" s="276"/>
      <c r="DN7" s="277"/>
      <c r="DO7" s="117"/>
      <c r="DP7" s="16">
        <f>IF(OR(DO7="RPX",DO7="SS"),30,IF(OR(DO7="RPX-T",DO7="EUC"),50,0))</f>
        <v>0</v>
      </c>
      <c r="DQ7" s="275" t="s">
        <v>180</v>
      </c>
      <c r="DR7" s="276"/>
      <c r="DS7" s="277"/>
      <c r="DT7" s="117"/>
      <c r="DU7" s="16">
        <f>IF(OR(DT7="RPX",DT7="SS"),30,IF(OR(DT7="RPX-T",DT7="EUC"),50,0))</f>
        <v>0</v>
      </c>
      <c r="DV7" s="275" t="s">
        <v>180</v>
      </c>
      <c r="DW7" s="276"/>
      <c r="DX7" s="277"/>
      <c r="DY7" s="117"/>
      <c r="DZ7" s="16">
        <f>IF(OR(DY7="RPX",DY7="SS"),30,IF(OR(DY7="RPX-T",DY7="EUC"),50,0))</f>
        <v>0</v>
      </c>
      <c r="EA7" s="275" t="s">
        <v>180</v>
      </c>
      <c r="EB7" s="276"/>
      <c r="EC7" s="277"/>
      <c r="ED7" s="117"/>
      <c r="EE7" s="16">
        <f>IF(OR(ED7="RPX",ED7="SS"),30,IF(OR(ED7="RPX-T",ED7="EUC"),50,0))</f>
        <v>0</v>
      </c>
      <c r="EF7" s="275" t="s">
        <v>180</v>
      </c>
      <c r="EG7" s="276"/>
      <c r="EH7" s="277"/>
      <c r="EI7" s="117"/>
      <c r="EJ7" s="16">
        <f>IF(OR(EI7="RPX",EI7="SS"),30,IF(OR(EI7="RPX-T",EI7="EUC"),50,0))</f>
        <v>0</v>
      </c>
      <c r="EK7" s="275" t="s">
        <v>180</v>
      </c>
      <c r="EL7" s="276"/>
      <c r="EM7" s="277"/>
      <c r="EN7" s="117"/>
      <c r="EO7" s="16">
        <f>IF(OR(EN7="RPX",EN7="SS"),30,IF(OR(EN7="RPX-T",EN7="EUC"),50,0))</f>
        <v>0</v>
      </c>
      <c r="EP7" s="275" t="s">
        <v>180</v>
      </c>
      <c r="EQ7" s="276"/>
      <c r="ER7" s="277"/>
      <c r="ES7" s="117"/>
      <c r="ET7" s="16">
        <f>IF(OR(ES7="RPX",ES7="SS"),30,IF(OR(ES7="RPX-T",ES7="EUC"),50,0))</f>
        <v>0</v>
      </c>
      <c r="EU7" s="275" t="s">
        <v>180</v>
      </c>
      <c r="EV7" s="276"/>
      <c r="EW7" s="277"/>
      <c r="EX7" s="117"/>
      <c r="EY7" s="16">
        <f>IF(OR(EX7="RPX",EX7="SS"),30,IF(OR(EX7="RPX-T",EX7="EUC"),50,0))</f>
        <v>0</v>
      </c>
      <c r="EZ7" s="275" t="s">
        <v>180</v>
      </c>
      <c r="FA7" s="276"/>
      <c r="FB7" s="277"/>
      <c r="FC7" s="117"/>
      <c r="FD7" s="16">
        <f>IF(OR(FC7="RPX",FC7="SS"),30,IF(OR(FC7="RPX-T",FC7="EUC"),50,0))</f>
        <v>0</v>
      </c>
      <c r="FE7" s="275" t="s">
        <v>180</v>
      </c>
      <c r="FF7" s="276"/>
      <c r="FG7" s="277"/>
      <c r="FH7" s="117"/>
      <c r="FI7" s="16">
        <f>IF(OR(FH7="RPX",FH7="SS"),30,IF(OR(FH7="RPX-T",FH7="EUC"),50,0))</f>
        <v>0</v>
      </c>
      <c r="FJ7" s="275" t="s">
        <v>180</v>
      </c>
      <c r="FK7" s="276"/>
      <c r="FL7" s="277"/>
      <c r="FM7" s="117"/>
      <c r="FN7" s="16">
        <f>IF(OR(FM7="RPX",FM7="SS"),30,IF(OR(FM7="RPX-T",FM7="EUC"),50,0))</f>
        <v>0</v>
      </c>
      <c r="FO7" s="275" t="s">
        <v>180</v>
      </c>
      <c r="FP7" s="276"/>
      <c r="FQ7" s="277"/>
      <c r="FR7" s="117"/>
      <c r="FS7" s="16">
        <f>IF(OR(FR7="RPX",FR7="SS"),30,IF(OR(FR7="RPX-T",FR7="EUC"),50,0))</f>
        <v>0</v>
      </c>
      <c r="FT7" s="275" t="s">
        <v>180</v>
      </c>
      <c r="FU7" s="276"/>
      <c r="FV7" s="277"/>
      <c r="FW7" s="117"/>
      <c r="FX7" s="16">
        <f>IF(OR(FW7="RPX",FW7="SS"),30,IF(OR(FW7="RPX-T",FW7="EUC"),50,0))</f>
        <v>0</v>
      </c>
      <c r="FY7" s="275" t="s">
        <v>180</v>
      </c>
      <c r="FZ7" s="276"/>
      <c r="GA7" s="277"/>
      <c r="GB7" s="117"/>
      <c r="GC7" s="16">
        <f>IF(OR(GB7="RPX",GB7="SS"),30,IF(OR(GB7="RPX-T",GB7="EUC"),50,0))</f>
        <v>0</v>
      </c>
      <c r="GD7" s="275" t="s">
        <v>180</v>
      </c>
      <c r="GE7" s="276"/>
      <c r="GF7" s="277"/>
      <c r="GG7" s="117"/>
      <c r="GH7" s="16">
        <f>IF(OR(GG7="RPX",GG7="SS"),30,IF(OR(GG7="RPX-T",GG7="EUC"),50,0))</f>
        <v>0</v>
      </c>
      <c r="GI7" s="275" t="s">
        <v>180</v>
      </c>
      <c r="GJ7" s="276"/>
      <c r="GK7" s="277"/>
      <c r="GL7" s="117"/>
      <c r="GM7" s="16">
        <f>IF(OR(GL7="RPX",GL7="SS"),30,IF(OR(GL7="RPX-T",GL7="EUC"),50,0))</f>
        <v>0</v>
      </c>
      <c r="GN7" s="275" t="s">
        <v>180</v>
      </c>
      <c r="GO7" s="276"/>
      <c r="GP7" s="277"/>
      <c r="GQ7" s="117"/>
      <c r="GR7" s="16">
        <f>IF(OR(GQ7="RPX",GQ7="SS"),30,IF(OR(GQ7="RPX-T",GQ7="EUC"),50,0))</f>
        <v>0</v>
      </c>
      <c r="GS7" s="275" t="s">
        <v>180</v>
      </c>
      <c r="GT7" s="276"/>
      <c r="GU7" s="277"/>
      <c r="GV7" s="117"/>
      <c r="GW7" s="16">
        <f>IF(OR(GV7="RPX",GV7="SS"),30,IF(OR(GV7="RPX-T",GV7="EUC"),50,0))</f>
        <v>0</v>
      </c>
      <c r="GX7" s="275" t="s">
        <v>180</v>
      </c>
      <c r="GY7" s="276"/>
      <c r="GZ7" s="277"/>
      <c r="HA7" s="117"/>
      <c r="HB7" s="16">
        <f>IF(OR(HA7="RPX",HA7="SS"),30,IF(OR(HA7="RPX-T",HA7="EUC"),50,0))</f>
        <v>0</v>
      </c>
      <c r="HC7" s="275" t="s">
        <v>180</v>
      </c>
      <c r="HD7" s="276"/>
      <c r="HE7" s="277"/>
      <c r="HF7" s="117"/>
      <c r="HG7" s="16">
        <f>IF(OR(HF7="RPX",HF7="SS"),30,IF(OR(HF7="RPX-T",HF7="EUC"),50,0))</f>
        <v>0</v>
      </c>
      <c r="HH7" s="275" t="s">
        <v>180</v>
      </c>
      <c r="HI7" s="276"/>
      <c r="HJ7" s="277"/>
      <c r="HK7" s="117"/>
      <c r="HL7" s="16">
        <f>IF(OR(HK7="RPX",HK7="SS"),30,IF(OR(HK7="RPX-T",HK7="EUC"),50,0))</f>
        <v>0</v>
      </c>
      <c r="HM7" s="275" t="s">
        <v>180</v>
      </c>
      <c r="HN7" s="276"/>
      <c r="HO7" s="277"/>
      <c r="HP7" s="117"/>
      <c r="HQ7" s="16">
        <f>IF(OR(HP7="RPX",HP7="SS"),30,IF(OR(HP7="RPX-T",HP7="EUC"),50,0))</f>
        <v>0</v>
      </c>
      <c r="HR7" s="275" t="s">
        <v>180</v>
      </c>
      <c r="HS7" s="276"/>
      <c r="HT7" s="277"/>
      <c r="HU7" s="117"/>
      <c r="HV7" s="16">
        <f>IF(OR(HU7="RPX",HU7="SS"),30,IF(OR(HU7="RPX-T",HU7="EUC"),50,0))</f>
        <v>0</v>
      </c>
      <c r="HW7" s="275" t="s">
        <v>180</v>
      </c>
      <c r="HX7" s="276"/>
      <c r="HY7" s="277"/>
      <c r="HZ7" s="117"/>
      <c r="IA7" s="16">
        <f>IF(OR(HZ7="RPX",HZ7="SS"),30,IF(OR(HZ7="RPX-T",HZ7="EUC"),50,0))</f>
        <v>0</v>
      </c>
      <c r="IB7" s="275" t="s">
        <v>180</v>
      </c>
      <c r="IC7" s="276"/>
      <c r="ID7" s="277"/>
      <c r="IE7" s="117"/>
      <c r="IF7" s="16">
        <f>IF(OR(IE7="RPX",IE7="SS"),30,IF(OR(IE7="RPX-T",IE7="EUC"),50,0))</f>
        <v>0</v>
      </c>
      <c r="IG7" s="275" t="s">
        <v>180</v>
      </c>
      <c r="IH7" s="276"/>
      <c r="II7" s="277"/>
      <c r="IJ7" s="117"/>
      <c r="IK7" s="16">
        <f>IF(OR(IJ7="RPX",IJ7="SS"),30,IF(OR(IJ7="RPX-T",IJ7="EUC"),50,0))</f>
        <v>0</v>
      </c>
      <c r="IL7" s="275" t="s">
        <v>180</v>
      </c>
      <c r="IM7" s="276"/>
      <c r="IN7" s="277"/>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v>50</v>
      </c>
      <c r="C9" s="90"/>
      <c r="D9" s="116"/>
      <c r="E9" s="16">
        <f>IF(A9="",IF(C9="","",C9),A9)</f>
        <v>0</v>
      </c>
      <c r="F9" s="90"/>
      <c r="G9" s="90"/>
      <c r="H9" s="90">
        <v>0</v>
      </c>
      <c r="I9" s="116">
        <v>50</v>
      </c>
      <c r="J9" s="16">
        <f>IF(F9="",IF(H9="","",H9),F9)</f>
        <v>0</v>
      </c>
      <c r="K9" s="90"/>
      <c r="L9" s="90">
        <v>24</v>
      </c>
      <c r="M9" s="90">
        <v>0</v>
      </c>
      <c r="N9" s="116">
        <v>50</v>
      </c>
      <c r="O9" s="16">
        <f>IF(K9="",IF(M9="","",M9),K9)</f>
        <v>0</v>
      </c>
      <c r="P9" s="90"/>
      <c r="Q9" s="90"/>
      <c r="R9" s="90">
        <v>0</v>
      </c>
      <c r="S9" s="90">
        <v>50</v>
      </c>
      <c r="T9" s="16">
        <f>IF(P9="",IF(R9="","",R9),P9)</f>
        <v>0</v>
      </c>
      <c r="U9" s="90"/>
      <c r="V9" s="90"/>
      <c r="W9" s="90">
        <v>0</v>
      </c>
      <c r="X9" s="116">
        <v>50</v>
      </c>
      <c r="Y9" s="16">
        <f>IF(U9="",IF(W9="","",W9),U9)</f>
        <v>0</v>
      </c>
      <c r="Z9" s="90"/>
      <c r="AA9" s="90"/>
      <c r="AB9" s="90">
        <v>0</v>
      </c>
      <c r="AC9" s="116">
        <v>50</v>
      </c>
      <c r="AD9" s="16">
        <f>IF(Z9="",IF(AB9="","",AB9),Z9)</f>
        <v>0</v>
      </c>
      <c r="AE9" s="90"/>
      <c r="AF9" s="90"/>
      <c r="AG9" s="90">
        <v>0</v>
      </c>
      <c r="AH9" s="116">
        <v>50</v>
      </c>
      <c r="AI9" s="16">
        <f>IF(AE9="",IF(AG9="","",AG9),AE9)</f>
        <v>0</v>
      </c>
      <c r="AJ9" s="90"/>
      <c r="AK9" s="90"/>
      <c r="AL9" s="90">
        <v>0</v>
      </c>
      <c r="AM9" s="116">
        <v>50</v>
      </c>
      <c r="AN9" s="16">
        <f>IF(AJ9="",IF(AL9="","",AL9),AJ9)</f>
        <v>0</v>
      </c>
      <c r="AO9" s="90"/>
      <c r="AP9" s="90"/>
      <c r="AQ9" s="90">
        <v>0</v>
      </c>
      <c r="AR9" s="116">
        <v>50</v>
      </c>
      <c r="AS9" s="16">
        <f>IF(AO9="",IF(AQ9="","",AQ9),AO9)</f>
        <v>0</v>
      </c>
      <c r="AT9" s="90"/>
      <c r="AU9" s="90"/>
      <c r="AV9" s="90">
        <v>0</v>
      </c>
      <c r="AW9" s="116">
        <v>50</v>
      </c>
      <c r="AX9" s="16">
        <f>IF(AT9="",IF(AV9="","",AV9),AT9)</f>
        <v>0</v>
      </c>
      <c r="AY9" s="90"/>
      <c r="AZ9" s="90"/>
      <c r="BA9" s="90">
        <v>0</v>
      </c>
      <c r="BB9" s="116">
        <v>50</v>
      </c>
      <c r="BC9" s="16">
        <f>IF(AY9="",IF(BA9="","",BA9),AY9)</f>
        <v>0</v>
      </c>
      <c r="BD9" s="90"/>
      <c r="BE9" s="90"/>
      <c r="BF9" s="90">
        <v>0</v>
      </c>
      <c r="BG9" s="116">
        <v>50</v>
      </c>
      <c r="BH9" s="16">
        <f>IF(BD9="",IF(BF9="","",BF9),BD9)</f>
        <v>0</v>
      </c>
      <c r="BI9" s="90">
        <v>0</v>
      </c>
      <c r="BJ9" s="90">
        <v>50</v>
      </c>
      <c r="BK9" s="90"/>
      <c r="BL9" s="116"/>
      <c r="BM9" s="16">
        <f>IF(BI9="",IF(BK9="","",BK9),BI9)</f>
        <v>0</v>
      </c>
      <c r="BN9" s="90">
        <v>0</v>
      </c>
      <c r="BO9" s="90"/>
      <c r="BP9" s="90"/>
      <c r="BQ9" s="116"/>
      <c r="BR9" s="16">
        <f>IF(BN9="",IF(BP9="","",BP9),BN9)</f>
        <v>0</v>
      </c>
      <c r="BS9" s="90"/>
      <c r="BT9" s="90"/>
      <c r="BU9" s="90">
        <v>0</v>
      </c>
      <c r="BV9" s="116">
        <v>50</v>
      </c>
      <c r="BW9" s="16">
        <f>IF(BS9="",IF(BU9="","",BU9),BS9)</f>
        <v>0</v>
      </c>
      <c r="BX9" s="90">
        <v>0</v>
      </c>
      <c r="BY9" s="90"/>
      <c r="BZ9" s="90"/>
      <c r="CA9" s="116"/>
      <c r="CB9" s="16">
        <f>IF(BX9="",IF(BZ9="","",BZ9),BX9)</f>
        <v>0</v>
      </c>
      <c r="CC9" s="90">
        <v>0</v>
      </c>
      <c r="CD9" s="90"/>
      <c r="CE9" s="90"/>
      <c r="CF9" s="116"/>
      <c r="CG9" s="16">
        <f>IF(CC9="",IF(CE9="","",CE9),CC9)</f>
        <v>0</v>
      </c>
      <c r="CH9" s="90"/>
      <c r="CI9" s="90"/>
      <c r="CJ9" s="90">
        <v>0</v>
      </c>
      <c r="CK9" s="116">
        <v>50</v>
      </c>
      <c r="CL9" s="16">
        <f>IF(CH9="",IF(CJ9="","",CJ9),CH9)</f>
        <v>0</v>
      </c>
      <c r="CM9" s="90"/>
      <c r="CN9" s="90"/>
      <c r="CO9" s="90">
        <v>0</v>
      </c>
      <c r="CP9" s="116">
        <v>50</v>
      </c>
      <c r="CQ9" s="16">
        <f>IF(CM9="",IF(CO9="","",CO9),CM9)</f>
        <v>0</v>
      </c>
      <c r="CR9" s="90"/>
      <c r="CS9" s="90"/>
      <c r="CT9" s="90">
        <v>0</v>
      </c>
      <c r="CU9" s="116">
        <v>50</v>
      </c>
      <c r="CV9" s="16">
        <f>IF(CR9="",IF(CT9="","",CT9),CR9)</f>
        <v>0</v>
      </c>
      <c r="CW9" s="90">
        <v>20</v>
      </c>
      <c r="CX9" s="90"/>
      <c r="CY9" s="90"/>
      <c r="CZ9" s="116"/>
      <c r="DA9" s="16">
        <f>IF(CW9="",IF(CY9="","",CY9),CW9)</f>
        <v>20</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v>10</v>
      </c>
      <c r="B10" s="90">
        <v>24</v>
      </c>
      <c r="C10" s="116"/>
      <c r="D10" s="116"/>
      <c r="E10" s="16">
        <f>IF(A10="",C10,A10)</f>
        <v>10</v>
      </c>
      <c r="F10" s="90"/>
      <c r="G10" s="90"/>
      <c r="H10" s="90">
        <v>184</v>
      </c>
      <c r="I10" s="116"/>
      <c r="J10" s="16">
        <f>IF(F10="",H10,F10)</f>
        <v>184</v>
      </c>
      <c r="K10" s="90">
        <v>409</v>
      </c>
      <c r="L10" s="90">
        <v>24</v>
      </c>
      <c r="M10" s="90"/>
      <c r="N10" s="116"/>
      <c r="O10" s="16">
        <f>IF(K10="",M10,K10)</f>
        <v>409</v>
      </c>
      <c r="P10" s="90"/>
      <c r="Q10" s="90"/>
      <c r="R10" s="90">
        <v>185</v>
      </c>
      <c r="S10" s="90"/>
      <c r="T10" s="16">
        <f>IF(P10="",R10,P10)</f>
        <v>185</v>
      </c>
      <c r="U10" s="90"/>
      <c r="V10" s="90"/>
      <c r="W10" s="90">
        <v>234</v>
      </c>
      <c r="X10" s="116"/>
      <c r="Y10" s="16">
        <f>IF(U10="",W10,U10)</f>
        <v>234</v>
      </c>
      <c r="Z10" s="90"/>
      <c r="AA10" s="90"/>
      <c r="AB10" s="90">
        <v>155</v>
      </c>
      <c r="AC10" s="116"/>
      <c r="AD10" s="16">
        <f>IF(Z10="",AB10,Z10)</f>
        <v>155</v>
      </c>
      <c r="AE10" s="90"/>
      <c r="AF10" s="90"/>
      <c r="AG10" s="90">
        <v>211</v>
      </c>
      <c r="AH10" s="116"/>
      <c r="AI10" s="16">
        <f>IF(AE10="",AG10,AE10)</f>
        <v>211</v>
      </c>
      <c r="AJ10" s="90"/>
      <c r="AK10" s="90"/>
      <c r="AL10" s="90">
        <v>208</v>
      </c>
      <c r="AM10" s="116"/>
      <c r="AN10" s="16">
        <f>IF(AJ10="",AL10,AJ10)</f>
        <v>208</v>
      </c>
      <c r="AO10" s="90"/>
      <c r="AP10" s="90"/>
      <c r="AQ10" s="90">
        <v>170</v>
      </c>
      <c r="AR10" s="116"/>
      <c r="AS10" s="16">
        <f>IF(AO10="",AQ10,AO10)</f>
        <v>170</v>
      </c>
      <c r="AT10" s="90"/>
      <c r="AU10" s="90"/>
      <c r="AV10" s="90">
        <v>167</v>
      </c>
      <c r="AW10" s="116"/>
      <c r="AX10" s="16">
        <f>IF(AT10="",AV10,AT10)</f>
        <v>167</v>
      </c>
      <c r="AY10" s="90"/>
      <c r="AZ10" s="90"/>
      <c r="BA10" s="90">
        <v>160</v>
      </c>
      <c r="BB10" s="116"/>
      <c r="BC10" s="16">
        <f>IF(AY10="",BA10,AY10)</f>
        <v>160</v>
      </c>
      <c r="BD10" s="90"/>
      <c r="BE10" s="90"/>
      <c r="BF10" s="90">
        <v>175</v>
      </c>
      <c r="BG10" s="116"/>
      <c r="BH10" s="16">
        <f>IF(BD10="",BF10,BD10)</f>
        <v>175</v>
      </c>
      <c r="BI10" s="90">
        <v>10</v>
      </c>
      <c r="BJ10" s="90">
        <v>24</v>
      </c>
      <c r="BK10" s="90"/>
      <c r="BL10" s="116"/>
      <c r="BM10" s="16">
        <f>IF(BI10="",BK10,BI10)</f>
        <v>10</v>
      </c>
      <c r="BN10" s="90"/>
      <c r="BO10" s="90">
        <v>50</v>
      </c>
      <c r="BP10" s="90"/>
      <c r="BQ10" s="116"/>
      <c r="BR10" s="16">
        <f>IF(BN10="",BP10,BN10)</f>
        <v>0</v>
      </c>
      <c r="BS10" s="90">
        <v>0</v>
      </c>
      <c r="BT10" s="90">
        <v>24</v>
      </c>
      <c r="BU10" s="90"/>
      <c r="BV10" s="116"/>
      <c r="BW10" s="16">
        <f>IF(BS10="",BU10,BS10)</f>
        <v>0</v>
      </c>
      <c r="BX10" s="90"/>
      <c r="BY10" s="90">
        <v>50</v>
      </c>
      <c r="BZ10" s="90"/>
      <c r="CA10" s="116"/>
      <c r="CB10" s="16">
        <f>IF(BX10="",BZ10,BX10)</f>
        <v>0</v>
      </c>
      <c r="CC10" s="90"/>
      <c r="CD10" s="90">
        <v>50</v>
      </c>
      <c r="CE10" s="90"/>
      <c r="CF10" s="116"/>
      <c r="CG10" s="16">
        <f>IF(CC10="",CE10,CC10)</f>
        <v>0</v>
      </c>
      <c r="CH10" s="90"/>
      <c r="CI10" s="90">
        <v>24</v>
      </c>
      <c r="CJ10" s="90"/>
      <c r="CK10" s="116"/>
      <c r="CL10" s="16">
        <f>IF(CH10="",CJ10,CH10)</f>
        <v>0</v>
      </c>
      <c r="CM10" s="90"/>
      <c r="CN10" s="90">
        <v>25</v>
      </c>
      <c r="CO10" s="90"/>
      <c r="CP10" s="116"/>
      <c r="CQ10" s="16">
        <f>IF(CM10="",CO10,CM10)</f>
        <v>0</v>
      </c>
      <c r="CR10" s="90"/>
      <c r="CS10" s="90"/>
      <c r="CT10" s="90">
        <v>178</v>
      </c>
      <c r="CU10" s="116"/>
      <c r="CV10" s="16">
        <f>IF(CR10="",CT10,CR10)</f>
        <v>178</v>
      </c>
      <c r="CW10" s="90"/>
      <c r="CX10" s="90">
        <v>50</v>
      </c>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v>92</v>
      </c>
      <c r="D11" s="116">
        <v>50</v>
      </c>
      <c r="E11" s="16">
        <f t="shared" ref="E11:E74" si="1">IF(A11="",C11,A11)</f>
        <v>92</v>
      </c>
      <c r="F11" s="90"/>
      <c r="G11" s="90"/>
      <c r="H11" s="90">
        <v>201</v>
      </c>
      <c r="I11" s="116"/>
      <c r="J11" s="16">
        <f t="shared" ref="J11:J74" si="2">IF(F11="",H11,F11)</f>
        <v>201</v>
      </c>
      <c r="K11" s="90"/>
      <c r="L11" s="90"/>
      <c r="M11" s="90">
        <v>352</v>
      </c>
      <c r="N11" s="116">
        <v>50</v>
      </c>
      <c r="O11" s="16">
        <f t="shared" ref="O11:O74" si="3">IF(K11="",M11,K11)</f>
        <v>352</v>
      </c>
      <c r="P11" s="90"/>
      <c r="Q11" s="90"/>
      <c r="R11" s="90">
        <v>83</v>
      </c>
      <c r="S11" s="90"/>
      <c r="T11" s="16">
        <f t="shared" ref="T11:T74" si="4">IF(P11="",R11,P11)</f>
        <v>83</v>
      </c>
      <c r="U11" s="90"/>
      <c r="V11" s="90"/>
      <c r="W11" s="90">
        <v>164</v>
      </c>
      <c r="X11" s="116">
        <v>50</v>
      </c>
      <c r="Y11" s="16">
        <f t="shared" ref="Y11:Y74" si="5">IF(U11="",W11,U11)</f>
        <v>164</v>
      </c>
      <c r="Z11" s="90"/>
      <c r="AA11" s="90"/>
      <c r="AB11" s="90">
        <v>158</v>
      </c>
      <c r="AC11" s="116"/>
      <c r="AD11" s="16">
        <f t="shared" ref="AD11:AD74" si="6">IF(Z11="",AB11,Z11)</f>
        <v>158</v>
      </c>
      <c r="AE11" s="90"/>
      <c r="AF11" s="90"/>
      <c r="AG11" s="90">
        <v>218</v>
      </c>
      <c r="AH11" s="116"/>
      <c r="AI11" s="16">
        <f t="shared" ref="AI11:AI74" si="7">IF(AE11="",AG11,AE11)</f>
        <v>218</v>
      </c>
      <c r="AJ11" s="90"/>
      <c r="AK11" s="90"/>
      <c r="AL11" s="90">
        <v>253</v>
      </c>
      <c r="AM11" s="116"/>
      <c r="AN11" s="16">
        <f t="shared" ref="AN11:AN74" si="8">IF(AJ11="",AL11,AJ11)</f>
        <v>253</v>
      </c>
      <c r="AO11" s="90"/>
      <c r="AP11" s="90"/>
      <c r="AQ11" s="90">
        <v>160</v>
      </c>
      <c r="AR11" s="116"/>
      <c r="AS11" s="16">
        <f t="shared" ref="AS11:AS74" si="9">IF(AO11="",AQ11,AO11)</f>
        <v>160</v>
      </c>
      <c r="AT11" s="90"/>
      <c r="AU11" s="90"/>
      <c r="AV11" s="90">
        <v>185</v>
      </c>
      <c r="AW11" s="116"/>
      <c r="AX11" s="16">
        <f t="shared" ref="AX11:AX74" si="10">IF(AT11="",AV11,AT11)</f>
        <v>185</v>
      </c>
      <c r="AY11" s="90"/>
      <c r="AZ11" s="90"/>
      <c r="BA11" s="90">
        <v>130</v>
      </c>
      <c r="BB11" s="116"/>
      <c r="BC11" s="16">
        <f t="shared" ref="BC11:BC74" si="11">IF(AY11="",BA11,AY11)</f>
        <v>130</v>
      </c>
      <c r="BD11" s="90"/>
      <c r="BE11" s="90"/>
      <c r="BF11" s="90"/>
      <c r="BG11" s="116"/>
      <c r="BH11" s="16">
        <f t="shared" ref="BH11:BH74" si="12">IF(BD11="",BF11,BD11)</f>
        <v>0</v>
      </c>
      <c r="BI11" s="90"/>
      <c r="BJ11" s="90"/>
      <c r="BK11" s="90">
        <v>100</v>
      </c>
      <c r="BL11" s="116">
        <v>50</v>
      </c>
      <c r="BM11" s="16">
        <f t="shared" ref="BM11:BM74" si="13">IF(BI11="",BK11,BI11)</f>
        <v>100</v>
      </c>
      <c r="BN11" s="90"/>
      <c r="BO11" s="90">
        <v>24</v>
      </c>
      <c r="BP11" s="90"/>
      <c r="BQ11" s="116"/>
      <c r="BR11" s="16">
        <f t="shared" ref="BR11:BR74" si="14">IF(BN11="",BP11,BN11)</f>
        <v>0</v>
      </c>
      <c r="BS11" s="90">
        <v>253</v>
      </c>
      <c r="BT11" s="90"/>
      <c r="BU11" s="90"/>
      <c r="BV11" s="116"/>
      <c r="BW11" s="16">
        <f t="shared" ref="BW11:BW74" si="15">IF(BS11="",BU11,BS11)</f>
        <v>253</v>
      </c>
      <c r="BX11" s="90">
        <v>161</v>
      </c>
      <c r="BY11" s="90"/>
      <c r="BZ11" s="90"/>
      <c r="CA11" s="116"/>
      <c r="CB11" s="16">
        <f t="shared" ref="CB11:CB74" si="16">IF(BX11="",BZ11,BX11)</f>
        <v>161</v>
      </c>
      <c r="CC11" s="90"/>
      <c r="CD11" s="90">
        <v>24</v>
      </c>
      <c r="CE11" s="90"/>
      <c r="CF11" s="116"/>
      <c r="CG11" s="16">
        <f t="shared" ref="CG11:CG74" si="17">IF(CC11="",CE11,CC11)</f>
        <v>0</v>
      </c>
      <c r="CH11" s="90">
        <v>536</v>
      </c>
      <c r="CI11" s="90"/>
      <c r="CJ11" s="90"/>
      <c r="CK11" s="116"/>
      <c r="CL11" s="16">
        <f t="shared" ref="CL11:CL74" si="18">IF(CH11="",CJ11,CH11)</f>
        <v>536</v>
      </c>
      <c r="CM11" s="90">
        <v>313</v>
      </c>
      <c r="CN11" s="90">
        <v>50</v>
      </c>
      <c r="CO11" s="90"/>
      <c r="CP11" s="116"/>
      <c r="CQ11" s="16">
        <f t="shared" ref="CQ11:CQ74" si="19">IF(CM11="",CO11,CM11)</f>
        <v>313</v>
      </c>
      <c r="CR11" s="90"/>
      <c r="CS11" s="90"/>
      <c r="CT11" s="90">
        <v>200</v>
      </c>
      <c r="CU11" s="116"/>
      <c r="CV11" s="16">
        <f t="shared" ref="CV11:CV74" si="20">IF(CR11="",CT11,CR11)</f>
        <v>200</v>
      </c>
      <c r="CW11" s="90"/>
      <c r="CX11" s="90">
        <v>50</v>
      </c>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v>162</v>
      </c>
      <c r="D12" s="116">
        <v>50</v>
      </c>
      <c r="E12" s="16">
        <f t="shared" si="1"/>
        <v>162</v>
      </c>
      <c r="F12" s="90"/>
      <c r="G12" s="90"/>
      <c r="H12" s="90">
        <v>167</v>
      </c>
      <c r="I12" s="116">
        <v>50</v>
      </c>
      <c r="J12" s="16">
        <f t="shared" si="2"/>
        <v>167</v>
      </c>
      <c r="K12" s="90"/>
      <c r="L12" s="90"/>
      <c r="M12" s="90">
        <v>161</v>
      </c>
      <c r="N12" s="116"/>
      <c r="O12" s="16">
        <f t="shared" si="3"/>
        <v>161</v>
      </c>
      <c r="P12" s="90"/>
      <c r="Q12" s="90"/>
      <c r="R12" s="90">
        <v>24</v>
      </c>
      <c r="S12" s="90"/>
      <c r="T12" s="16">
        <f t="shared" si="4"/>
        <v>24</v>
      </c>
      <c r="U12" s="90"/>
      <c r="V12" s="90"/>
      <c r="W12" s="90">
        <v>164</v>
      </c>
      <c r="X12" s="116"/>
      <c r="Y12" s="16">
        <f t="shared" si="5"/>
        <v>164</v>
      </c>
      <c r="Z12" s="90"/>
      <c r="AA12" s="90"/>
      <c r="AB12" s="90">
        <v>202</v>
      </c>
      <c r="AC12" s="116">
        <v>50</v>
      </c>
      <c r="AD12" s="16">
        <f t="shared" si="6"/>
        <v>202</v>
      </c>
      <c r="AE12" s="90"/>
      <c r="AF12" s="90"/>
      <c r="AG12" s="90">
        <v>214</v>
      </c>
      <c r="AH12" s="116"/>
      <c r="AI12" s="16">
        <f t="shared" si="7"/>
        <v>214</v>
      </c>
      <c r="AJ12" s="90"/>
      <c r="AK12" s="90"/>
      <c r="AL12" s="90">
        <v>236</v>
      </c>
      <c r="AM12" s="116"/>
      <c r="AN12" s="16">
        <f t="shared" si="8"/>
        <v>236</v>
      </c>
      <c r="AO12" s="90"/>
      <c r="AP12" s="90"/>
      <c r="AQ12" s="90">
        <v>161</v>
      </c>
      <c r="AR12" s="116"/>
      <c r="AS12" s="16">
        <f t="shared" si="9"/>
        <v>161</v>
      </c>
      <c r="AT12" s="90"/>
      <c r="AU12" s="90"/>
      <c r="AV12" s="90">
        <v>155</v>
      </c>
      <c r="AW12" s="116"/>
      <c r="AX12" s="16">
        <f t="shared" si="10"/>
        <v>155</v>
      </c>
      <c r="AY12" s="90"/>
      <c r="AZ12" s="90"/>
      <c r="BA12" s="90">
        <v>155</v>
      </c>
      <c r="BB12" s="116">
        <v>50</v>
      </c>
      <c r="BC12" s="16">
        <f t="shared" si="11"/>
        <v>155</v>
      </c>
      <c r="BD12" s="90"/>
      <c r="BE12" s="90"/>
      <c r="BF12" s="90"/>
      <c r="BG12" s="116"/>
      <c r="BH12" s="16">
        <f t="shared" si="12"/>
        <v>0</v>
      </c>
      <c r="BI12" s="90"/>
      <c r="BJ12" s="90"/>
      <c r="BK12" s="90">
        <v>126</v>
      </c>
      <c r="BL12" s="116">
        <v>50</v>
      </c>
      <c r="BM12" s="16">
        <f t="shared" si="13"/>
        <v>126</v>
      </c>
      <c r="BN12" s="90">
        <v>344</v>
      </c>
      <c r="BO12" s="90"/>
      <c r="BP12" s="90"/>
      <c r="BQ12" s="116"/>
      <c r="BR12" s="16">
        <f t="shared" si="14"/>
        <v>344</v>
      </c>
      <c r="BS12" s="90">
        <v>302</v>
      </c>
      <c r="BT12" s="90"/>
      <c r="BU12" s="90"/>
      <c r="BV12" s="116"/>
      <c r="BW12" s="16">
        <f t="shared" si="15"/>
        <v>302</v>
      </c>
      <c r="BX12" s="90">
        <v>53</v>
      </c>
      <c r="BY12" s="90"/>
      <c r="BZ12" s="90"/>
      <c r="CA12" s="116"/>
      <c r="CB12" s="16">
        <f t="shared" si="16"/>
        <v>53</v>
      </c>
      <c r="CC12" s="90"/>
      <c r="CD12" s="90"/>
      <c r="CE12" s="90">
        <v>167</v>
      </c>
      <c r="CF12" s="116"/>
      <c r="CG12" s="16">
        <f t="shared" si="17"/>
        <v>167</v>
      </c>
      <c r="CH12" s="90"/>
      <c r="CI12" s="90">
        <v>21</v>
      </c>
      <c r="CJ12" s="90"/>
      <c r="CK12" s="116"/>
      <c r="CL12" s="16">
        <f t="shared" si="18"/>
        <v>0</v>
      </c>
      <c r="CM12" s="90"/>
      <c r="CN12" s="90"/>
      <c r="CO12" s="90"/>
      <c r="CP12" s="116"/>
      <c r="CQ12" s="16">
        <f t="shared" si="19"/>
        <v>0</v>
      </c>
      <c r="CR12" s="90"/>
      <c r="CS12" s="90"/>
      <c r="CT12" s="90">
        <v>106</v>
      </c>
      <c r="CU12" s="116"/>
      <c r="CV12" s="16">
        <f t="shared" si="20"/>
        <v>106</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c r="D13" s="116"/>
      <c r="E13" s="16">
        <f t="shared" si="1"/>
        <v>0</v>
      </c>
      <c r="F13" s="90"/>
      <c r="G13" s="90"/>
      <c r="H13" s="90">
        <v>183</v>
      </c>
      <c r="I13" s="116"/>
      <c r="J13" s="16">
        <f t="shared" si="2"/>
        <v>183</v>
      </c>
      <c r="K13" s="90"/>
      <c r="L13" s="90"/>
      <c r="M13" s="90">
        <v>229</v>
      </c>
      <c r="N13" s="116">
        <v>50</v>
      </c>
      <c r="O13" s="16">
        <f t="shared" si="3"/>
        <v>229</v>
      </c>
      <c r="P13" s="90"/>
      <c r="Q13" s="90"/>
      <c r="R13" s="90">
        <v>226</v>
      </c>
      <c r="S13" s="116"/>
      <c r="T13" s="16">
        <f t="shared" si="4"/>
        <v>226</v>
      </c>
      <c r="U13" s="90"/>
      <c r="V13" s="90"/>
      <c r="W13" s="90">
        <v>162</v>
      </c>
      <c r="X13" s="116"/>
      <c r="Y13" s="16">
        <f t="shared" si="5"/>
        <v>162</v>
      </c>
      <c r="Z13" s="90"/>
      <c r="AA13" s="90"/>
      <c r="AB13" s="90">
        <v>199</v>
      </c>
      <c r="AC13" s="116"/>
      <c r="AD13" s="16">
        <f t="shared" si="6"/>
        <v>199</v>
      </c>
      <c r="AE13" s="90"/>
      <c r="AF13" s="90"/>
      <c r="AG13" s="90">
        <v>283</v>
      </c>
      <c r="AH13" s="116"/>
      <c r="AI13" s="16">
        <f t="shared" si="7"/>
        <v>283</v>
      </c>
      <c r="AJ13" s="90"/>
      <c r="AK13" s="90"/>
      <c r="AL13" s="90">
        <v>199</v>
      </c>
      <c r="AM13" s="116"/>
      <c r="AN13" s="16">
        <f t="shared" si="8"/>
        <v>199</v>
      </c>
      <c r="AO13" s="90"/>
      <c r="AP13" s="90"/>
      <c r="AQ13" s="90"/>
      <c r="AR13" s="116"/>
      <c r="AS13" s="16">
        <f t="shared" si="9"/>
        <v>0</v>
      </c>
      <c r="AT13" s="90"/>
      <c r="AU13" s="90"/>
      <c r="AV13" s="90"/>
      <c r="AW13" s="116"/>
      <c r="AX13" s="16">
        <f t="shared" si="10"/>
        <v>0</v>
      </c>
      <c r="AY13" s="90"/>
      <c r="AZ13" s="90"/>
      <c r="BA13" s="90">
        <v>136</v>
      </c>
      <c r="BB13" s="116"/>
      <c r="BC13" s="16">
        <f t="shared" si="11"/>
        <v>136</v>
      </c>
      <c r="BD13" s="90"/>
      <c r="BE13" s="90"/>
      <c r="BF13" s="90"/>
      <c r="BG13" s="116"/>
      <c r="BH13" s="16">
        <f t="shared" si="12"/>
        <v>0</v>
      </c>
      <c r="BI13" s="90"/>
      <c r="BJ13" s="90"/>
      <c r="BK13" s="90"/>
      <c r="BL13" s="116"/>
      <c r="BM13" s="16">
        <f t="shared" si="13"/>
        <v>0</v>
      </c>
      <c r="BN13" s="90">
        <v>82</v>
      </c>
      <c r="BO13" s="90"/>
      <c r="BP13" s="90"/>
      <c r="BQ13" s="116"/>
      <c r="BR13" s="16">
        <f t="shared" si="14"/>
        <v>82</v>
      </c>
      <c r="BS13" s="90">
        <v>286</v>
      </c>
      <c r="BT13" s="90"/>
      <c r="BU13" s="90"/>
      <c r="BV13" s="116"/>
      <c r="BW13" s="16">
        <f t="shared" si="15"/>
        <v>286</v>
      </c>
      <c r="BX13" s="90">
        <v>62</v>
      </c>
      <c r="BY13" s="90"/>
      <c r="BZ13" s="90"/>
      <c r="CA13" s="116"/>
      <c r="CB13" s="16">
        <f t="shared" si="16"/>
        <v>62</v>
      </c>
      <c r="CC13" s="90"/>
      <c r="CD13" s="90"/>
      <c r="CE13" s="90">
        <v>119</v>
      </c>
      <c r="CF13" s="116"/>
      <c r="CG13" s="16">
        <f t="shared" si="17"/>
        <v>119</v>
      </c>
      <c r="CH13" s="90"/>
      <c r="CI13" s="90"/>
      <c r="CJ13" s="90">
        <v>54</v>
      </c>
      <c r="CK13" s="116">
        <v>50</v>
      </c>
      <c r="CL13" s="16">
        <f t="shared" si="18"/>
        <v>54</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c r="D14" s="116"/>
      <c r="E14" s="16">
        <f t="shared" si="1"/>
        <v>0</v>
      </c>
      <c r="F14" s="90"/>
      <c r="G14" s="90"/>
      <c r="H14" s="90">
        <v>161</v>
      </c>
      <c r="I14" s="116">
        <v>50</v>
      </c>
      <c r="J14" s="16">
        <f t="shared" si="2"/>
        <v>161</v>
      </c>
      <c r="K14" s="90"/>
      <c r="L14" s="90"/>
      <c r="M14" s="90"/>
      <c r="N14" s="116"/>
      <c r="O14" s="16">
        <f t="shared" si="3"/>
        <v>0</v>
      </c>
      <c r="P14" s="90"/>
      <c r="Q14" s="90"/>
      <c r="R14" s="90">
        <v>160</v>
      </c>
      <c r="S14" s="116">
        <v>50</v>
      </c>
      <c r="T14" s="16">
        <f t="shared" si="4"/>
        <v>160</v>
      </c>
      <c r="U14" s="90"/>
      <c r="V14" s="90"/>
      <c r="W14" s="90">
        <v>162</v>
      </c>
      <c r="X14" s="116"/>
      <c r="Y14" s="16">
        <f t="shared" si="5"/>
        <v>162</v>
      </c>
      <c r="Z14" s="90"/>
      <c r="AA14" s="90"/>
      <c r="AB14" s="90">
        <v>208</v>
      </c>
      <c r="AC14" s="116"/>
      <c r="AD14" s="16">
        <f t="shared" si="6"/>
        <v>208</v>
      </c>
      <c r="AE14" s="90"/>
      <c r="AF14" s="90"/>
      <c r="AG14" s="90"/>
      <c r="AH14" s="116"/>
      <c r="AI14" s="16">
        <f t="shared" si="7"/>
        <v>0</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v>131</v>
      </c>
      <c r="BB14" s="116"/>
      <c r="BC14" s="16">
        <f t="shared" si="11"/>
        <v>131</v>
      </c>
      <c r="BD14" s="90"/>
      <c r="BE14" s="90"/>
      <c r="BF14" s="90"/>
      <c r="BG14" s="116"/>
      <c r="BH14" s="16">
        <f t="shared" si="12"/>
        <v>0</v>
      </c>
      <c r="BI14" s="90"/>
      <c r="BJ14" s="90"/>
      <c r="BK14" s="90"/>
      <c r="BL14" s="116"/>
      <c r="BM14" s="16">
        <f t="shared" si="13"/>
        <v>0</v>
      </c>
      <c r="BN14" s="90">
        <v>90</v>
      </c>
      <c r="BO14" s="90"/>
      <c r="BP14" s="90"/>
      <c r="BQ14" s="116"/>
      <c r="BR14" s="16">
        <f t="shared" si="14"/>
        <v>90</v>
      </c>
      <c r="BS14" s="90">
        <v>254</v>
      </c>
      <c r="BT14" s="90">
        <v>20</v>
      </c>
      <c r="BU14" s="90"/>
      <c r="BV14" s="116"/>
      <c r="BW14" s="16">
        <f t="shared" si="15"/>
        <v>254</v>
      </c>
      <c r="BX14" s="90"/>
      <c r="BY14" s="90"/>
      <c r="BZ14" s="90"/>
      <c r="CA14" s="116"/>
      <c r="CB14" s="16">
        <f t="shared" si="16"/>
        <v>0</v>
      </c>
      <c r="CC14" s="90"/>
      <c r="CD14" s="90"/>
      <c r="CE14" s="90"/>
      <c r="CF14" s="116"/>
      <c r="CG14" s="16">
        <f t="shared" si="17"/>
        <v>0</v>
      </c>
      <c r="CH14" s="90"/>
      <c r="CI14" s="90"/>
      <c r="CJ14" s="90">
        <v>133</v>
      </c>
      <c r="CK14" s="116"/>
      <c r="CL14" s="16">
        <f t="shared" si="18"/>
        <v>133</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90"/>
      <c r="D15" s="116"/>
      <c r="E15" s="16">
        <f t="shared" si="1"/>
        <v>0</v>
      </c>
      <c r="F15" s="90"/>
      <c r="G15" s="90"/>
      <c r="H15" s="90">
        <v>100</v>
      </c>
      <c r="I15" s="116">
        <v>50</v>
      </c>
      <c r="J15" s="16">
        <f t="shared" si="2"/>
        <v>100</v>
      </c>
      <c r="K15" s="90"/>
      <c r="L15" s="90"/>
      <c r="M15" s="90"/>
      <c r="N15" s="116"/>
      <c r="O15" s="16">
        <f t="shared" si="3"/>
        <v>0</v>
      </c>
      <c r="P15" s="90"/>
      <c r="Q15" s="90"/>
      <c r="R15" s="90">
        <v>164</v>
      </c>
      <c r="S15" s="116"/>
      <c r="T15" s="16">
        <f t="shared" si="4"/>
        <v>164</v>
      </c>
      <c r="U15" s="90"/>
      <c r="V15" s="90"/>
      <c r="W15" s="90"/>
      <c r="X15" s="116"/>
      <c r="Y15" s="16">
        <f t="shared" si="5"/>
        <v>0</v>
      </c>
      <c r="Z15" s="90"/>
      <c r="AA15" s="90"/>
      <c r="AB15" s="90"/>
      <c r="AC15" s="116">
        <v>100</v>
      </c>
      <c r="AD15" s="16">
        <f t="shared" si="6"/>
        <v>0</v>
      </c>
      <c r="AE15" s="90"/>
      <c r="AF15" s="90"/>
      <c r="AG15" s="90"/>
      <c r="AH15" s="116"/>
      <c r="AI15" s="16">
        <f t="shared" si="7"/>
        <v>0</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v>175</v>
      </c>
      <c r="BB15" s="116"/>
      <c r="BC15" s="16">
        <f t="shared" si="11"/>
        <v>175</v>
      </c>
      <c r="BD15" s="90"/>
      <c r="BE15" s="90"/>
      <c r="BF15" s="90"/>
      <c r="BG15" s="116"/>
      <c r="BH15" s="16">
        <f t="shared" si="12"/>
        <v>0</v>
      </c>
      <c r="BI15" s="90"/>
      <c r="BJ15" s="90"/>
      <c r="BK15" s="90"/>
      <c r="BL15" s="116"/>
      <c r="BM15" s="16">
        <f t="shared" si="13"/>
        <v>0</v>
      </c>
      <c r="BN15" s="90"/>
      <c r="BO15" s="90">
        <v>20</v>
      </c>
      <c r="BP15" s="90"/>
      <c r="BQ15" s="116"/>
      <c r="BR15" s="16">
        <f t="shared" si="14"/>
        <v>0</v>
      </c>
      <c r="BS15" s="90">
        <v>415</v>
      </c>
      <c r="BT15" s="90">
        <v>25</v>
      </c>
      <c r="BU15" s="90"/>
      <c r="BV15" s="116"/>
      <c r="BW15" s="16">
        <f t="shared" si="15"/>
        <v>415</v>
      </c>
      <c r="BX15" s="90"/>
      <c r="BY15" s="90"/>
      <c r="BZ15" s="90"/>
      <c r="CA15" s="116"/>
      <c r="CB15" s="16">
        <f t="shared" si="16"/>
        <v>0</v>
      </c>
      <c r="CC15" s="90"/>
      <c r="CD15" s="90"/>
      <c r="CE15" s="90"/>
      <c r="CF15" s="116"/>
      <c r="CG15" s="16">
        <f t="shared" si="17"/>
        <v>0</v>
      </c>
      <c r="CH15" s="90"/>
      <c r="CI15" s="90"/>
      <c r="CJ15" s="90">
        <v>197</v>
      </c>
      <c r="CK15" s="116"/>
      <c r="CL15" s="16">
        <f t="shared" si="18"/>
        <v>197</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90"/>
      <c r="D16" s="116"/>
      <c r="E16" s="16">
        <f t="shared" si="1"/>
        <v>0</v>
      </c>
      <c r="F16" s="90"/>
      <c r="G16" s="90"/>
      <c r="H16" s="254"/>
      <c r="I16" s="116"/>
      <c r="J16" s="16">
        <f t="shared" si="2"/>
        <v>0</v>
      </c>
      <c r="K16" s="90"/>
      <c r="L16" s="90"/>
      <c r="M16" s="90"/>
      <c r="N16" s="116"/>
      <c r="O16" s="16">
        <f t="shared" si="3"/>
        <v>0</v>
      </c>
      <c r="P16" s="90"/>
      <c r="Q16" s="90"/>
      <c r="R16" s="90">
        <v>162</v>
      </c>
      <c r="S16" s="116"/>
      <c r="T16" s="16">
        <f t="shared" si="4"/>
        <v>162</v>
      </c>
      <c r="U16" s="90"/>
      <c r="V16" s="90"/>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v>196</v>
      </c>
      <c r="BB16" s="116">
        <v>50</v>
      </c>
      <c r="BC16" s="16">
        <f t="shared" si="11"/>
        <v>196</v>
      </c>
      <c r="BD16" s="90"/>
      <c r="BE16" s="90"/>
      <c r="BF16" s="90"/>
      <c r="BG16" s="116"/>
      <c r="BH16" s="16">
        <f t="shared" si="12"/>
        <v>0</v>
      </c>
      <c r="BI16" s="90"/>
      <c r="BJ16" s="90"/>
      <c r="BK16" s="90"/>
      <c r="BL16" s="116"/>
      <c r="BM16" s="16">
        <f t="shared" si="13"/>
        <v>0</v>
      </c>
      <c r="BN16" s="90">
        <v>95</v>
      </c>
      <c r="BO16" s="90"/>
      <c r="BP16" s="90"/>
      <c r="BQ16" s="116"/>
      <c r="BR16" s="16">
        <f t="shared" si="14"/>
        <v>95</v>
      </c>
      <c r="BS16" s="90"/>
      <c r="BT16" s="90">
        <v>50</v>
      </c>
      <c r="BU16" s="90"/>
      <c r="BV16" s="116"/>
      <c r="BW16" s="16">
        <f t="shared" si="15"/>
        <v>0</v>
      </c>
      <c r="BX16" s="90"/>
      <c r="BY16" s="90"/>
      <c r="BZ16" s="90"/>
      <c r="CA16" s="116"/>
      <c r="CB16" s="16">
        <f t="shared" si="16"/>
        <v>0</v>
      </c>
      <c r="CC16" s="90"/>
      <c r="CD16" s="90"/>
      <c r="CE16" s="90"/>
      <c r="CF16" s="116"/>
      <c r="CG16" s="16">
        <f t="shared" si="17"/>
        <v>0</v>
      </c>
      <c r="CH16" s="90"/>
      <c r="CI16" s="90"/>
      <c r="CJ16" s="90">
        <v>204</v>
      </c>
      <c r="CK16" s="116">
        <v>50</v>
      </c>
      <c r="CL16" s="16">
        <f t="shared" si="18"/>
        <v>204</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90"/>
      <c r="D17" s="116"/>
      <c r="E17" s="16">
        <f t="shared" si="1"/>
        <v>0</v>
      </c>
      <c r="F17" s="90"/>
      <c r="G17" s="90"/>
      <c r="H17" s="90"/>
      <c r="I17" s="116"/>
      <c r="J17" s="16">
        <f t="shared" si="2"/>
        <v>0</v>
      </c>
      <c r="K17" s="90"/>
      <c r="L17" s="90"/>
      <c r="M17" s="90"/>
      <c r="N17" s="116"/>
      <c r="O17" s="16">
        <f t="shared" si="3"/>
        <v>0</v>
      </c>
      <c r="P17" s="90"/>
      <c r="Q17" s="90"/>
      <c r="R17" s="90">
        <v>162</v>
      </c>
      <c r="S17" s="116"/>
      <c r="T17" s="16">
        <f t="shared" si="4"/>
        <v>162</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v>84</v>
      </c>
      <c r="BB17" s="116"/>
      <c r="BC17" s="16">
        <f t="shared" si="11"/>
        <v>84</v>
      </c>
      <c r="BD17" s="90"/>
      <c r="BE17" s="90"/>
      <c r="BF17" s="90"/>
      <c r="BG17" s="116"/>
      <c r="BH17" s="16">
        <f t="shared" si="12"/>
        <v>0</v>
      </c>
      <c r="BI17" s="90"/>
      <c r="BJ17" s="90"/>
      <c r="BK17" s="90"/>
      <c r="BL17" s="116"/>
      <c r="BM17" s="16">
        <f t="shared" si="13"/>
        <v>0</v>
      </c>
      <c r="BN17" s="90">
        <v>103</v>
      </c>
      <c r="BO17" s="90"/>
      <c r="BP17" s="90"/>
      <c r="BQ17" s="116"/>
      <c r="BR17" s="16">
        <f t="shared" si="14"/>
        <v>103</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v>181</v>
      </c>
      <c r="CK17" s="116"/>
      <c r="CL17" s="16">
        <f t="shared" si="18"/>
        <v>181</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90"/>
      <c r="D18" s="116"/>
      <c r="E18" s="16">
        <f t="shared" si="1"/>
        <v>0</v>
      </c>
      <c r="F18" s="90"/>
      <c r="G18" s="90"/>
      <c r="H18" s="90"/>
      <c r="I18" s="116"/>
      <c r="J18" s="16">
        <f t="shared" si="2"/>
        <v>0</v>
      </c>
      <c r="K18" s="90"/>
      <c r="L18" s="90"/>
      <c r="M18" s="90"/>
      <c r="N18" s="116"/>
      <c r="O18" s="16">
        <f t="shared" si="3"/>
        <v>0</v>
      </c>
      <c r="P18" s="90"/>
      <c r="Q18" s="90"/>
      <c r="R18" s="90">
        <v>165</v>
      </c>
      <c r="S18" s="116">
        <v>50</v>
      </c>
      <c r="T18" s="16">
        <f t="shared" si="4"/>
        <v>165</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v>117</v>
      </c>
      <c r="BB18" s="116"/>
      <c r="BC18" s="16">
        <f t="shared" si="11"/>
        <v>117</v>
      </c>
      <c r="BD18" s="90"/>
      <c r="BE18" s="90"/>
      <c r="BF18" s="90"/>
      <c r="BG18" s="116"/>
      <c r="BH18" s="16">
        <f t="shared" si="12"/>
        <v>0</v>
      </c>
      <c r="BI18" s="90"/>
      <c r="BJ18" s="90"/>
      <c r="BK18" s="90"/>
      <c r="BL18" s="116"/>
      <c r="BM18" s="16">
        <f t="shared" si="13"/>
        <v>0</v>
      </c>
      <c r="BN18" s="90">
        <v>101</v>
      </c>
      <c r="BO18" s="90"/>
      <c r="BP18" s="116"/>
      <c r="BQ18" s="116"/>
      <c r="BR18" s="16">
        <f t="shared" si="14"/>
        <v>101</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v>224</v>
      </c>
      <c r="CK18" s="116">
        <v>50</v>
      </c>
      <c r="CL18" s="16">
        <f t="shared" si="18"/>
        <v>224</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242</v>
      </c>
      <c r="S19" s="116">
        <v>50</v>
      </c>
      <c r="T19" s="16">
        <f t="shared" si="4"/>
        <v>242</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v>149</v>
      </c>
      <c r="BB19" s="116">
        <v>50</v>
      </c>
      <c r="BC19" s="16">
        <f t="shared" si="11"/>
        <v>149</v>
      </c>
      <c r="BD19" s="90"/>
      <c r="BE19" s="90"/>
      <c r="BF19" s="90"/>
      <c r="BG19" s="116"/>
      <c r="BH19" s="16">
        <f t="shared" si="12"/>
        <v>0</v>
      </c>
      <c r="BI19" s="90"/>
      <c r="BJ19" s="90"/>
      <c r="BK19" s="90"/>
      <c r="BL19" s="116"/>
      <c r="BM19" s="16">
        <f t="shared" si="13"/>
        <v>0</v>
      </c>
      <c r="BN19" s="90">
        <v>103</v>
      </c>
      <c r="BO19" s="90"/>
      <c r="BP19" s="116"/>
      <c r="BQ19" s="116"/>
      <c r="BR19" s="16">
        <f t="shared" si="14"/>
        <v>103</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163</v>
      </c>
      <c r="S20" s="116"/>
      <c r="T20" s="16">
        <f t="shared" si="4"/>
        <v>163</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v>186</v>
      </c>
      <c r="BB20" s="116"/>
      <c r="BC20" s="16">
        <f t="shared" si="11"/>
        <v>186</v>
      </c>
      <c r="BD20" s="90"/>
      <c r="BE20" s="90"/>
      <c r="BF20" s="90"/>
      <c r="BG20" s="116"/>
      <c r="BH20" s="16">
        <f t="shared" si="12"/>
        <v>0</v>
      </c>
      <c r="BI20" s="90"/>
      <c r="BJ20" s="90"/>
      <c r="BK20" s="90"/>
      <c r="BL20" s="116"/>
      <c r="BM20" s="16">
        <f t="shared" si="13"/>
        <v>0</v>
      </c>
      <c r="BN20" s="90">
        <v>103</v>
      </c>
      <c r="BO20" s="90"/>
      <c r="BP20" s="116"/>
      <c r="BQ20" s="116"/>
      <c r="BR20" s="16">
        <f t="shared" si="14"/>
        <v>103</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v>165</v>
      </c>
      <c r="S21" s="116"/>
      <c r="T21" s="16">
        <f t="shared" si="4"/>
        <v>165</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90"/>
      <c r="BC21" s="16">
        <f t="shared" si="11"/>
        <v>0</v>
      </c>
      <c r="BD21" s="90"/>
      <c r="BE21" s="90"/>
      <c r="BF21" s="90"/>
      <c r="BG21" s="116"/>
      <c r="BH21" s="16">
        <f t="shared" si="12"/>
        <v>0</v>
      </c>
      <c r="BI21" s="90"/>
      <c r="BJ21" s="90"/>
      <c r="BK21" s="90"/>
      <c r="BL21" s="116"/>
      <c r="BM21" s="16">
        <f t="shared" si="13"/>
        <v>0</v>
      </c>
      <c r="BN21" s="90"/>
      <c r="BO21" s="90">
        <v>20</v>
      </c>
      <c r="BP21" s="116"/>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90"/>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90"/>
      <c r="BC22" s="16">
        <f t="shared" si="11"/>
        <v>0</v>
      </c>
      <c r="BD22" s="90"/>
      <c r="BE22" s="90"/>
      <c r="BF22" s="90"/>
      <c r="BG22" s="116"/>
      <c r="BH22" s="16">
        <f t="shared" si="12"/>
        <v>0</v>
      </c>
      <c r="BI22" s="90"/>
      <c r="BJ22" s="90"/>
      <c r="BK22" s="90"/>
      <c r="BL22" s="116"/>
      <c r="BM22" s="16">
        <f t="shared" si="13"/>
        <v>0</v>
      </c>
      <c r="BN22" s="90">
        <v>103</v>
      </c>
      <c r="BO22" s="90"/>
      <c r="BP22" s="116"/>
      <c r="BQ22" s="116"/>
      <c r="BR22" s="16">
        <f t="shared" si="14"/>
        <v>103</v>
      </c>
      <c r="BS22" s="90"/>
      <c r="BT22" s="90" t="s">
        <v>254</v>
      </c>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90"/>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90"/>
      <c r="BC23" s="16">
        <f t="shared" si="11"/>
        <v>0</v>
      </c>
      <c r="BD23" s="90"/>
      <c r="BE23" s="90"/>
      <c r="BF23" s="90"/>
      <c r="BG23" s="116"/>
      <c r="BH23" s="16">
        <f t="shared" si="12"/>
        <v>0</v>
      </c>
      <c r="BI23" s="90"/>
      <c r="BJ23" s="90"/>
      <c r="BK23" s="90"/>
      <c r="BL23" s="116"/>
      <c r="BM23" s="16">
        <f t="shared" si="13"/>
        <v>0</v>
      </c>
      <c r="BN23" s="90">
        <v>89</v>
      </c>
      <c r="BO23" s="90"/>
      <c r="BP23" s="90"/>
      <c r="BQ23" s="116"/>
      <c r="BR23" s="16">
        <f t="shared" si="14"/>
        <v>89</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90"/>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90"/>
      <c r="BC24" s="16">
        <f t="shared" si="11"/>
        <v>0</v>
      </c>
      <c r="BD24" s="90"/>
      <c r="BE24" s="90"/>
      <c r="BF24" s="90"/>
      <c r="BG24" s="116"/>
      <c r="BH24" s="16">
        <f t="shared" si="12"/>
        <v>0</v>
      </c>
      <c r="BI24" s="90"/>
      <c r="BJ24" s="90"/>
      <c r="BK24" s="90"/>
      <c r="BL24" s="116"/>
      <c r="BM24" s="16">
        <f t="shared" si="13"/>
        <v>0</v>
      </c>
      <c r="BN24" s="90">
        <v>93</v>
      </c>
      <c r="BO24" s="90"/>
      <c r="BP24" s="90"/>
      <c r="BQ24" s="116"/>
      <c r="BR24" s="16">
        <f t="shared" si="14"/>
        <v>93</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90"/>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90"/>
      <c r="BC25" s="16">
        <f t="shared" si="11"/>
        <v>0</v>
      </c>
      <c r="BD25" s="90"/>
      <c r="BE25" s="90"/>
      <c r="BF25" s="90"/>
      <c r="BG25" s="116"/>
      <c r="BH25" s="16">
        <f t="shared" si="12"/>
        <v>0</v>
      </c>
      <c r="BI25" s="90"/>
      <c r="BJ25" s="90"/>
      <c r="BK25" s="90"/>
      <c r="BL25" s="116"/>
      <c r="BM25" s="16">
        <f t="shared" si="13"/>
        <v>0</v>
      </c>
      <c r="BN25" s="90">
        <v>91</v>
      </c>
      <c r="BO25" s="90"/>
      <c r="BP25" s="90"/>
      <c r="BQ25" s="116"/>
      <c r="BR25" s="16">
        <f t="shared" si="14"/>
        <v>91</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90"/>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90"/>
      <c r="BC26" s="16">
        <f t="shared" si="11"/>
        <v>0</v>
      </c>
      <c r="BD26" s="90"/>
      <c r="BE26" s="90"/>
      <c r="BF26" s="90"/>
      <c r="BG26" s="116"/>
      <c r="BH26" s="16">
        <f t="shared" si="12"/>
        <v>0</v>
      </c>
      <c r="BI26" s="90"/>
      <c r="BJ26" s="90"/>
      <c r="BK26" s="90"/>
      <c r="BL26" s="116"/>
      <c r="BM26" s="16">
        <f t="shared" si="13"/>
        <v>0</v>
      </c>
      <c r="BN26" s="90">
        <v>86</v>
      </c>
      <c r="BO26" s="90"/>
      <c r="BP26" s="90"/>
      <c r="BQ26" s="116"/>
      <c r="BR26" s="16">
        <f t="shared" si="14"/>
        <v>86</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90"/>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90"/>
      <c r="BC27" s="16">
        <f t="shared" si="11"/>
        <v>0</v>
      </c>
      <c r="BD27" s="90"/>
      <c r="BE27" s="90"/>
      <c r="BF27" s="90"/>
      <c r="BG27" s="116"/>
      <c r="BH27" s="16">
        <f t="shared" si="12"/>
        <v>0</v>
      </c>
      <c r="BI27" s="90"/>
      <c r="BJ27" s="90"/>
      <c r="BK27" s="90"/>
      <c r="BL27" s="116"/>
      <c r="BM27" s="16">
        <f t="shared" si="13"/>
        <v>0</v>
      </c>
      <c r="BN27" s="90"/>
      <c r="BO27" s="90">
        <v>20</v>
      </c>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90"/>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90"/>
      <c r="BC28" s="16">
        <f t="shared" si="11"/>
        <v>0</v>
      </c>
      <c r="BD28" s="90"/>
      <c r="BE28" s="90"/>
      <c r="BF28" s="90"/>
      <c r="BG28" s="116"/>
      <c r="BH28" s="16">
        <f t="shared" si="12"/>
        <v>0</v>
      </c>
      <c r="BI28" s="90"/>
      <c r="BJ28" s="90"/>
      <c r="BK28" s="90"/>
      <c r="BL28" s="116"/>
      <c r="BM28" s="16">
        <f t="shared" si="13"/>
        <v>0</v>
      </c>
      <c r="BN28" s="90">
        <v>105</v>
      </c>
      <c r="BO28" s="90"/>
      <c r="BP28" s="90"/>
      <c r="BQ28" s="116"/>
      <c r="BR28" s="16">
        <f t="shared" si="14"/>
        <v>105</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90"/>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90"/>
      <c r="BC29" s="16">
        <f t="shared" si="11"/>
        <v>0</v>
      </c>
      <c r="BD29" s="90"/>
      <c r="BE29" s="90"/>
      <c r="BF29" s="90"/>
      <c r="BG29" s="116"/>
      <c r="BH29" s="16">
        <f t="shared" si="12"/>
        <v>0</v>
      </c>
      <c r="BI29" s="90"/>
      <c r="BJ29" s="90"/>
      <c r="BK29" s="90"/>
      <c r="BL29" s="116"/>
      <c r="BM29" s="16">
        <f t="shared" si="13"/>
        <v>0</v>
      </c>
      <c r="BN29" s="90">
        <v>150</v>
      </c>
      <c r="BO29" s="90"/>
      <c r="BP29" s="90"/>
      <c r="BQ29" s="116"/>
      <c r="BR29" s="16">
        <f t="shared" si="14"/>
        <v>150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90"/>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116"/>
      <c r="BB30" s="116"/>
      <c r="BC30" s="16">
        <f t="shared" si="11"/>
        <v>0</v>
      </c>
      <c r="BD30" s="90"/>
      <c r="BE30" s="90"/>
      <c r="BF30" s="90"/>
      <c r="BG30" s="116"/>
      <c r="BH30" s="16">
        <f t="shared" si="12"/>
        <v>0</v>
      </c>
      <c r="BI30" s="90"/>
      <c r="BJ30" s="90"/>
      <c r="BK30" s="90"/>
      <c r="BL30" s="116"/>
      <c r="BM30" s="16">
        <f t="shared" si="13"/>
        <v>0</v>
      </c>
      <c r="BN30" s="90">
        <v>70</v>
      </c>
      <c r="BO30" s="90"/>
      <c r="BP30" s="90"/>
      <c r="BQ30" s="116"/>
      <c r="BR30" s="16">
        <f t="shared" si="14"/>
        <v>70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90"/>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116"/>
      <c r="BB31" s="116"/>
      <c r="BC31" s="16">
        <f t="shared" si="11"/>
        <v>0</v>
      </c>
      <c r="BD31" s="90"/>
      <c r="BE31" s="90"/>
      <c r="BF31" s="90"/>
      <c r="BG31" s="116"/>
      <c r="BH31" s="16">
        <f t="shared" si="12"/>
        <v>0</v>
      </c>
      <c r="BI31" s="90"/>
      <c r="BJ31" s="90"/>
      <c r="BK31" s="90"/>
      <c r="BL31" s="116"/>
      <c r="BM31" s="16">
        <f t="shared" si="13"/>
        <v>0</v>
      </c>
      <c r="BN31" s="90">
        <v>100</v>
      </c>
      <c r="BO31" s="90"/>
      <c r="BP31" s="90"/>
      <c r="BQ31" s="116"/>
      <c r="BR31" s="16">
        <f t="shared" si="14"/>
        <v>100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116"/>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90"/>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116"/>
      <c r="BB32" s="116"/>
      <c r="BC32" s="16">
        <f t="shared" si="11"/>
        <v>0</v>
      </c>
      <c r="BD32" s="90"/>
      <c r="BE32" s="90"/>
      <c r="BF32" s="90"/>
      <c r="BG32" s="116"/>
      <c r="BH32" s="16">
        <f t="shared" si="12"/>
        <v>0</v>
      </c>
      <c r="BI32" s="90"/>
      <c r="BJ32" s="90"/>
      <c r="BK32" s="90"/>
      <c r="BL32" s="116"/>
      <c r="BM32" s="16">
        <f t="shared" si="13"/>
        <v>0</v>
      </c>
      <c r="BN32" s="90">
        <v>150</v>
      </c>
      <c r="BO32" s="90"/>
      <c r="BP32" s="90"/>
      <c r="BQ32" s="116"/>
      <c r="BR32" s="16">
        <f t="shared" si="14"/>
        <v>150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116"/>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90"/>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116"/>
      <c r="BB33" s="116"/>
      <c r="BC33" s="16">
        <f t="shared" si="11"/>
        <v>0</v>
      </c>
      <c r="BD33" s="90"/>
      <c r="BE33" s="90"/>
      <c r="BF33" s="90"/>
      <c r="BG33" s="116"/>
      <c r="BH33" s="16">
        <f t="shared" si="12"/>
        <v>0</v>
      </c>
      <c r="BI33" s="90"/>
      <c r="BJ33" s="90"/>
      <c r="BK33" s="90"/>
      <c r="BL33" s="116"/>
      <c r="BM33" s="16">
        <f t="shared" si="13"/>
        <v>0</v>
      </c>
      <c r="BN33" s="90">
        <v>95</v>
      </c>
      <c r="BO33" s="90"/>
      <c r="BP33" s="90"/>
      <c r="BQ33" s="116"/>
      <c r="BR33" s="16">
        <f t="shared" si="14"/>
        <v>95</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116"/>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90"/>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116"/>
      <c r="BB34" s="116"/>
      <c r="BC34" s="16">
        <f t="shared" si="11"/>
        <v>0</v>
      </c>
      <c r="BD34" s="90"/>
      <c r="BE34" s="90"/>
      <c r="BF34" s="90"/>
      <c r="BG34" s="116"/>
      <c r="BH34" s="16">
        <f t="shared" si="12"/>
        <v>0</v>
      </c>
      <c r="BI34" s="90"/>
      <c r="BJ34" s="90"/>
      <c r="BK34" s="90"/>
      <c r="BL34" s="116"/>
      <c r="BM34" s="16">
        <f t="shared" si="13"/>
        <v>0</v>
      </c>
      <c r="BN34" s="90">
        <v>80</v>
      </c>
      <c r="BO34" s="90"/>
      <c r="BP34" s="90"/>
      <c r="BQ34" s="116"/>
      <c r="BR34" s="16">
        <f t="shared" si="14"/>
        <v>80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116"/>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90"/>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116"/>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116"/>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90"/>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116"/>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116"/>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90"/>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116"/>
      <c r="BA37" s="116"/>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116"/>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90"/>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116"/>
      <c r="BA38" s="116"/>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116"/>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90"/>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116"/>
      <c r="BA39" s="116"/>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116"/>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90"/>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116"/>
      <c r="BA40" s="116"/>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116"/>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90"/>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116"/>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116"/>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90"/>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116"/>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90"/>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116"/>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90"/>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116"/>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116"/>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116"/>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116"/>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116"/>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116"/>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116"/>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7:A208">
    <cfRule type="expression" dxfId="1619" priority="228">
      <formula>IF(A27&gt;0,A27&lt;20)</formula>
    </cfRule>
  </conditionalFormatting>
  <conditionalFormatting sqref="F20:F208">
    <cfRule type="expression" dxfId="1618" priority="109">
      <formula>IF(F20&gt;0,F20&lt;20)</formula>
    </cfRule>
  </conditionalFormatting>
  <conditionalFormatting sqref="K22:K208">
    <cfRule type="expression" dxfId="1617" priority="108">
      <formula>IF(K22&gt;0,K22&lt;20)</formula>
    </cfRule>
  </conditionalFormatting>
  <conditionalFormatting sqref="P14:P208">
    <cfRule type="expression" dxfId="1616" priority="107">
      <formula>IF(P14&gt;0,P14&lt;20)</formula>
    </cfRule>
  </conditionalFormatting>
  <conditionalFormatting sqref="U22:U208">
    <cfRule type="expression" dxfId="1615" priority="106">
      <formula>IF(U22&gt;0,U22&lt;20)</formula>
    </cfRule>
  </conditionalFormatting>
  <conditionalFormatting sqref="Z17:Z208">
    <cfRule type="expression" dxfId="1614" priority="105">
      <formula>IF(Z17&gt;0,Z17&lt;20)</formula>
    </cfRule>
  </conditionalFormatting>
  <conditionalFormatting sqref="AE15:AE208">
    <cfRule type="expression" dxfId="1613" priority="104">
      <formula>IF(AE15&gt;0,AE15&lt;20)</formula>
    </cfRule>
  </conditionalFormatting>
  <conditionalFormatting sqref="AJ25:AJ208">
    <cfRule type="expression" dxfId="1612" priority="103">
      <formula>IF(AJ25&gt;0,AJ25&lt;20)</formula>
    </cfRule>
  </conditionalFormatting>
  <conditionalFormatting sqref="AO16:AO208">
    <cfRule type="expression" dxfId="1611" priority="102">
      <formula>IF(AO16&gt;0,AO16&lt;20)</formula>
    </cfRule>
  </conditionalFormatting>
  <conditionalFormatting sqref="AT18:AT208">
    <cfRule type="expression" dxfId="1610" priority="101">
      <formula>IF(AT18&gt;0,AT18&lt;20)</formula>
    </cfRule>
  </conditionalFormatting>
  <conditionalFormatting sqref="AY9:AY18 AY28:AY208 AY23">
    <cfRule type="expression" dxfId="1609" priority="100">
      <formula>IF(AY9&gt;0,AY9&lt;20)</formula>
    </cfRule>
  </conditionalFormatting>
  <conditionalFormatting sqref="BD9:BD208">
    <cfRule type="expression" dxfId="1608" priority="99">
      <formula>IF(BD9&gt;0,BD9&lt;20)</formula>
    </cfRule>
  </conditionalFormatting>
  <conditionalFormatting sqref="BI31:BI208">
    <cfRule type="expression" dxfId="1607" priority="98">
      <formula>IF(BI31&gt;0,BI31&lt;20)</formula>
    </cfRule>
  </conditionalFormatting>
  <conditionalFormatting sqref="BN34:BN208">
    <cfRule type="expression" dxfId="1606" priority="97">
      <formula>IF(BN34&gt;0,BN34&lt;20)</formula>
    </cfRule>
  </conditionalFormatting>
  <conditionalFormatting sqref="BS33:BS208">
    <cfRule type="expression" dxfId="1605" priority="96">
      <formula>IF(BS33&gt;0,BS33&lt;20)</formula>
    </cfRule>
  </conditionalFormatting>
  <conditionalFormatting sqref="BX9:BX208">
    <cfRule type="expression" dxfId="1604" priority="95">
      <formula>IF(BX9&gt;0,BX9&lt;20)</formula>
    </cfRule>
  </conditionalFormatting>
  <conditionalFormatting sqref="CC25:CC208">
    <cfRule type="expression" dxfId="1603" priority="94">
      <formula>IF(CC25&gt;0,CC25&lt;20)</formula>
    </cfRule>
  </conditionalFormatting>
  <conditionalFormatting sqref="CH19:CH208">
    <cfRule type="expression" dxfId="1602" priority="93">
      <formula>IF(CH19&gt;0,CH19&lt;20)</formula>
    </cfRule>
  </conditionalFormatting>
  <conditionalFormatting sqref="CM42:CM208">
    <cfRule type="expression" dxfId="1601" priority="92">
      <formula>IF(CM42&gt;0,CM42&lt;20)</formula>
    </cfRule>
  </conditionalFormatting>
  <conditionalFormatting sqref="CR9:CR208">
    <cfRule type="expression" dxfId="1600" priority="91">
      <formula>IF(CR9&gt;0,CR9&lt;20)</formula>
    </cfRule>
  </conditionalFormatting>
  <conditionalFormatting sqref="CW9:CW208">
    <cfRule type="expression" dxfId="1599" priority="90">
      <formula>IF(CW9&gt;0,CW9&lt;20)</formula>
    </cfRule>
  </conditionalFormatting>
  <conditionalFormatting sqref="DB9:DB208">
    <cfRule type="expression" dxfId="1598" priority="89">
      <formula>IF(DB9&gt;0,DB9&lt;20)</formula>
    </cfRule>
  </conditionalFormatting>
  <conditionalFormatting sqref="DG9:DG208">
    <cfRule type="expression" dxfId="1597" priority="88">
      <formula>IF(DG9&gt;0,DG9&lt;20)</formula>
    </cfRule>
  </conditionalFormatting>
  <conditionalFormatting sqref="DL9:DL208">
    <cfRule type="expression" dxfId="1596" priority="87">
      <formula>IF(DL9&gt;0,DL9&lt;20)</formula>
    </cfRule>
  </conditionalFormatting>
  <conditionalFormatting sqref="DQ9:DQ208">
    <cfRule type="expression" dxfId="1595" priority="86">
      <formula>IF(DQ9&gt;0,DQ9&lt;20)</formula>
    </cfRule>
  </conditionalFormatting>
  <conditionalFormatting sqref="DV9:DV208">
    <cfRule type="expression" dxfId="1594" priority="85">
      <formula>IF(DV9&gt;0,DV9&lt;20)</formula>
    </cfRule>
  </conditionalFormatting>
  <conditionalFormatting sqref="EA9:EA208">
    <cfRule type="expression" dxfId="1593" priority="84">
      <formula>IF(EA9&gt;0,EA9&lt;20)</formula>
    </cfRule>
  </conditionalFormatting>
  <conditionalFormatting sqref="EF9:EF208">
    <cfRule type="expression" dxfId="1592" priority="83">
      <formula>IF(EF9&gt;0,EF9&lt;20)</formula>
    </cfRule>
  </conditionalFormatting>
  <conditionalFormatting sqref="EK9:EK208">
    <cfRule type="expression" dxfId="1591" priority="82">
      <formula>IF(EK9&gt;0,EK9&lt;20)</formula>
    </cfRule>
  </conditionalFormatting>
  <conditionalFormatting sqref="EP9:EP208">
    <cfRule type="expression" dxfId="1590" priority="81">
      <formula>IF(EP9&gt;0,EP9&lt;20)</formula>
    </cfRule>
  </conditionalFormatting>
  <conditionalFormatting sqref="EU9:EU208">
    <cfRule type="expression" dxfId="1589" priority="80">
      <formula>IF(EU9&gt;0,EU9&lt;20)</formula>
    </cfRule>
  </conditionalFormatting>
  <conditionalFormatting sqref="EZ9:EZ208">
    <cfRule type="expression" dxfId="1588" priority="79">
      <formula>IF(EZ9&gt;0,EZ9&lt;20)</formula>
    </cfRule>
  </conditionalFormatting>
  <conditionalFormatting sqref="FE9:FE208">
    <cfRule type="expression" dxfId="1587" priority="78">
      <formula>IF(FE9&gt;0,FE9&lt;20)</formula>
    </cfRule>
  </conditionalFormatting>
  <conditionalFormatting sqref="IL9:IL208">
    <cfRule type="expression" dxfId="1586" priority="61">
      <formula>IF(IL9&gt;0,IL9&lt;20)</formula>
    </cfRule>
  </conditionalFormatting>
  <conditionalFormatting sqref="FJ9:FJ208">
    <cfRule type="expression" dxfId="1585" priority="77">
      <formula>IF(FJ9&gt;0,FJ9&lt;20)</formula>
    </cfRule>
  </conditionalFormatting>
  <conditionalFormatting sqref="FO9:FO208">
    <cfRule type="expression" dxfId="1584" priority="76">
      <formula>IF(FO9&gt;0,FO9&lt;20)</formula>
    </cfRule>
  </conditionalFormatting>
  <conditionalFormatting sqref="FT9:FT208">
    <cfRule type="expression" dxfId="1583" priority="75">
      <formula>IF(FT9&gt;0,FT9&lt;20)</formula>
    </cfRule>
  </conditionalFormatting>
  <conditionalFormatting sqref="FY9:FY208">
    <cfRule type="expression" dxfId="1582" priority="74">
      <formula>IF(FY9&gt;0,FY9&lt;20)</formula>
    </cfRule>
  </conditionalFormatting>
  <conditionalFormatting sqref="GD9:GD208">
    <cfRule type="expression" dxfId="1581" priority="73">
      <formula>IF(GD9&gt;0,GD9&lt;20)</formula>
    </cfRule>
  </conditionalFormatting>
  <conditionalFormatting sqref="GI9:GI208">
    <cfRule type="expression" dxfId="1580" priority="72">
      <formula>IF(GI9&gt;0,GI9&lt;20)</formula>
    </cfRule>
  </conditionalFormatting>
  <conditionalFormatting sqref="GN9:GN208">
    <cfRule type="expression" dxfId="1579" priority="71">
      <formula>IF(GN9&gt;0,GN9&lt;20)</formula>
    </cfRule>
  </conditionalFormatting>
  <conditionalFormatting sqref="GS9:GS208">
    <cfRule type="expression" dxfId="1578" priority="70">
      <formula>IF(GS9&gt;0,GS9&lt;20)</formula>
    </cfRule>
  </conditionalFormatting>
  <conditionalFormatting sqref="GX9:GX208">
    <cfRule type="expression" dxfId="1577" priority="69">
      <formula>IF(GX9&gt;0,GX9&lt;20)</formula>
    </cfRule>
  </conditionalFormatting>
  <conditionalFormatting sqref="HC9:HC208">
    <cfRule type="expression" dxfId="1576" priority="68">
      <formula>IF(HC9&gt;0,HC9&lt;20)</formula>
    </cfRule>
  </conditionalFormatting>
  <conditionalFormatting sqref="HH9:HH208">
    <cfRule type="expression" dxfId="1575" priority="67">
      <formula>IF(HH9&gt;0,HH9&lt;20)</formula>
    </cfRule>
  </conditionalFormatting>
  <conditionalFormatting sqref="HM9:HM208">
    <cfRule type="expression" dxfId="1574" priority="66">
      <formula>IF(HM9&gt;0,HM9&lt;20)</formula>
    </cfRule>
  </conditionalFormatting>
  <conditionalFormatting sqref="HR9:HR208">
    <cfRule type="expression" dxfId="1573" priority="65">
      <formula>IF(HR9&gt;0,HR9&lt;20)</formula>
    </cfRule>
  </conditionalFormatting>
  <conditionalFormatting sqref="HW9:HW208">
    <cfRule type="expression" dxfId="1572" priority="64">
      <formula>IF(HW9&gt;0,HW9&lt;20)</formula>
    </cfRule>
  </conditionalFormatting>
  <conditionalFormatting sqref="IB9:IB208">
    <cfRule type="expression" dxfId="1571" priority="63">
      <formula>IF(IB9&gt;0,IB9&lt;20)</formula>
    </cfRule>
  </conditionalFormatting>
  <conditionalFormatting sqref="IG9:IG208">
    <cfRule type="expression" dxfId="1570" priority="62">
      <formula>IF(IG9&gt;0,IG9&lt;20)</formula>
    </cfRule>
  </conditionalFormatting>
  <conditionalFormatting sqref="F12:F19">
    <cfRule type="expression" dxfId="1569" priority="58">
      <formula>IF(F12&gt;0,F12&lt;20)</formula>
    </cfRule>
  </conditionalFormatting>
  <conditionalFormatting sqref="K14:K21">
    <cfRule type="expression" dxfId="1568" priority="57">
      <formula>IF(K14&gt;0,K14&lt;20)</formula>
    </cfRule>
  </conditionalFormatting>
  <conditionalFormatting sqref="P12:P13">
    <cfRule type="expression" dxfId="1567" priority="55">
      <formula>IF(P12&gt;0,P12&lt;20)</formula>
    </cfRule>
  </conditionalFormatting>
  <conditionalFormatting sqref="U10:U21">
    <cfRule type="expression" dxfId="1566" priority="54">
      <formula>IF(U10&gt;0,U10&lt;20)</formula>
    </cfRule>
  </conditionalFormatting>
  <conditionalFormatting sqref="AJ11:AJ24">
    <cfRule type="expression" dxfId="1565" priority="51">
      <formula>IF(AJ11&gt;0,AJ11&lt;20)</formula>
    </cfRule>
  </conditionalFormatting>
  <conditionalFormatting sqref="F9:F11">
    <cfRule type="expression" dxfId="1564" priority="50">
      <formula>IF(F9&gt;0,F9&lt;20)</formula>
    </cfRule>
  </conditionalFormatting>
  <conditionalFormatting sqref="P9:P11">
    <cfRule type="expression" dxfId="1563" priority="47">
      <formula>IF(P9&gt;0,P9&lt;20)</formula>
    </cfRule>
  </conditionalFormatting>
  <conditionalFormatting sqref="U9">
    <cfRule type="expression" dxfId="1562" priority="46">
      <formula>IF(U9&gt;0,U9&lt;20)</formula>
    </cfRule>
  </conditionalFormatting>
  <conditionalFormatting sqref="Z9:Z16">
    <cfRule type="expression" dxfId="1561" priority="45">
      <formula>IF(Z9&gt;0,Z9&lt;20)</formula>
    </cfRule>
  </conditionalFormatting>
  <conditionalFormatting sqref="AE13:AE14">
    <cfRule type="expression" dxfId="1560" priority="44">
      <formula>IF(AE13&gt;0,AE13&lt;20)</formula>
    </cfRule>
  </conditionalFormatting>
  <conditionalFormatting sqref="AE9:AE12">
    <cfRule type="expression" dxfId="1559" priority="43">
      <formula>IF(AE9&gt;0,AE9&lt;20)</formula>
    </cfRule>
  </conditionalFormatting>
  <conditionalFormatting sqref="AJ9:AJ10">
    <cfRule type="expression" dxfId="1558" priority="42">
      <formula>IF(AJ9&gt;0,AJ9&lt;20)</formula>
    </cfRule>
  </conditionalFormatting>
  <conditionalFormatting sqref="AO9:AO15">
    <cfRule type="expression" dxfId="1557" priority="41">
      <formula>IF(AO9&gt;0,AO9&lt;20)</formula>
    </cfRule>
  </conditionalFormatting>
  <conditionalFormatting sqref="C29:C44">
    <cfRule type="expression" dxfId="1556" priority="37">
      <formula>IF(C29&gt;0,C29&lt;20)</formula>
    </cfRule>
  </conditionalFormatting>
  <conditionalFormatting sqref="C25:C28">
    <cfRule type="expression" dxfId="1555" priority="36">
      <formula>IF(C25&gt;0,C25&lt;20)</formula>
    </cfRule>
  </conditionalFormatting>
  <conditionalFormatting sqref="C24">
    <cfRule type="expression" dxfId="1554" priority="35">
      <formula>IF(C24&gt;0,C24&lt;20)</formula>
    </cfRule>
  </conditionalFormatting>
  <conditionalFormatting sqref="C20:C23">
    <cfRule type="expression" dxfId="1553" priority="34">
      <formula>IF(C20&gt;0,C20&lt;20)</formula>
    </cfRule>
  </conditionalFormatting>
  <conditionalFormatting sqref="C15:C18">
    <cfRule type="expression" dxfId="1552" priority="33">
      <formula>IF(C15&gt;0,C15&lt;20)</formula>
    </cfRule>
  </conditionalFormatting>
  <conditionalFormatting sqref="A25:A26">
    <cfRule type="expression" dxfId="1551" priority="32">
      <formula>IF(A25&gt;0,A25&lt;20)</formula>
    </cfRule>
  </conditionalFormatting>
  <conditionalFormatting sqref="A21:A24">
    <cfRule type="expression" dxfId="1550" priority="31">
      <formula>IF(A21&gt;0,A21&lt;20)</formula>
    </cfRule>
  </conditionalFormatting>
  <conditionalFormatting sqref="A20">
    <cfRule type="expression" dxfId="1549" priority="30">
      <formula>IF(A20&gt;0,A20&lt;20)</formula>
    </cfRule>
  </conditionalFormatting>
  <conditionalFormatting sqref="A16:A19">
    <cfRule type="expression" dxfId="1548" priority="29">
      <formula>IF(A16&gt;0,A16&lt;20)</formula>
    </cfRule>
  </conditionalFormatting>
  <conditionalFormatting sqref="A13:A14">
    <cfRule type="expression" dxfId="1547" priority="25">
      <formula>AND(A13&lt;&gt;"",A13&lt;20)</formula>
    </cfRule>
  </conditionalFormatting>
  <conditionalFormatting sqref="AT9:AT17">
    <cfRule type="expression" dxfId="1546" priority="23">
      <formula>IF(AT9&gt;0,AT9&lt;20)</formula>
    </cfRule>
  </conditionalFormatting>
  <conditionalFormatting sqref="BI13:BI30">
    <cfRule type="expression" dxfId="1545" priority="22">
      <formula>IF(BI13&gt;0,BI13&lt;20)</formula>
    </cfRule>
  </conditionalFormatting>
  <conditionalFormatting sqref="BN9:BN11">
    <cfRule type="expression" dxfId="1544" priority="21">
      <formula>IF(BN9&gt;0,BN9&lt;20)</formula>
    </cfRule>
  </conditionalFormatting>
  <conditionalFormatting sqref="BN33:BN34">
    <cfRule type="expression" dxfId="1543" priority="20">
      <formula>IF(BN33&gt;0,BN33&lt;20)</formula>
    </cfRule>
  </conditionalFormatting>
  <conditionalFormatting sqref="BN12:BN13 BN16:BN33">
    <cfRule type="expression" dxfId="1542" priority="19">
      <formula>IF(BN12&gt;0,BN12&lt;20)</formula>
    </cfRule>
  </conditionalFormatting>
  <conditionalFormatting sqref="BO15:BO17">
    <cfRule type="expression" dxfId="1541" priority="18">
      <formula>IF(BO15&gt;0,BO15&lt;20)</formula>
    </cfRule>
  </conditionalFormatting>
  <conditionalFormatting sqref="BN14:BN16">
    <cfRule type="expression" dxfId="1540" priority="17">
      <formula>IF(BN14&gt;0,BN14&lt;20)</formula>
    </cfRule>
  </conditionalFormatting>
  <conditionalFormatting sqref="CC9:CC24">
    <cfRule type="expression" dxfId="1539" priority="16">
      <formula>IF(CC9&gt;0,CC9&lt;20)</formula>
    </cfRule>
  </conditionalFormatting>
  <conditionalFormatting sqref="BS16 BS23:BS32">
    <cfRule type="expression" dxfId="1538" priority="15">
      <formula>IF(BS16&gt;0,BS16&lt;20)</formula>
    </cfRule>
  </conditionalFormatting>
  <conditionalFormatting sqref="BS16:BS22">
    <cfRule type="expression" dxfId="1537" priority="14">
      <formula>IF(BS16&gt;0,BS16&lt;20)</formula>
    </cfRule>
  </conditionalFormatting>
  <conditionalFormatting sqref="CM12:CM41">
    <cfRule type="expression" dxfId="1536" priority="13">
      <formula>IF(CM12&gt;0,CM12&lt;20)</formula>
    </cfRule>
  </conditionalFormatting>
  <conditionalFormatting sqref="BA24:BA29">
    <cfRule type="expression" dxfId="1535" priority="11">
      <formula>IF(BA24&gt;0,BA24&lt;20)</formula>
    </cfRule>
  </conditionalFormatting>
  <conditionalFormatting sqref="A9">
    <cfRule type="expression" dxfId="1534" priority="10">
      <formula>AND(A$9&lt;&gt;"",A$9&lt;20)</formula>
    </cfRule>
  </conditionalFormatting>
  <conditionalFormatting sqref="A10:A12">
    <cfRule type="expression" dxfId="1533" priority="9">
      <formula>AND(A10&lt;&gt;"",A10&lt;20)</formula>
    </cfRule>
  </conditionalFormatting>
  <conditionalFormatting sqref="BI9:BI12">
    <cfRule type="expression" dxfId="1532" priority="8">
      <formula>IF(BI9&gt;0,BI9&lt;20)</formula>
    </cfRule>
  </conditionalFormatting>
  <conditionalFormatting sqref="K13">
    <cfRule type="expression" dxfId="1531" priority="7">
      <formula>IF(K13&gt;0,K13&lt;20)</formula>
    </cfRule>
  </conditionalFormatting>
  <conditionalFormatting sqref="K9:K12">
    <cfRule type="expression" dxfId="1530" priority="6">
      <formula>IF(K9&gt;0,K9&lt;20)</formula>
    </cfRule>
  </conditionalFormatting>
  <conditionalFormatting sqref="R12">
    <cfRule type="expression" dxfId="1529" priority="5">
      <formula>IF(R12&gt;0,R12&lt;20)</formula>
    </cfRule>
  </conditionalFormatting>
  <conditionalFormatting sqref="R9:R11">
    <cfRule type="expression" dxfId="1528" priority="4">
      <formula>IF(R9&gt;0,R9&lt;20)</formula>
    </cfRule>
  </conditionalFormatting>
  <conditionalFormatting sqref="CH9:CH18">
    <cfRule type="expression" dxfId="1527" priority="3">
      <formula>IF(CH9&gt;0,CH9&lt;20)</formula>
    </cfRule>
  </conditionalFormatting>
  <conditionalFormatting sqref="BS9:BS15">
    <cfRule type="expression" dxfId="1526" priority="2">
      <formula>IF(BS9&gt;0,BS9&lt;20)</formula>
    </cfRule>
  </conditionalFormatting>
  <conditionalFormatting sqref="CM9:CM11">
    <cfRule type="expression" dxfId="1525" priority="1">
      <formula>IF(CM9&gt;0,CM9&lt;20)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550" zoomScaleNormal="100" workbookViewId="0">
      <selection activeCell="D568" sqref="D568"/>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9" t="s">
        <v>731</v>
      </c>
      <c r="D1" s="330"/>
      <c r="E1" s="88"/>
      <c r="F1" s="88"/>
      <c r="G1" s="89" t="s">
        <v>186</v>
      </c>
      <c r="H1" s="327" t="s">
        <v>733</v>
      </c>
      <c r="I1" s="328"/>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9" t="s">
        <v>732</v>
      </c>
      <c r="D2" s="330"/>
      <c r="E2" s="88"/>
      <c r="F2" s="88"/>
      <c r="G2" s="89" t="s">
        <v>207</v>
      </c>
      <c r="H2" s="327" t="s">
        <v>734</v>
      </c>
      <c r="I2" s="328"/>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FA_IMPORT_A02RR0S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5" t="s">
        <v>222</v>
      </c>
      <c r="C6" s="286"/>
      <c r="D6" s="287" t="s">
        <v>223</v>
      </c>
      <c r="E6" s="288"/>
      <c r="F6" s="88"/>
      <c r="G6" s="289" t="s">
        <v>224</v>
      </c>
      <c r="H6" s="290"/>
      <c r="I6" s="28">
        <f>SUM(E17:E41)</f>
        <v>288</v>
      </c>
      <c r="J6" s="291" t="s">
        <v>225</v>
      </c>
      <c r="K6" s="292"/>
      <c r="L6" s="288"/>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8" t="s">
        <v>226</v>
      </c>
      <c r="AA6" s="299"/>
      <c r="AB6" s="300"/>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1" t="s">
        <v>230</v>
      </c>
      <c r="H7" s="288"/>
      <c r="I7" s="33">
        <f>E8-I6</f>
        <v>0</v>
      </c>
      <c r="J7" s="302" t="s">
        <v>231</v>
      </c>
      <c r="K7" s="303"/>
      <c r="L7" s="34">
        <f>I11</f>
        <v>385</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4" t="s">
        <v>232</v>
      </c>
      <c r="AA7" s="306" t="s">
        <v>233</v>
      </c>
      <c r="AB7" s="307"/>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310" t="s">
        <v>237</v>
      </c>
      <c r="H8" s="311"/>
      <c r="I8" s="35">
        <f>IF(E8=0,0,12-(MOD(I6,12)))</f>
        <v>12</v>
      </c>
      <c r="J8" s="302" t="s">
        <v>238</v>
      </c>
      <c r="K8" s="303"/>
      <c r="L8" s="39">
        <f>I12-I6</f>
        <v>384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5"/>
      <c r="AA8" s="308"/>
      <c r="AB8" s="309"/>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278" t="s">
        <v>242</v>
      </c>
      <c r="H9" s="43" t="s">
        <v>243</v>
      </c>
      <c r="I9" s="35">
        <f>IF(E9&lt;&gt;0,1,0)</f>
        <v>0</v>
      </c>
      <c r="J9" s="310" t="s">
        <v>244</v>
      </c>
      <c r="K9" s="311"/>
      <c r="L9" s="44">
        <f>'Cable Calculator'!D3</f>
        <v>438</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385</v>
      </c>
      <c r="F10" s="88"/>
      <c r="G10" s="279"/>
      <c r="H10" s="47" t="s">
        <v>248</v>
      </c>
      <c r="I10" s="35">
        <f>IF(E9&lt;&gt;0,E9,0)</f>
        <v>0</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278" t="s">
        <v>251</v>
      </c>
      <c r="H11" s="51" t="s">
        <v>252</v>
      </c>
      <c r="I11" s="112">
        <f>E10</f>
        <v>385</v>
      </c>
      <c r="J11" s="312" t="s">
        <v>253</v>
      </c>
      <c r="K11" s="313"/>
      <c r="L11" s="31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9"/>
      <c r="H12" s="47" t="s">
        <v>257</v>
      </c>
      <c r="I12" s="35">
        <f>IF(E10="","0",IF(AND(E7="EUC",E8=432), I11+(203-E9),IF(E10=0,0,(E10+(E8-E9)-1))))</f>
        <v>672</v>
      </c>
      <c r="J12" s="293" t="str">
        <f>IFERROR(IF(OR(E7="EUC",E7="SS"),"---",IF(OR(P6,S6),"NO 2F Tethers for RPX!",IF(OR(P8,S8),"NO 6F Tethers for RPX!","---"))),"---")</f>
        <v>---</v>
      </c>
      <c r="K12" s="294"/>
      <c r="L12" s="295"/>
      <c r="M12" s="293" t="str">
        <f>IF(E9&gt;60,"Dead Count &gt;60: Consider Downsize","---")</f>
        <v>---</v>
      </c>
      <c r="N12" s="294"/>
      <c r="O12" s="294"/>
      <c r="P12" s="294"/>
      <c r="Q12" s="294"/>
      <c r="R12" s="294"/>
      <c r="S12" s="294"/>
      <c r="T12" s="294"/>
      <c r="U12" s="295"/>
      <c r="V12" s="100"/>
      <c r="W12" s="54">
        <f>SUM(P12:U12)</f>
        <v>0</v>
      </c>
      <c r="X12" s="54"/>
      <c r="Y12" s="25"/>
      <c r="Z12" s="45">
        <v>4</v>
      </c>
      <c r="AA12" s="46">
        <v>37</v>
      </c>
      <c r="AB12" s="46">
        <v>48</v>
      </c>
      <c r="AC12" s="25"/>
      <c r="AD12" s="25"/>
    </row>
    <row r="13" spans="1:53" ht="16.5" thickTop="1" thickBot="1" x14ac:dyDescent="0.3">
      <c r="A13" s="88"/>
      <c r="B13" s="55" t="s">
        <v>258</v>
      </c>
      <c r="C13" s="56">
        <f>SUM(C7:C12)+I6</f>
        <v>288</v>
      </c>
      <c r="D13" s="31" t="s">
        <v>259</v>
      </c>
      <c r="E13" s="101" t="str">
        <f>IF(AS7="Y","DBL",IF(AS8="Y","TRPL",IF(AS9="Y","QUAD","")))</f>
        <v/>
      </c>
      <c r="F13" s="88"/>
      <c r="G13" s="192"/>
      <c r="H13" s="57"/>
      <c r="I13" s="192"/>
      <c r="J13" s="293"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4"/>
      <c r="L13" s="295"/>
      <c r="M13" s="293" t="str">
        <f>IF(AND(OR(E7="SS",E7="RPX",E7="EUC",E7="RPX-T"),(OR(C17="",C17="Field SPL"))),"Cannot have FlexNap cables without tethers","---")</f>
        <v>---</v>
      </c>
      <c r="N13" s="294"/>
      <c r="O13" s="294"/>
      <c r="P13" s="294"/>
      <c r="Q13" s="294"/>
      <c r="R13" s="294"/>
      <c r="S13" s="294"/>
      <c r="T13" s="294"/>
      <c r="U13" s="295"/>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3" t="str">
        <f>IF(AND(OR(E7="RPX", E7="RPX-T", E7="SS"),E8=216),"NO 216 For RPX, RPX-T, OR SS CABLE","---")</f>
        <v>---</v>
      </c>
      <c r="K14" s="294"/>
      <c r="L14" s="295"/>
      <c r="M14" s="293" t="str" cm="1">
        <f t="array" ref="M14">IF(AND(E7="",OR(C17:C41="FST",C17:C41="REV T",C17:C41="DBL REV",C17:C41="TPL REV", C17:C41="QD REV")),"Non-FlexNap cables cannot have tethers","---")</f>
        <v>---</v>
      </c>
      <c r="N14" s="294"/>
      <c r="O14" s="294"/>
      <c r="P14" s="294"/>
      <c r="Q14" s="294"/>
      <c r="R14" s="294"/>
      <c r="S14" s="294"/>
      <c r="T14" s="294"/>
      <c r="U14" s="295"/>
      <c r="V14" s="25"/>
      <c r="W14" s="58"/>
      <c r="X14" s="58"/>
      <c r="Y14" s="25"/>
      <c r="Z14" s="45">
        <v>6</v>
      </c>
      <c r="AA14" s="65">
        <v>61</v>
      </c>
      <c r="AB14" s="65">
        <v>72</v>
      </c>
      <c r="AC14" s="25"/>
      <c r="AD14" s="25"/>
    </row>
    <row r="15" spans="1:53" ht="15.75" customHeight="1" thickBot="1" x14ac:dyDescent="0.3">
      <c r="A15" s="88"/>
      <c r="B15" s="278" t="s">
        <v>260</v>
      </c>
      <c r="C15" s="315" t="s">
        <v>261</v>
      </c>
      <c r="D15" s="315" t="s">
        <v>262</v>
      </c>
      <c r="E15" s="317" t="s">
        <v>263</v>
      </c>
      <c r="F15" s="315" t="s">
        <v>264</v>
      </c>
      <c r="G15" s="280" t="s">
        <v>265</v>
      </c>
      <c r="H15" s="280" t="s">
        <v>266</v>
      </c>
      <c r="I15" s="280" t="s">
        <v>267</v>
      </c>
      <c r="J15" s="319" t="s">
        <v>268</v>
      </c>
      <c r="K15" s="315" t="s">
        <v>269</v>
      </c>
      <c r="L15" s="321" t="s">
        <v>270</v>
      </c>
      <c r="M15" s="323" t="s">
        <v>271</v>
      </c>
      <c r="N15" s="323"/>
      <c r="O15" s="323"/>
      <c r="P15" s="323"/>
      <c r="Q15" s="323"/>
      <c r="R15" s="323"/>
      <c r="S15" s="323"/>
      <c r="T15" s="323"/>
      <c r="U15" s="324"/>
      <c r="V15" s="107"/>
      <c r="W15" s="72"/>
      <c r="X15" s="72"/>
      <c r="Y15" s="72"/>
      <c r="Z15" s="45">
        <v>7</v>
      </c>
      <c r="AA15" s="65">
        <v>73</v>
      </c>
      <c r="AB15" s="65">
        <v>84</v>
      </c>
      <c r="AC15" s="25"/>
      <c r="AD15" s="25"/>
    </row>
    <row r="16" spans="1:53" ht="15.75" thickBot="1" x14ac:dyDescent="0.3">
      <c r="A16" s="88"/>
      <c r="B16" s="279"/>
      <c r="C16" s="316"/>
      <c r="D16" s="316"/>
      <c r="E16" s="318"/>
      <c r="F16" s="316"/>
      <c r="G16" s="281"/>
      <c r="H16" s="281"/>
      <c r="I16" s="281"/>
      <c r="J16" s="320"/>
      <c r="K16" s="316"/>
      <c r="L16" s="322"/>
      <c r="M16" s="325"/>
      <c r="N16" s="325"/>
      <c r="O16" s="325"/>
      <c r="P16" s="325"/>
      <c r="Q16" s="325"/>
      <c r="R16" s="325"/>
      <c r="S16" s="325"/>
      <c r="T16" s="325"/>
      <c r="U16" s="326"/>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72</v>
      </c>
      <c r="F17" s="32"/>
      <c r="G17" s="68" t="s">
        <v>277</v>
      </c>
      <c r="H17" s="69">
        <f>IF(I17=0,0,I17-(E17-1))</f>
        <v>601</v>
      </c>
      <c r="I17" s="70">
        <f>IF(E17=0,0,I12)</f>
        <v>672</v>
      </c>
      <c r="J17" s="71" t="s">
        <v>278</v>
      </c>
      <c r="K17" s="32"/>
      <c r="L17" s="233"/>
      <c r="M17" s="296" t="s">
        <v>413</v>
      </c>
      <c r="N17" s="296"/>
      <c r="O17" s="296"/>
      <c r="P17" s="296"/>
      <c r="Q17" s="296"/>
      <c r="R17" s="296"/>
      <c r="S17" s="296"/>
      <c r="T17" s="296"/>
      <c r="U17" s="297"/>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601-672</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216</v>
      </c>
      <c r="F18" s="32"/>
      <c r="G18" s="68" t="s">
        <v>277</v>
      </c>
      <c r="H18" s="69">
        <f t="shared" ref="H18:H41" si="9">IF(E18=0,0,I18-(E18-1))</f>
        <v>385</v>
      </c>
      <c r="I18" s="70">
        <f t="shared" ref="I18:I41" si="10">IF(E18=0,0,H17-1)</f>
        <v>600</v>
      </c>
      <c r="J18" s="73" t="str">
        <f>IF(C18="","--",IF(AND(C18&lt;&gt;"FST",C18&lt;&gt;"TCF",BA17&lt;&gt;0),BA17,"--"))</f>
        <v>--</v>
      </c>
      <c r="K18" s="32"/>
      <c r="L18" s="233"/>
      <c r="M18" s="296" t="s">
        <v>404</v>
      </c>
      <c r="N18" s="296"/>
      <c r="O18" s="296"/>
      <c r="P18" s="296"/>
      <c r="Q18" s="296"/>
      <c r="R18" s="296"/>
      <c r="S18" s="296"/>
      <c r="T18" s="296"/>
      <c r="U18" s="297"/>
      <c r="V18" s="103"/>
      <c r="W18" s="72"/>
      <c r="X18" s="72"/>
      <c r="Y18" s="72"/>
      <c r="Z18" s="45">
        <v>10</v>
      </c>
      <c r="AA18" s="46">
        <v>109</v>
      </c>
      <c r="AB18" s="46">
        <v>120</v>
      </c>
      <c r="AC18" s="72">
        <f t="shared" si="0"/>
        <v>1</v>
      </c>
      <c r="AD18" s="72">
        <f t="shared" si="1"/>
        <v>1</v>
      </c>
      <c r="AE18" s="109" t="str">
        <f t="shared" si="2"/>
        <v>385-600</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c r="F19" s="32"/>
      <c r="G19" s="75" t="s">
        <v>277</v>
      </c>
      <c r="H19" s="69">
        <f t="shared" si="9"/>
        <v>0</v>
      </c>
      <c r="I19" s="70">
        <f t="shared" si="10"/>
        <v>0</v>
      </c>
      <c r="J19" s="73" t="str">
        <f t="shared" ref="J19:J41" si="11">IF(C19="","--",IF(AND(C19&lt;&gt;"FST",C19&lt;&gt;"TCF",BA18&lt;&gt;0),BA18,"--"))</f>
        <v>--</v>
      </c>
      <c r="K19" s="32"/>
      <c r="L19" s="233"/>
      <c r="M19" s="296"/>
      <c r="N19" s="296"/>
      <c r="O19" s="296"/>
      <c r="P19" s="296"/>
      <c r="Q19" s="296"/>
      <c r="R19" s="296"/>
      <c r="S19" s="296"/>
      <c r="T19" s="296"/>
      <c r="U19" s="297"/>
      <c r="V19" s="103"/>
      <c r="W19" s="72"/>
      <c r="X19" s="72"/>
      <c r="Y19" s="72"/>
      <c r="Z19" s="45">
        <v>11</v>
      </c>
      <c r="AA19" s="46">
        <v>121</v>
      </c>
      <c r="AB19" s="46">
        <v>132</v>
      </c>
      <c r="AC19" s="72">
        <f t="shared" si="0"/>
        <v>1</v>
      </c>
      <c r="AD19" s="72">
        <f t="shared" si="1"/>
        <v>1</v>
      </c>
      <c r="AE19" s="109" t="str">
        <f t="shared" si="2"/>
        <v>0-0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96"/>
      <c r="N20" s="296"/>
      <c r="O20" s="296"/>
      <c r="P20" s="296"/>
      <c r="Q20" s="296"/>
      <c r="R20" s="296"/>
      <c r="S20" s="296"/>
      <c r="T20" s="296"/>
      <c r="U20" s="297"/>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6"/>
      <c r="N21" s="296"/>
      <c r="O21" s="296"/>
      <c r="P21" s="296"/>
      <c r="Q21" s="296"/>
      <c r="R21" s="296"/>
      <c r="S21" s="296"/>
      <c r="T21" s="296"/>
      <c r="U21" s="297"/>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6"/>
      <c r="N22" s="296"/>
      <c r="O22" s="296"/>
      <c r="P22" s="296"/>
      <c r="Q22" s="296"/>
      <c r="R22" s="296"/>
      <c r="S22" s="296"/>
      <c r="T22" s="296"/>
      <c r="U22" s="297"/>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6"/>
      <c r="N23" s="296"/>
      <c r="O23" s="296"/>
      <c r="P23" s="296"/>
      <c r="Q23" s="296"/>
      <c r="R23" s="296"/>
      <c r="S23" s="296"/>
      <c r="T23" s="296"/>
      <c r="U23" s="297"/>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6"/>
      <c r="N24" s="296"/>
      <c r="O24" s="296"/>
      <c r="P24" s="296"/>
      <c r="Q24" s="296"/>
      <c r="R24" s="296"/>
      <c r="S24" s="296"/>
      <c r="T24" s="296"/>
      <c r="U24" s="297"/>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6"/>
      <c r="N25" s="296"/>
      <c r="O25" s="296"/>
      <c r="P25" s="296"/>
      <c r="Q25" s="296"/>
      <c r="R25" s="296"/>
      <c r="S25" s="296"/>
      <c r="T25" s="296"/>
      <c r="U25" s="297"/>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6"/>
      <c r="N26" s="296"/>
      <c r="O26" s="296"/>
      <c r="P26" s="296"/>
      <c r="Q26" s="296"/>
      <c r="R26" s="296"/>
      <c r="S26" s="296"/>
      <c r="T26" s="296"/>
      <c r="U26" s="297"/>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6"/>
      <c r="N27" s="296"/>
      <c r="O27" s="296"/>
      <c r="P27" s="296"/>
      <c r="Q27" s="296"/>
      <c r="R27" s="296"/>
      <c r="S27" s="296"/>
      <c r="T27" s="296"/>
      <c r="U27" s="297"/>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6"/>
      <c r="N28" s="296"/>
      <c r="O28" s="296"/>
      <c r="P28" s="296"/>
      <c r="Q28" s="296"/>
      <c r="R28" s="296"/>
      <c r="S28" s="296"/>
      <c r="T28" s="296"/>
      <c r="U28" s="297"/>
      <c r="V28" s="103"/>
      <c r="W28" s="84">
        <f>Y28+1</f>
        <v>289</v>
      </c>
      <c r="X28" s="84"/>
      <c r="Y28" s="78">
        <f>SUM(E17:E28)</f>
        <v>288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6"/>
      <c r="N29" s="296"/>
      <c r="O29" s="296"/>
      <c r="P29" s="296"/>
      <c r="Q29" s="296"/>
      <c r="R29" s="296"/>
      <c r="S29" s="296"/>
      <c r="T29" s="296"/>
      <c r="U29" s="297"/>
      <c r="V29" s="103"/>
      <c r="W29" s="84">
        <f>Y29+1</f>
        <v>289</v>
      </c>
      <c r="X29" s="84"/>
      <c r="Y29" s="78">
        <f>SUM(E17:E29)</f>
        <v>288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6"/>
      <c r="N30" s="296"/>
      <c r="O30" s="296"/>
      <c r="P30" s="296"/>
      <c r="Q30" s="296"/>
      <c r="R30" s="296"/>
      <c r="S30" s="296"/>
      <c r="T30" s="296"/>
      <c r="U30" s="297"/>
      <c r="V30" s="103"/>
      <c r="W30" s="84">
        <f>Y30+1</f>
        <v>289</v>
      </c>
      <c r="X30" s="84"/>
      <c r="Y30" s="78">
        <f>SUM(E17:E30)</f>
        <v>288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6"/>
      <c r="N31" s="296"/>
      <c r="O31" s="296"/>
      <c r="P31" s="296"/>
      <c r="Q31" s="296"/>
      <c r="R31" s="296"/>
      <c r="S31" s="296"/>
      <c r="T31" s="296"/>
      <c r="U31" s="297"/>
      <c r="V31" s="103"/>
      <c r="W31" s="84">
        <f>Y31+1</f>
        <v>289</v>
      </c>
      <c r="X31" s="84"/>
      <c r="Y31" s="78">
        <f>SUM(E17:E31)</f>
        <v>288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6"/>
      <c r="N32" s="296"/>
      <c r="O32" s="296"/>
      <c r="P32" s="296"/>
      <c r="Q32" s="296"/>
      <c r="R32" s="296"/>
      <c r="S32" s="296"/>
      <c r="T32" s="296"/>
      <c r="U32" s="297"/>
      <c r="V32" s="103"/>
      <c r="W32" s="84">
        <f t="shared" ref="W32:W40" si="16">Y32+1</f>
        <v>289</v>
      </c>
      <c r="X32" s="84"/>
      <c r="Y32" s="78">
        <f>SUM(E17:E32)</f>
        <v>288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6"/>
      <c r="N33" s="296"/>
      <c r="O33" s="296"/>
      <c r="P33" s="296"/>
      <c r="Q33" s="296"/>
      <c r="R33" s="296"/>
      <c r="S33" s="296"/>
      <c r="T33" s="296"/>
      <c r="U33" s="297"/>
      <c r="V33" s="103"/>
      <c r="W33" s="84">
        <f t="shared" si="16"/>
        <v>289</v>
      </c>
      <c r="X33" s="84"/>
      <c r="Y33" s="78">
        <f>SUM(E17:E33)</f>
        <v>288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6"/>
      <c r="N34" s="296"/>
      <c r="O34" s="296"/>
      <c r="P34" s="296"/>
      <c r="Q34" s="296"/>
      <c r="R34" s="296"/>
      <c r="S34" s="296"/>
      <c r="T34" s="296"/>
      <c r="U34" s="297"/>
      <c r="V34" s="103"/>
      <c r="W34" s="84">
        <f t="shared" si="16"/>
        <v>289</v>
      </c>
      <c r="X34" s="84"/>
      <c r="Y34" s="78">
        <f>SUM(E17:E34)</f>
        <v>288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6"/>
      <c r="N35" s="296"/>
      <c r="O35" s="296"/>
      <c r="P35" s="296"/>
      <c r="Q35" s="296"/>
      <c r="R35" s="296"/>
      <c r="S35" s="296"/>
      <c r="T35" s="296"/>
      <c r="U35" s="297"/>
      <c r="V35" s="103"/>
      <c r="W35" s="84">
        <f t="shared" si="16"/>
        <v>289</v>
      </c>
      <c r="X35" s="84"/>
      <c r="Y35" s="78">
        <f>SUM(E17:E35)</f>
        <v>288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6"/>
      <c r="N36" s="296"/>
      <c r="O36" s="296"/>
      <c r="P36" s="296"/>
      <c r="Q36" s="296"/>
      <c r="R36" s="296"/>
      <c r="S36" s="296"/>
      <c r="T36" s="296"/>
      <c r="U36" s="297"/>
      <c r="V36" s="103"/>
      <c r="W36" s="84">
        <f t="shared" si="16"/>
        <v>289</v>
      </c>
      <c r="X36" s="84"/>
      <c r="Y36" s="78">
        <f>SUM(E17:E36)</f>
        <v>288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6"/>
      <c r="N37" s="296"/>
      <c r="O37" s="296"/>
      <c r="P37" s="296"/>
      <c r="Q37" s="296"/>
      <c r="R37" s="296"/>
      <c r="S37" s="296"/>
      <c r="T37" s="296"/>
      <c r="U37" s="297"/>
      <c r="V37" s="103"/>
      <c r="W37" s="84">
        <f t="shared" si="16"/>
        <v>289</v>
      </c>
      <c r="X37" s="84"/>
      <c r="Y37" s="78">
        <f>SUM(E17:E37)</f>
        <v>288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6"/>
      <c r="N38" s="296"/>
      <c r="O38" s="296"/>
      <c r="P38" s="296"/>
      <c r="Q38" s="296"/>
      <c r="R38" s="296"/>
      <c r="S38" s="296"/>
      <c r="T38" s="296"/>
      <c r="U38" s="297"/>
      <c r="V38" s="103"/>
      <c r="W38" s="84">
        <f t="shared" si="16"/>
        <v>289</v>
      </c>
      <c r="X38" s="84"/>
      <c r="Y38" s="78">
        <f>SUM(E17:E38)</f>
        <v>288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6"/>
      <c r="N39" s="296"/>
      <c r="O39" s="296"/>
      <c r="P39" s="296"/>
      <c r="Q39" s="296"/>
      <c r="R39" s="296"/>
      <c r="S39" s="296"/>
      <c r="T39" s="296"/>
      <c r="U39" s="297"/>
      <c r="V39" s="103"/>
      <c r="W39" s="84">
        <f t="shared" si="16"/>
        <v>289</v>
      </c>
      <c r="X39" s="84"/>
      <c r="Y39" s="78">
        <f>SUM(E17:E39)</f>
        <v>288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6"/>
      <c r="N40" s="296"/>
      <c r="O40" s="296"/>
      <c r="P40" s="296"/>
      <c r="Q40" s="296"/>
      <c r="R40" s="296"/>
      <c r="S40" s="296"/>
      <c r="T40" s="296"/>
      <c r="U40" s="297"/>
      <c r="V40" s="103"/>
      <c r="W40" s="84">
        <f t="shared" si="16"/>
        <v>289</v>
      </c>
      <c r="X40" s="84"/>
      <c r="Y40" s="78">
        <f>SUM(E17:E40)</f>
        <v>288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6"/>
      <c r="N41" s="296"/>
      <c r="O41" s="296"/>
      <c r="P41" s="296"/>
      <c r="Q41" s="296"/>
      <c r="R41" s="296"/>
      <c r="S41" s="296"/>
      <c r="T41" s="296"/>
      <c r="U41" s="297"/>
      <c r="V41" s="103"/>
      <c r="W41" s="72"/>
      <c r="X41" s="72"/>
      <c r="Y41" s="78">
        <f>SUM(E17:E41)</f>
        <v>288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2" t="s">
        <v>303</v>
      </c>
      <c r="C42" s="284"/>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5" t="s">
        <v>222</v>
      </c>
      <c r="C47" s="286"/>
      <c r="D47" s="287" t="s">
        <v>223</v>
      </c>
      <c r="E47" s="288"/>
      <c r="F47" s="88"/>
      <c r="G47" s="289" t="s">
        <v>224</v>
      </c>
      <c r="H47" s="290"/>
      <c r="I47" s="28">
        <f>SUM(E58:E82)</f>
        <v>216</v>
      </c>
      <c r="J47" s="291" t="s">
        <v>225</v>
      </c>
      <c r="K47" s="292"/>
      <c r="L47" s="288"/>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8" t="s">
        <v>226</v>
      </c>
      <c r="AA47" s="299"/>
      <c r="AB47" s="300"/>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RPX</v>
      </c>
      <c r="F48" s="88"/>
      <c r="G48" s="301" t="s">
        <v>230</v>
      </c>
      <c r="H48" s="288"/>
      <c r="I48" s="33">
        <f>E49-I47</f>
        <v>0</v>
      </c>
      <c r="J48" s="302" t="s">
        <v>231</v>
      </c>
      <c r="K48" s="303"/>
      <c r="L48" s="34">
        <f>I52</f>
        <v>385</v>
      </c>
      <c r="M48" s="196">
        <v>4</v>
      </c>
      <c r="N48" s="35">
        <f>SUM(AI48,AI59)</f>
        <v>0</v>
      </c>
      <c r="O48" s="35">
        <v>0</v>
      </c>
      <c r="P48" s="35">
        <f>SUM(AJ48,AJ59)</f>
        <v>3</v>
      </c>
      <c r="Q48" s="35">
        <v>0</v>
      </c>
      <c r="R48" s="35">
        <f>COUNTIFS($E58:$E82,"4",$F58:$F82,"Pole",$C58:$C82,"FST")</f>
        <v>3</v>
      </c>
      <c r="S48" s="35">
        <f>SUM(AL48,AK59)</f>
        <v>0</v>
      </c>
      <c r="T48" s="35">
        <v>0</v>
      </c>
      <c r="U48" s="35">
        <f>SUM(AK48,AL59)</f>
        <v>0</v>
      </c>
      <c r="V48" s="35">
        <v>0</v>
      </c>
      <c r="W48" s="34">
        <f>COUNTIFS($E58:$E82,"4",$F58:$F82,"HH",$C58:$C82,"FST")</f>
        <v>0</v>
      </c>
      <c r="X48" s="35">
        <f>COUNTIFS($E58:$E82,"4",$F58:$F82,"Ped",$C58:$C82,"FST")</f>
        <v>0</v>
      </c>
      <c r="Y48" s="25"/>
      <c r="Z48" s="304" t="s">
        <v>232</v>
      </c>
      <c r="AA48" s="306" t="s">
        <v>233</v>
      </c>
      <c r="AB48" s="307"/>
      <c r="AC48" s="25"/>
      <c r="AD48" s="25"/>
      <c r="AH48" s="109">
        <v>4</v>
      </c>
      <c r="AI48" s="109" t="str">
        <f>IF($E48="SS",COUNTIFS($C58:$C82,"FST",$E58:$E82,"4"),"0")</f>
        <v>0</v>
      </c>
      <c r="AJ48" s="109">
        <f>IF($E48="RPX",COUNTIFS($C58:$C82,"FST",$E58:$E82,"4"),"0")</f>
        <v>3</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310" t="s">
        <v>237</v>
      </c>
      <c r="H49" s="311"/>
      <c r="I49" s="35">
        <f>IF(E49=0,0,12-(MOD(I47,12)))</f>
        <v>12</v>
      </c>
      <c r="J49" s="302" t="s">
        <v>238</v>
      </c>
      <c r="K49" s="303"/>
      <c r="L49" s="39">
        <f>I53-I47</f>
        <v>384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5"/>
      <c r="AA49" s="308"/>
      <c r="AB49" s="309"/>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78" t="s">
        <v>242</v>
      </c>
      <c r="H50" s="43" t="s">
        <v>243</v>
      </c>
      <c r="I50" s="35">
        <f>IF(E50&lt;&gt;0,1,0)</f>
        <v>0</v>
      </c>
      <c r="J50" s="310" t="s">
        <v>244</v>
      </c>
      <c r="K50" s="311"/>
      <c r="L50" s="44">
        <f>'Cable Calculator'!I3</f>
        <v>1196</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385</v>
      </c>
      <c r="F51" s="88"/>
      <c r="G51" s="279"/>
      <c r="H51" s="47" t="s">
        <v>248</v>
      </c>
      <c r="I51" s="35">
        <f>IF(E50&lt;&gt;0,E50,0)</f>
        <v>0</v>
      </c>
      <c r="J51" s="194"/>
      <c r="K51" s="195"/>
      <c r="L51" s="48"/>
      <c r="M51" s="196">
        <v>12</v>
      </c>
      <c r="N51" s="35" t="str">
        <f>IF($E48="SS",SUM(AI51,AJ62,AM83,AO83,AQ83),"0")</f>
        <v>0</v>
      </c>
      <c r="O51" s="35" t="str">
        <f>IF($E48="SS",SUM(AN83,AP83,AR83),"0")</f>
        <v>0</v>
      </c>
      <c r="P51" s="35">
        <f>IF($E48="RPX",SUM(AJ51,AJ62,AM83,AO83,AQ83),"0")</f>
        <v>2</v>
      </c>
      <c r="Q51" s="35">
        <f>IF($E48="RPX",SUM(AN83,AP83,AR83),"0")</f>
        <v>0</v>
      </c>
      <c r="R51" s="35">
        <f>COUNTIFS($E58:$E82,"12",$F58:$F82,"Pole",$C58:$C82,"FST")</f>
        <v>1</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1</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18</v>
      </c>
      <c r="F52" s="88"/>
      <c r="G52" s="278" t="s">
        <v>251</v>
      </c>
      <c r="H52" s="51" t="s">
        <v>252</v>
      </c>
      <c r="I52" s="112">
        <f>E51</f>
        <v>385</v>
      </c>
      <c r="J52" s="312" t="s">
        <v>253</v>
      </c>
      <c r="K52" s="313"/>
      <c r="L52" s="31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9"/>
      <c r="H53" s="47" t="s">
        <v>257</v>
      </c>
      <c r="I53" s="35">
        <f>IF(E51="","0",IF(AND(E48="EUC",E49=432), I52+(203-E50),IF(E51=0,0,(E51+(E49-E50)-1))))</f>
        <v>600</v>
      </c>
      <c r="J53" s="293" t="str">
        <f>IFERROR(IF(OR(E48="EUC",E48="SS"),"---",IF(OR(P47,S47),"NO 2F Tethers for RPX!",IF(OR(P49,S49),"NO 6F Tethers for RPX!","---"))),"---")</f>
        <v>---</v>
      </c>
      <c r="K53" s="294"/>
      <c r="L53" s="295"/>
      <c r="M53" s="293" t="str">
        <f>IF(E50&gt;60,"Dead Count &gt;60: Consider Downsize","---")</f>
        <v>---</v>
      </c>
      <c r="N53" s="294"/>
      <c r="O53" s="294"/>
      <c r="P53" s="294"/>
      <c r="Q53" s="294"/>
      <c r="R53" s="294"/>
      <c r="S53" s="294"/>
      <c r="T53" s="294"/>
      <c r="U53" s="295"/>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216</v>
      </c>
      <c r="D54" s="31" t="s">
        <v>259</v>
      </c>
      <c r="E54" s="101" t="str">
        <f>IF(AS48="Y","DBL",IF(AS49="Y","TRPL",IF(AS50="Y","QUAD","")))</f>
        <v/>
      </c>
      <c r="F54" s="88"/>
      <c r="G54" s="192"/>
      <c r="H54" s="57"/>
      <c r="I54" s="192"/>
      <c r="J54" s="293"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4"/>
      <c r="L54" s="295"/>
      <c r="M54" s="293" t="str">
        <f>IF(AND(OR(E48="SS",E48="RPX",E48="EUC",E48="RPX-T"),(OR(C58="",C58="Field SPL"))),"Cannot have FlexNap cables without tethers","---")</f>
        <v>---</v>
      </c>
      <c r="N54" s="294"/>
      <c r="O54" s="294"/>
      <c r="P54" s="294"/>
      <c r="Q54" s="294"/>
      <c r="R54" s="294"/>
      <c r="S54" s="294"/>
      <c r="T54" s="294"/>
      <c r="U54" s="295"/>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3" t="str">
        <f>IF(AND(OR(E48="RPX", E48="RPX-T", E48="SS"),E49=216),"NO 216 For RPX, RPX-T, OR SS CABLE","---")</f>
        <v>NO 216 For RPX, RPX-T, OR SS CABLE</v>
      </c>
      <c r="K55" s="294"/>
      <c r="L55" s="295"/>
      <c r="M55" s="293" t="str" cm="1">
        <f t="array" ref="M55">IF(AND(E48="",OR(C58:C82="FST",C58:C82="REV T",C58:C82="DBL REV",C58:C82="TPL REV", C58:C82="QD REV")),"Non-FlexNap cables cannot have tethers","---")</f>
        <v>---</v>
      </c>
      <c r="N55" s="294"/>
      <c r="O55" s="294"/>
      <c r="P55" s="294"/>
      <c r="Q55" s="294"/>
      <c r="R55" s="294"/>
      <c r="S55" s="294"/>
      <c r="T55" s="294"/>
      <c r="U55" s="295"/>
      <c r="V55" s="25"/>
      <c r="W55" s="58"/>
      <c r="X55" s="58"/>
      <c r="Y55" s="25"/>
      <c r="Z55" s="45">
        <v>6</v>
      </c>
      <c r="AA55" s="65">
        <v>61</v>
      </c>
      <c r="AB55" s="65">
        <v>72</v>
      </c>
      <c r="AC55" s="25"/>
      <c r="AD55" s="25"/>
      <c r="BA55" s="226"/>
    </row>
    <row r="56" spans="1:53" ht="15.75" customHeight="1" thickBot="1" x14ac:dyDescent="0.3">
      <c r="A56" s="88"/>
      <c r="B56" s="278" t="s">
        <v>260</v>
      </c>
      <c r="C56" s="315" t="s">
        <v>261</v>
      </c>
      <c r="D56" s="315" t="s">
        <v>262</v>
      </c>
      <c r="E56" s="317" t="s">
        <v>263</v>
      </c>
      <c r="F56" s="315" t="s">
        <v>264</v>
      </c>
      <c r="G56" s="280" t="s">
        <v>265</v>
      </c>
      <c r="H56" s="280" t="s">
        <v>266</v>
      </c>
      <c r="I56" s="280" t="s">
        <v>267</v>
      </c>
      <c r="J56" s="319" t="s">
        <v>268</v>
      </c>
      <c r="K56" s="315" t="s">
        <v>269</v>
      </c>
      <c r="L56" s="321" t="s">
        <v>270</v>
      </c>
      <c r="M56" s="323" t="s">
        <v>271</v>
      </c>
      <c r="N56" s="323"/>
      <c r="O56" s="323"/>
      <c r="P56" s="323"/>
      <c r="Q56" s="323"/>
      <c r="R56" s="323"/>
      <c r="S56" s="323"/>
      <c r="T56" s="323"/>
      <c r="U56" s="324"/>
      <c r="V56" s="107"/>
      <c r="W56" s="72"/>
      <c r="X56" s="72"/>
      <c r="Y56" s="72"/>
      <c r="Z56" s="45">
        <v>7</v>
      </c>
      <c r="AA56" s="65">
        <v>73</v>
      </c>
      <c r="AB56" s="65">
        <v>84</v>
      </c>
      <c r="AC56" s="25"/>
      <c r="AD56" s="25"/>
      <c r="BA56" s="228"/>
    </row>
    <row r="57" spans="1:53" ht="15.75" thickBot="1" x14ac:dyDescent="0.3">
      <c r="A57" s="88"/>
      <c r="B57" s="279"/>
      <c r="C57" s="316"/>
      <c r="D57" s="316"/>
      <c r="E57" s="318"/>
      <c r="F57" s="316"/>
      <c r="G57" s="281"/>
      <c r="H57" s="281"/>
      <c r="I57" s="281"/>
      <c r="J57" s="320"/>
      <c r="K57" s="316"/>
      <c r="L57" s="322"/>
      <c r="M57" s="325"/>
      <c r="N57" s="325"/>
      <c r="O57" s="325"/>
      <c r="P57" s="325"/>
      <c r="Q57" s="325"/>
      <c r="R57" s="325"/>
      <c r="S57" s="325"/>
      <c r="T57" s="325"/>
      <c r="U57" s="326"/>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781</v>
      </c>
      <c r="E58" s="32">
        <v>4</v>
      </c>
      <c r="F58" s="32" t="s">
        <v>483</v>
      </c>
      <c r="G58" s="68" t="s">
        <v>277</v>
      </c>
      <c r="H58" s="69">
        <f>IF(I58=0,0,I58-(E58-1))</f>
        <v>597</v>
      </c>
      <c r="I58" s="70">
        <f>IF(E58=0,0,I53)</f>
        <v>600</v>
      </c>
      <c r="J58" s="71" t="s">
        <v>278</v>
      </c>
      <c r="K58" s="32"/>
      <c r="L58" s="233"/>
      <c r="M58" s="296"/>
      <c r="N58" s="296"/>
      <c r="O58" s="296"/>
      <c r="P58" s="296"/>
      <c r="Q58" s="296"/>
      <c r="R58" s="296"/>
      <c r="S58" s="296"/>
      <c r="T58" s="296"/>
      <c r="U58" s="297"/>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597-600</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782</v>
      </c>
      <c r="E59" s="32">
        <v>4</v>
      </c>
      <c r="F59" s="32" t="s">
        <v>483</v>
      </c>
      <c r="G59" s="68" t="s">
        <v>277</v>
      </c>
      <c r="H59" s="69">
        <f t="shared" ref="H59:H82" si="26">IF(E59=0,0,I59-(E59-1))</f>
        <v>593</v>
      </c>
      <c r="I59" s="70">
        <f t="shared" ref="I59:I82" si="27">IF(E59=0,0,H58-1)</f>
        <v>596</v>
      </c>
      <c r="J59" s="73" t="str">
        <f>IF(C59="","--",IF(AND(C59&lt;&gt;"FST",C59&lt;&gt;"TCF",BA58&lt;&gt;0),BA58,"--"))</f>
        <v>--</v>
      </c>
      <c r="K59" s="32"/>
      <c r="L59" s="233"/>
      <c r="M59" s="296"/>
      <c r="N59" s="296"/>
      <c r="O59" s="296"/>
      <c r="P59" s="296"/>
      <c r="Q59" s="296"/>
      <c r="R59" s="296"/>
      <c r="S59" s="296"/>
      <c r="T59" s="296"/>
      <c r="U59" s="297"/>
      <c r="V59" s="103"/>
      <c r="W59" s="72"/>
      <c r="X59" s="72"/>
      <c r="Y59" s="72"/>
      <c r="Z59" s="45">
        <v>10</v>
      </c>
      <c r="AA59" s="46">
        <v>109</v>
      </c>
      <c r="AB59" s="46">
        <v>120</v>
      </c>
      <c r="AC59" s="72">
        <f t="shared" si="17"/>
        <v>1</v>
      </c>
      <c r="AD59" s="72">
        <f t="shared" si="18"/>
        <v>0</v>
      </c>
      <c r="AE59" s="109" t="str">
        <f t="shared" si="19"/>
        <v>593-596</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783</v>
      </c>
      <c r="E60" s="32">
        <v>4</v>
      </c>
      <c r="F60" s="32" t="s">
        <v>483</v>
      </c>
      <c r="G60" s="75" t="s">
        <v>277</v>
      </c>
      <c r="H60" s="69">
        <f t="shared" si="26"/>
        <v>589</v>
      </c>
      <c r="I60" s="70">
        <f t="shared" si="27"/>
        <v>592</v>
      </c>
      <c r="J60" s="73" t="str">
        <f t="shared" ref="J60:J82" si="28">IF(C60="","--",IF(AND(C60&lt;&gt;"FST",C60&lt;&gt;"TCF",BA59&lt;&gt;0),BA59,"--"))</f>
        <v>--</v>
      </c>
      <c r="K60" s="32"/>
      <c r="L60" s="233"/>
      <c r="M60" s="296"/>
      <c r="N60" s="296"/>
      <c r="O60" s="296"/>
      <c r="P60" s="296"/>
      <c r="Q60" s="296"/>
      <c r="R60" s="296"/>
      <c r="S60" s="296"/>
      <c r="T60" s="296"/>
      <c r="U60" s="297"/>
      <c r="V60" s="103"/>
      <c r="W60" s="72"/>
      <c r="X60" s="72"/>
      <c r="Y60" s="72"/>
      <c r="Z60" s="45">
        <v>11</v>
      </c>
      <c r="AA60" s="46">
        <v>121</v>
      </c>
      <c r="AB60" s="46">
        <v>132</v>
      </c>
      <c r="AC60" s="72">
        <f t="shared" si="17"/>
        <v>1</v>
      </c>
      <c r="AD60" s="72">
        <f t="shared" si="18"/>
        <v>0</v>
      </c>
      <c r="AE60" s="109" t="str">
        <f t="shared" si="19"/>
        <v>589-592</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494</v>
      </c>
      <c r="D61" s="102"/>
      <c r="E61" s="32">
        <v>12</v>
      </c>
      <c r="F61" s="32"/>
      <c r="G61" s="68" t="s">
        <v>277</v>
      </c>
      <c r="H61" s="69">
        <f t="shared" si="26"/>
        <v>577</v>
      </c>
      <c r="I61" s="70">
        <f t="shared" si="27"/>
        <v>588</v>
      </c>
      <c r="J61" s="73" t="str">
        <f t="shared" si="28"/>
        <v>--</v>
      </c>
      <c r="K61" s="32"/>
      <c r="L61" s="233"/>
      <c r="M61" s="296" t="s">
        <v>412</v>
      </c>
      <c r="N61" s="296"/>
      <c r="O61" s="296"/>
      <c r="P61" s="296"/>
      <c r="Q61" s="296"/>
      <c r="R61" s="296"/>
      <c r="S61" s="296"/>
      <c r="T61" s="296"/>
      <c r="U61" s="297"/>
      <c r="V61" s="103"/>
      <c r="W61" s="72"/>
      <c r="X61" s="72"/>
      <c r="Y61" s="72"/>
      <c r="Z61" s="45">
        <v>12</v>
      </c>
      <c r="AA61" s="76">
        <v>133</v>
      </c>
      <c r="AB61" s="76">
        <v>144</v>
      </c>
      <c r="AC61" s="72">
        <f t="shared" si="17"/>
        <v>1</v>
      </c>
      <c r="AD61" s="72">
        <f t="shared" si="18"/>
        <v>1</v>
      </c>
      <c r="AE61" s="109" t="str">
        <f t="shared" si="19"/>
        <v>577-588</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1</v>
      </c>
      <c r="AN61" s="109">
        <f t="shared" si="23"/>
        <v>0</v>
      </c>
      <c r="AO61" s="109" t="str">
        <f t="shared" si="24"/>
        <v/>
      </c>
      <c r="AQ61" s="109" t="str">
        <f t="shared" si="25"/>
        <v/>
      </c>
      <c r="BA61" s="229">
        <f>MOD(SUM(E58:E62),12)</f>
        <v>0</v>
      </c>
    </row>
    <row r="62" spans="1:53" ht="15.75" thickBot="1" x14ac:dyDescent="0.3">
      <c r="A62" s="88"/>
      <c r="B62" s="66" t="s">
        <v>282</v>
      </c>
      <c r="C62" s="67" t="s">
        <v>484</v>
      </c>
      <c r="D62" s="102" t="s">
        <v>784</v>
      </c>
      <c r="E62" s="32">
        <v>12</v>
      </c>
      <c r="F62" s="32" t="s">
        <v>483</v>
      </c>
      <c r="G62" s="68" t="s">
        <v>277</v>
      </c>
      <c r="H62" s="69">
        <f t="shared" si="26"/>
        <v>565</v>
      </c>
      <c r="I62" s="70">
        <f t="shared" si="27"/>
        <v>576</v>
      </c>
      <c r="J62" s="73" t="str">
        <f t="shared" si="28"/>
        <v>--</v>
      </c>
      <c r="K62" s="32"/>
      <c r="L62" s="233"/>
      <c r="M62" s="296"/>
      <c r="N62" s="296"/>
      <c r="O62" s="296"/>
      <c r="P62" s="296"/>
      <c r="Q62" s="296"/>
      <c r="R62" s="296"/>
      <c r="S62" s="296"/>
      <c r="T62" s="296"/>
      <c r="U62" s="297"/>
      <c r="V62" s="103"/>
      <c r="W62" s="72"/>
      <c r="X62" s="72"/>
      <c r="Y62" s="72"/>
      <c r="Z62" s="45">
        <v>13</v>
      </c>
      <c r="AA62" s="77">
        <f t="shared" ref="AA62:AA67" si="29">AB61+1</f>
        <v>145</v>
      </c>
      <c r="AB62" s="77">
        <f t="shared" ref="AB62:AB67" si="30">AB61+12</f>
        <v>156</v>
      </c>
      <c r="AC62" s="72">
        <f t="shared" si="17"/>
        <v>1</v>
      </c>
      <c r="AD62" s="72">
        <f t="shared" si="18"/>
        <v>0</v>
      </c>
      <c r="AE62" s="109" t="str">
        <f t="shared" si="19"/>
        <v>565-576</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502</v>
      </c>
      <c r="D63" s="102"/>
      <c r="E63" s="32">
        <v>144</v>
      </c>
      <c r="F63" s="32"/>
      <c r="G63" s="68" t="s">
        <v>277</v>
      </c>
      <c r="H63" s="69">
        <f t="shared" si="26"/>
        <v>421</v>
      </c>
      <c r="I63" s="70">
        <f t="shared" si="27"/>
        <v>564</v>
      </c>
      <c r="J63" s="73" t="str">
        <f t="shared" si="28"/>
        <v>--</v>
      </c>
      <c r="K63" s="32"/>
      <c r="L63" s="233"/>
      <c r="M63" s="296" t="s">
        <v>405</v>
      </c>
      <c r="N63" s="296"/>
      <c r="O63" s="296"/>
      <c r="P63" s="296"/>
      <c r="Q63" s="296"/>
      <c r="R63" s="296"/>
      <c r="S63" s="296"/>
      <c r="T63" s="296"/>
      <c r="U63" s="297"/>
      <c r="V63" s="103"/>
      <c r="W63" s="72"/>
      <c r="X63" s="72"/>
      <c r="Y63" s="72"/>
      <c r="Z63" s="45">
        <v>14</v>
      </c>
      <c r="AA63" s="77">
        <f t="shared" si="29"/>
        <v>157</v>
      </c>
      <c r="AB63" s="77">
        <f t="shared" si="30"/>
        <v>168</v>
      </c>
      <c r="AC63" s="72">
        <f t="shared" si="17"/>
        <v>1</v>
      </c>
      <c r="AD63" s="72">
        <f t="shared" si="18"/>
        <v>1</v>
      </c>
      <c r="AE63" s="109" t="str">
        <f t="shared" si="19"/>
        <v>421-564</v>
      </c>
      <c r="AF63" s="109" t="str">
        <f t="shared" si="20"/>
        <v>N</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t="s">
        <v>502</v>
      </c>
      <c r="D64" s="102"/>
      <c r="E64" s="32">
        <v>36</v>
      </c>
      <c r="F64" s="32"/>
      <c r="G64" s="68" t="s">
        <v>277</v>
      </c>
      <c r="H64" s="69">
        <f t="shared" si="26"/>
        <v>385</v>
      </c>
      <c r="I64" s="70">
        <f t="shared" si="27"/>
        <v>420</v>
      </c>
      <c r="J64" s="73" t="str">
        <f t="shared" si="28"/>
        <v>--</v>
      </c>
      <c r="K64" s="32"/>
      <c r="L64" s="233"/>
      <c r="M64" s="296" t="s">
        <v>405</v>
      </c>
      <c r="N64" s="296"/>
      <c r="O64" s="296"/>
      <c r="P64" s="296"/>
      <c r="Q64" s="296"/>
      <c r="R64" s="296"/>
      <c r="S64" s="296"/>
      <c r="T64" s="296"/>
      <c r="U64" s="297"/>
      <c r="V64" s="103"/>
      <c r="W64" s="72"/>
      <c r="X64" s="72"/>
      <c r="Y64" s="72"/>
      <c r="Z64" s="45">
        <v>15</v>
      </c>
      <c r="AA64" s="77">
        <f t="shared" si="29"/>
        <v>169</v>
      </c>
      <c r="AB64" s="77">
        <f t="shared" si="30"/>
        <v>180</v>
      </c>
      <c r="AC64" s="72">
        <f t="shared" si="17"/>
        <v>1</v>
      </c>
      <c r="AD64" s="72">
        <f t="shared" si="18"/>
        <v>1</v>
      </c>
      <c r="AE64" s="109" t="str">
        <f t="shared" si="19"/>
        <v>385-420</v>
      </c>
      <c r="AF64" s="109" t="str">
        <f t="shared" si="20"/>
        <v>N</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6"/>
      <c r="N65" s="296"/>
      <c r="O65" s="296"/>
      <c r="P65" s="296"/>
      <c r="Q65" s="296"/>
      <c r="R65" s="296"/>
      <c r="S65" s="296"/>
      <c r="T65" s="296"/>
      <c r="U65" s="297"/>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6"/>
      <c r="N66" s="296"/>
      <c r="O66" s="296"/>
      <c r="P66" s="296"/>
      <c r="Q66" s="296"/>
      <c r="R66" s="296"/>
      <c r="S66" s="296"/>
      <c r="T66" s="296"/>
      <c r="U66" s="297"/>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6"/>
      <c r="N67" s="296"/>
      <c r="O67" s="296"/>
      <c r="P67" s="296"/>
      <c r="Q67" s="296"/>
      <c r="R67" s="296"/>
      <c r="S67" s="296"/>
      <c r="T67" s="296"/>
      <c r="U67" s="297"/>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6"/>
      <c r="N68" s="296"/>
      <c r="O68" s="296"/>
      <c r="P68" s="296"/>
      <c r="Q68" s="296"/>
      <c r="R68" s="296"/>
      <c r="S68" s="296"/>
      <c r="T68" s="296"/>
      <c r="U68" s="297"/>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6"/>
      <c r="N69" s="296"/>
      <c r="O69" s="296"/>
      <c r="P69" s="296"/>
      <c r="Q69" s="296"/>
      <c r="R69" s="296"/>
      <c r="S69" s="296"/>
      <c r="T69" s="296"/>
      <c r="U69" s="297"/>
      <c r="V69" s="103"/>
      <c r="W69" s="84">
        <f>Y69+1</f>
        <v>217</v>
      </c>
      <c r="X69" s="84"/>
      <c r="Y69" s="78">
        <f>SUM(E58:E69)</f>
        <v>216</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6"/>
      <c r="N70" s="296"/>
      <c r="O70" s="296"/>
      <c r="P70" s="296"/>
      <c r="Q70" s="296"/>
      <c r="R70" s="296"/>
      <c r="S70" s="296"/>
      <c r="T70" s="296"/>
      <c r="U70" s="297"/>
      <c r="V70" s="103"/>
      <c r="W70" s="84">
        <f>Y70+1</f>
        <v>217</v>
      </c>
      <c r="X70" s="84"/>
      <c r="Y70" s="78">
        <f>SUM(E58:E70)</f>
        <v>216</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6"/>
      <c r="N71" s="296"/>
      <c r="O71" s="296"/>
      <c r="P71" s="296"/>
      <c r="Q71" s="296"/>
      <c r="R71" s="296"/>
      <c r="S71" s="296"/>
      <c r="T71" s="296"/>
      <c r="U71" s="297"/>
      <c r="V71" s="103"/>
      <c r="W71" s="84">
        <f>Y71+1</f>
        <v>217</v>
      </c>
      <c r="X71" s="84"/>
      <c r="Y71" s="78">
        <f>SUM(E58:E71)</f>
        <v>216</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6"/>
      <c r="N72" s="296"/>
      <c r="O72" s="296"/>
      <c r="P72" s="296"/>
      <c r="Q72" s="296"/>
      <c r="R72" s="296"/>
      <c r="S72" s="296"/>
      <c r="T72" s="296"/>
      <c r="U72" s="297"/>
      <c r="V72" s="103"/>
      <c r="W72" s="84">
        <f>Y72+1</f>
        <v>217</v>
      </c>
      <c r="X72" s="84"/>
      <c r="Y72" s="78">
        <f>SUM(E58:E72)</f>
        <v>216</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6"/>
      <c r="N73" s="296"/>
      <c r="O73" s="296"/>
      <c r="P73" s="296"/>
      <c r="Q73" s="296"/>
      <c r="R73" s="296"/>
      <c r="S73" s="296"/>
      <c r="T73" s="296"/>
      <c r="U73" s="297"/>
      <c r="V73" s="103"/>
      <c r="W73" s="84">
        <f t="shared" ref="W73:W81" si="33">Y73+1</f>
        <v>217</v>
      </c>
      <c r="X73" s="84"/>
      <c r="Y73" s="78">
        <f>SUM(E58:E73)</f>
        <v>216</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6"/>
      <c r="N74" s="296"/>
      <c r="O74" s="296"/>
      <c r="P74" s="296"/>
      <c r="Q74" s="296"/>
      <c r="R74" s="296"/>
      <c r="S74" s="296"/>
      <c r="T74" s="296"/>
      <c r="U74" s="297"/>
      <c r="V74" s="103"/>
      <c r="W74" s="84">
        <f t="shared" si="33"/>
        <v>217</v>
      </c>
      <c r="X74" s="84"/>
      <c r="Y74" s="78">
        <f>SUM(E58:E74)</f>
        <v>216</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6"/>
      <c r="N75" s="296"/>
      <c r="O75" s="296"/>
      <c r="P75" s="296"/>
      <c r="Q75" s="296"/>
      <c r="R75" s="296"/>
      <c r="S75" s="296"/>
      <c r="T75" s="296"/>
      <c r="U75" s="297"/>
      <c r="V75" s="103"/>
      <c r="W75" s="84">
        <f t="shared" si="33"/>
        <v>217</v>
      </c>
      <c r="X75" s="84"/>
      <c r="Y75" s="78">
        <f>SUM(E58:E75)</f>
        <v>216</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6"/>
      <c r="N76" s="296"/>
      <c r="O76" s="296"/>
      <c r="P76" s="296"/>
      <c r="Q76" s="296"/>
      <c r="R76" s="296"/>
      <c r="S76" s="296"/>
      <c r="T76" s="296"/>
      <c r="U76" s="297"/>
      <c r="V76" s="103"/>
      <c r="W76" s="84">
        <f t="shared" si="33"/>
        <v>217</v>
      </c>
      <c r="X76" s="84"/>
      <c r="Y76" s="78">
        <f>SUM(E58:E76)</f>
        <v>216</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6"/>
      <c r="N77" s="296"/>
      <c r="O77" s="296"/>
      <c r="P77" s="296"/>
      <c r="Q77" s="296"/>
      <c r="R77" s="296"/>
      <c r="S77" s="296"/>
      <c r="T77" s="296"/>
      <c r="U77" s="297"/>
      <c r="V77" s="103"/>
      <c r="W77" s="84">
        <f t="shared" si="33"/>
        <v>217</v>
      </c>
      <c r="X77" s="84"/>
      <c r="Y77" s="78">
        <f>SUM(E58:E77)</f>
        <v>216</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6"/>
      <c r="N78" s="296"/>
      <c r="O78" s="296"/>
      <c r="P78" s="296"/>
      <c r="Q78" s="296"/>
      <c r="R78" s="296"/>
      <c r="S78" s="296"/>
      <c r="T78" s="296"/>
      <c r="U78" s="297"/>
      <c r="V78" s="103"/>
      <c r="W78" s="84">
        <f t="shared" si="33"/>
        <v>217</v>
      </c>
      <c r="X78" s="84"/>
      <c r="Y78" s="78">
        <f>SUM(E58:E78)</f>
        <v>216</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6"/>
      <c r="N79" s="296"/>
      <c r="O79" s="296"/>
      <c r="P79" s="296"/>
      <c r="Q79" s="296"/>
      <c r="R79" s="296"/>
      <c r="S79" s="296"/>
      <c r="T79" s="296"/>
      <c r="U79" s="297"/>
      <c r="V79" s="103"/>
      <c r="W79" s="84">
        <f t="shared" si="33"/>
        <v>217</v>
      </c>
      <c r="X79" s="84"/>
      <c r="Y79" s="78">
        <f>SUM(E58:E79)</f>
        <v>216</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6"/>
      <c r="N80" s="296"/>
      <c r="O80" s="296"/>
      <c r="P80" s="296"/>
      <c r="Q80" s="296"/>
      <c r="R80" s="296"/>
      <c r="S80" s="296"/>
      <c r="T80" s="296"/>
      <c r="U80" s="297"/>
      <c r="V80" s="103"/>
      <c r="W80" s="84">
        <f t="shared" si="33"/>
        <v>217</v>
      </c>
      <c r="X80" s="84"/>
      <c r="Y80" s="78">
        <f>SUM(E58:E80)</f>
        <v>216</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6"/>
      <c r="N81" s="296"/>
      <c r="O81" s="296"/>
      <c r="P81" s="296"/>
      <c r="Q81" s="296"/>
      <c r="R81" s="296"/>
      <c r="S81" s="296"/>
      <c r="T81" s="296"/>
      <c r="U81" s="297"/>
      <c r="V81" s="103"/>
      <c r="W81" s="84">
        <f t="shared" si="33"/>
        <v>217</v>
      </c>
      <c r="X81" s="84"/>
      <c r="Y81" s="78">
        <f>SUM(E58:E81)</f>
        <v>216</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6"/>
      <c r="N82" s="296"/>
      <c r="O82" s="296"/>
      <c r="P82" s="296"/>
      <c r="Q82" s="296"/>
      <c r="R82" s="296"/>
      <c r="S82" s="296"/>
      <c r="T82" s="296"/>
      <c r="U82" s="297"/>
      <c r="V82" s="103"/>
      <c r="W82" s="72"/>
      <c r="X82" s="72"/>
      <c r="Y82" s="78">
        <f>SUM(E58:E82)</f>
        <v>216</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282" t="s">
        <v>305</v>
      </c>
      <c r="C83" s="284"/>
      <c r="D83" s="79"/>
      <c r="E83" s="80"/>
      <c r="F83" s="80"/>
      <c r="G83" s="81"/>
      <c r="H83" s="192"/>
      <c r="I83" s="192"/>
      <c r="J83" s="192"/>
      <c r="K83" s="82"/>
      <c r="L83" s="282" t="s">
        <v>306</v>
      </c>
      <c r="M83" s="283"/>
      <c r="N83" s="283"/>
      <c r="O83" s="283"/>
      <c r="P83" s="283"/>
      <c r="Q83" s="283"/>
      <c r="R83" s="283"/>
      <c r="S83" s="283"/>
      <c r="T83" s="283"/>
      <c r="U83" s="284"/>
      <c r="V83" s="104"/>
      <c r="W83" s="72"/>
      <c r="X83" s="72"/>
      <c r="Y83" s="72"/>
      <c r="Z83" s="72"/>
      <c r="AA83" s="72" t="str">
        <f t="shared" si="32"/>
        <v/>
      </c>
      <c r="AB83" s="72"/>
      <c r="AC83" s="72">
        <f>SUM(AC58:AC82)</f>
        <v>25</v>
      </c>
      <c r="AD83" s="72">
        <f>SUM(AD58:AD82)</f>
        <v>21</v>
      </c>
      <c r="AM83" s="109">
        <f>SUM(AM58:AM82)</f>
        <v>1</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2" t="s">
        <v>307</v>
      </c>
      <c r="C84" s="284"/>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5" t="s">
        <v>222</v>
      </c>
      <c r="C88" s="286"/>
      <c r="D88" s="287" t="s">
        <v>223</v>
      </c>
      <c r="E88" s="288"/>
      <c r="F88" s="88"/>
      <c r="G88" s="289" t="s">
        <v>224</v>
      </c>
      <c r="H88" s="290"/>
      <c r="I88" s="28">
        <f>SUM(E99:E123)</f>
        <v>180</v>
      </c>
      <c r="J88" s="291" t="s">
        <v>225</v>
      </c>
      <c r="K88" s="292"/>
      <c r="L88" s="288"/>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8" t="s">
        <v>226</v>
      </c>
      <c r="AA88" s="299"/>
      <c r="AB88" s="300"/>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1" t="s">
        <v>230</v>
      </c>
      <c r="H89" s="288"/>
      <c r="I89" s="33">
        <f>E90-I88</f>
        <v>36</v>
      </c>
      <c r="J89" s="302" t="s">
        <v>231</v>
      </c>
      <c r="K89" s="303"/>
      <c r="L89" s="34">
        <f>I93</f>
        <v>385</v>
      </c>
      <c r="M89" s="196">
        <v>4</v>
      </c>
      <c r="N89" s="35">
        <f>SUM(AI89,AI100)</f>
        <v>0</v>
      </c>
      <c r="O89" s="35">
        <v>0</v>
      </c>
      <c r="P89" s="35">
        <f>SUM(AJ89,AJ100)</f>
        <v>0</v>
      </c>
      <c r="Q89" s="35">
        <v>0</v>
      </c>
      <c r="R89" s="35">
        <f>COUNTIFS($E99:$E123,"4",$F99:$F123,"Pole",$C99:$C123,"FST")</f>
        <v>0</v>
      </c>
      <c r="S89" s="35">
        <f>SUM(AL89,AK100)</f>
        <v>0</v>
      </c>
      <c r="T89" s="35">
        <v>0</v>
      </c>
      <c r="U89" s="35">
        <f>SUM(AK89,AL100)</f>
        <v>0</v>
      </c>
      <c r="V89" s="35">
        <v>0</v>
      </c>
      <c r="W89" s="34">
        <f>COUNTIFS($E99:$E123,"4",$F99:$F123,"HH",$C99:$C123,"FST")</f>
        <v>0</v>
      </c>
      <c r="X89" s="35">
        <f>COUNTIFS($E99:$E123,"4",$F99:$F123,"Ped",$C99:$C123,"FST")</f>
        <v>0</v>
      </c>
      <c r="Y89" s="25"/>
      <c r="Z89" s="304" t="s">
        <v>232</v>
      </c>
      <c r="AA89" s="306" t="s">
        <v>233</v>
      </c>
      <c r="AB89" s="307"/>
      <c r="AC89" s="25"/>
      <c r="AD89" s="25"/>
      <c r="AH89" s="109">
        <v>4</v>
      </c>
      <c r="AI89" s="109" t="str">
        <f>IF($E89="SS",COUNTIFS($C99:$C123,"FST",$E99:$E123,"4"),"0")</f>
        <v>0</v>
      </c>
      <c r="AJ89" s="109" t="str">
        <f>IF($E89="RPX",COUNTIFS($C99:$C123,"FST",$E99:$E123,"4"),"0")</f>
        <v>0</v>
      </c>
      <c r="AK89" s="109">
        <f>IF($E89="EUC",COUNTIFS($C99:$C123,"FST",$E99:$E123,"4"),"0")</f>
        <v>0</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216</v>
      </c>
      <c r="F90" s="88"/>
      <c r="G90" s="310" t="s">
        <v>237</v>
      </c>
      <c r="H90" s="311"/>
      <c r="I90" s="35">
        <f>IF(E90=0,0,12-(MOD(I88,12)))</f>
        <v>12</v>
      </c>
      <c r="J90" s="302" t="s">
        <v>238</v>
      </c>
      <c r="K90" s="303"/>
      <c r="L90" s="39">
        <f>I94-I88</f>
        <v>384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5"/>
      <c r="AA90" s="308"/>
      <c r="AB90" s="309"/>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36</v>
      </c>
      <c r="F91" s="88"/>
      <c r="G91" s="278" t="s">
        <v>242</v>
      </c>
      <c r="H91" s="43" t="s">
        <v>243</v>
      </c>
      <c r="I91" s="35">
        <f>IF(E91&lt;&gt;0,1,0)</f>
        <v>1</v>
      </c>
      <c r="J91" s="310" t="s">
        <v>244</v>
      </c>
      <c r="K91" s="311"/>
      <c r="L91" s="44">
        <f>'Cable Calculator'!N3</f>
        <v>1349</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385</v>
      </c>
      <c r="F92" s="88"/>
      <c r="G92" s="279"/>
      <c r="H92" s="47" t="s">
        <v>248</v>
      </c>
      <c r="I92" s="35">
        <f>IF(E91&lt;&gt;0,E91,0)</f>
        <v>36</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2</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18</v>
      </c>
      <c r="F93" s="88"/>
      <c r="G93" s="278" t="s">
        <v>251</v>
      </c>
      <c r="H93" s="51" t="s">
        <v>252</v>
      </c>
      <c r="I93" s="112">
        <f>E92</f>
        <v>385</v>
      </c>
      <c r="J93" s="312" t="s">
        <v>253</v>
      </c>
      <c r="K93" s="313"/>
      <c r="L93" s="31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9"/>
      <c r="H94" s="47" t="s">
        <v>257</v>
      </c>
      <c r="I94" s="35">
        <f>IF(E92="","0",IF(AND(E89="EUC",E90=432), I93+(203-E91),IF(E92=0,0,(E92+(E90-E91)-1))))</f>
        <v>564</v>
      </c>
      <c r="J94" s="293" t="str">
        <f>IFERROR(IF(OR(E89="EUC",E89="SS"),"---",IF(OR(P88,S88),"NO 2F Tethers for RPX!",IF(OR(P90,S90),"NO 6F Tethers for RPX!","---"))),"---")</f>
        <v>---</v>
      </c>
      <c r="K94" s="294"/>
      <c r="L94" s="295"/>
      <c r="M94" s="293" t="str">
        <f>IF(E91&gt;60,"Dead Count &gt;60: Consider Downsize","---")</f>
        <v>---</v>
      </c>
      <c r="N94" s="294"/>
      <c r="O94" s="294"/>
      <c r="P94" s="294"/>
      <c r="Q94" s="294"/>
      <c r="R94" s="294"/>
      <c r="S94" s="294"/>
      <c r="T94" s="294"/>
      <c r="U94" s="295"/>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180</v>
      </c>
      <c r="D95" s="31" t="s">
        <v>259</v>
      </c>
      <c r="E95" s="101" t="str">
        <f>IF(AS89="Y","DBL",IF(AS90="Y","TRPL",IF(AS91="Y","QUAD","")))</f>
        <v/>
      </c>
      <c r="F95" s="88"/>
      <c r="G95" s="192"/>
      <c r="H95" s="57"/>
      <c r="I95" s="192"/>
      <c r="J95" s="293"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4"/>
      <c r="L95" s="295"/>
      <c r="M95" s="293" t="str">
        <f>IF(AND(OR(E89="SS",E89="RPX",E89="EUC",E89="RPX-T"),(OR(C99="",C99="Field SPL"))),"Cannot have FlexNap cables without tethers","---")</f>
        <v>---</v>
      </c>
      <c r="N95" s="294"/>
      <c r="O95" s="294"/>
      <c r="P95" s="294"/>
      <c r="Q95" s="294"/>
      <c r="R95" s="294"/>
      <c r="S95" s="294"/>
      <c r="T95" s="294"/>
      <c r="U95" s="295"/>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3" t="str">
        <f>IF(AND(OR(E89="RPX", E89="RPX-T", E89="SS"),E90=216),"NO 216 For RPX, RPX-T, OR SS CABLE","---")</f>
        <v>---</v>
      </c>
      <c r="K96" s="294"/>
      <c r="L96" s="295"/>
      <c r="M96" s="293" t="str" cm="1">
        <f t="array" ref="M96">IF(AND(E89="",OR(C99:C123="FST",C99:C123="REV T",C99:C123="DBL REV",C99:C123="TPL REV", C99:C123="QD REV")),"Non-FlexNap cables cannot have tethers","---")</f>
        <v>---</v>
      </c>
      <c r="N96" s="294"/>
      <c r="O96" s="294"/>
      <c r="P96" s="294"/>
      <c r="Q96" s="294"/>
      <c r="R96" s="294"/>
      <c r="S96" s="294"/>
      <c r="T96" s="294"/>
      <c r="U96" s="295"/>
      <c r="V96" s="25"/>
      <c r="W96" s="58"/>
      <c r="X96" s="58"/>
      <c r="Y96" s="25"/>
      <c r="Z96" s="45">
        <v>6</v>
      </c>
      <c r="AA96" s="65">
        <v>61</v>
      </c>
      <c r="AB96" s="65">
        <v>72</v>
      </c>
      <c r="AC96" s="25"/>
      <c r="AD96" s="25"/>
      <c r="BA96" s="226"/>
    </row>
    <row r="97" spans="1:53" ht="15.75" customHeight="1" thickBot="1" x14ac:dyDescent="0.3">
      <c r="A97" s="88"/>
      <c r="B97" s="278" t="s">
        <v>260</v>
      </c>
      <c r="C97" s="315" t="s">
        <v>261</v>
      </c>
      <c r="D97" s="315" t="s">
        <v>262</v>
      </c>
      <c r="E97" s="317" t="s">
        <v>263</v>
      </c>
      <c r="F97" s="315" t="s">
        <v>264</v>
      </c>
      <c r="G97" s="280" t="s">
        <v>265</v>
      </c>
      <c r="H97" s="280" t="s">
        <v>266</v>
      </c>
      <c r="I97" s="280" t="s">
        <v>267</v>
      </c>
      <c r="J97" s="319" t="s">
        <v>268</v>
      </c>
      <c r="K97" s="315" t="s">
        <v>269</v>
      </c>
      <c r="L97" s="321" t="s">
        <v>270</v>
      </c>
      <c r="M97" s="323" t="s">
        <v>271</v>
      </c>
      <c r="N97" s="323"/>
      <c r="O97" s="323"/>
      <c r="P97" s="323"/>
      <c r="Q97" s="323"/>
      <c r="R97" s="323"/>
      <c r="S97" s="323"/>
      <c r="T97" s="323"/>
      <c r="U97" s="324"/>
      <c r="V97" s="107"/>
      <c r="W97" s="72"/>
      <c r="X97" s="72"/>
      <c r="Y97" s="72"/>
      <c r="Z97" s="45">
        <v>7</v>
      </c>
      <c r="AA97" s="65">
        <v>73</v>
      </c>
      <c r="AB97" s="65">
        <v>84</v>
      </c>
      <c r="AC97" s="25"/>
      <c r="AD97" s="25"/>
      <c r="BA97" s="228"/>
    </row>
    <row r="98" spans="1:53" ht="15.75" thickBot="1" x14ac:dyDescent="0.3">
      <c r="A98" s="88"/>
      <c r="B98" s="279"/>
      <c r="C98" s="316"/>
      <c r="D98" s="316"/>
      <c r="E98" s="318"/>
      <c r="F98" s="316"/>
      <c r="G98" s="281"/>
      <c r="H98" s="281"/>
      <c r="I98" s="281"/>
      <c r="J98" s="320"/>
      <c r="K98" s="316"/>
      <c r="L98" s="322"/>
      <c r="M98" s="325"/>
      <c r="N98" s="325"/>
      <c r="O98" s="325"/>
      <c r="P98" s="325"/>
      <c r="Q98" s="325"/>
      <c r="R98" s="325"/>
      <c r="S98" s="325"/>
      <c r="T98" s="325"/>
      <c r="U98" s="326"/>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499</v>
      </c>
      <c r="D99" s="102"/>
      <c r="E99" s="32">
        <v>12</v>
      </c>
      <c r="F99" s="32"/>
      <c r="G99" s="68" t="s">
        <v>277</v>
      </c>
      <c r="H99" s="69">
        <f>IF(I99=0,0,I99-(E99-1))</f>
        <v>553</v>
      </c>
      <c r="I99" s="70">
        <f>IF(E99=0,0,I94)</f>
        <v>564</v>
      </c>
      <c r="J99" s="71" t="s">
        <v>278</v>
      </c>
      <c r="K99" s="32"/>
      <c r="L99" s="233"/>
      <c r="M99" s="296" t="s">
        <v>410</v>
      </c>
      <c r="N99" s="296"/>
      <c r="O99" s="296"/>
      <c r="P99" s="296"/>
      <c r="Q99" s="296"/>
      <c r="R99" s="296"/>
      <c r="S99" s="296"/>
      <c r="T99" s="296"/>
      <c r="U99" s="297"/>
      <c r="V99" s="103"/>
      <c r="W99" s="72"/>
      <c r="X99" s="72"/>
      <c r="Y99" s="72"/>
      <c r="Z99" s="45">
        <v>9</v>
      </c>
      <c r="AA99" s="46">
        <v>97</v>
      </c>
      <c r="AB99" s="46">
        <v>108</v>
      </c>
      <c r="AC99" s="72">
        <f t="shared" ref="AC99:AC123" si="34">IF(B99&lt;&gt;"FST",1,0)</f>
        <v>1</v>
      </c>
      <c r="AD99" s="72">
        <f t="shared" ref="AD99:AD123" si="35">IF(C99&lt;&gt;"FST",1,0)</f>
        <v>1</v>
      </c>
      <c r="AE99" s="109" t="str">
        <f t="shared" ref="AE99:AE123" si="36">CONCATENATE(H99,"-",I99)</f>
        <v>553-564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0.5</v>
      </c>
      <c r="AN99" s="109">
        <f t="shared" ref="AN99:AN123" si="40">VALUE(IF(C99="FST","0",IF(C99="REV T","0",IF(C99="DBL REV",".5","0"))))</f>
        <v>0.5</v>
      </c>
      <c r="AO99" s="109" t="str">
        <f t="shared" ref="AO99:AO123" si="41">IF(C99="TPL REV","Y","")</f>
        <v/>
      </c>
      <c r="AQ99" s="109" t="str">
        <f t="shared" ref="AQ99:AQ123" si="42">IF(C99="QD REV","Y","")</f>
        <v/>
      </c>
      <c r="BA99" s="229">
        <f>MOD(E99,12)</f>
        <v>0</v>
      </c>
    </row>
    <row r="100" spans="1:53" ht="15.75" thickBot="1" x14ac:dyDescent="0.3">
      <c r="A100" s="88"/>
      <c r="B100" s="66" t="s">
        <v>279</v>
      </c>
      <c r="C100" s="67" t="s">
        <v>499</v>
      </c>
      <c r="D100" s="102"/>
      <c r="E100" s="32">
        <v>12</v>
      </c>
      <c r="F100" s="32"/>
      <c r="G100" s="68" t="s">
        <v>277</v>
      </c>
      <c r="H100" s="69">
        <f t="shared" ref="H100:H123" si="43">IF(E100=0,0,I100-(E100-1))</f>
        <v>541</v>
      </c>
      <c r="I100" s="70">
        <f t="shared" ref="I100:I123" si="44">IF(E100=0,0,H99-1)</f>
        <v>552</v>
      </c>
      <c r="J100" s="73" t="str">
        <f>IF(C100="","--",IF(AND(C100&lt;&gt;"FST",C100&lt;&gt;"TCF",BA99&lt;&gt;0),BA99,"--"))</f>
        <v>--</v>
      </c>
      <c r="K100" s="32"/>
      <c r="L100" s="233"/>
      <c r="M100" s="296" t="s">
        <v>410</v>
      </c>
      <c r="N100" s="296"/>
      <c r="O100" s="296"/>
      <c r="P100" s="296"/>
      <c r="Q100" s="296"/>
      <c r="R100" s="296"/>
      <c r="S100" s="296"/>
      <c r="T100" s="296"/>
      <c r="U100" s="297"/>
      <c r="V100" s="103"/>
      <c r="W100" s="72"/>
      <c r="X100" s="72"/>
      <c r="Y100" s="72"/>
      <c r="Z100" s="45">
        <v>10</v>
      </c>
      <c r="AA100" s="46">
        <v>109</v>
      </c>
      <c r="AB100" s="46">
        <v>120</v>
      </c>
      <c r="AC100" s="72">
        <f t="shared" si="34"/>
        <v>1</v>
      </c>
      <c r="AD100" s="72">
        <f t="shared" si="35"/>
        <v>1</v>
      </c>
      <c r="AE100" s="109" t="str">
        <f t="shared" si="36"/>
        <v>541-552</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0.5</v>
      </c>
      <c r="AN100" s="109">
        <f t="shared" si="40"/>
        <v>0.5</v>
      </c>
      <c r="AO100" s="109" t="str">
        <f t="shared" si="41"/>
        <v/>
      </c>
      <c r="AQ100" s="109" t="str">
        <f t="shared" si="42"/>
        <v/>
      </c>
      <c r="BA100" s="229">
        <f>MOD(SUM(E99:E100),12)</f>
        <v>0</v>
      </c>
    </row>
    <row r="101" spans="1:53" ht="15.75" thickBot="1" x14ac:dyDescent="0.3">
      <c r="A101" s="88"/>
      <c r="B101" s="74" t="s">
        <v>280</v>
      </c>
      <c r="C101" s="67" t="s">
        <v>499</v>
      </c>
      <c r="D101" s="102"/>
      <c r="E101" s="32">
        <v>12</v>
      </c>
      <c r="F101" s="32"/>
      <c r="G101" s="75" t="s">
        <v>277</v>
      </c>
      <c r="H101" s="69">
        <f t="shared" si="43"/>
        <v>529</v>
      </c>
      <c r="I101" s="70">
        <f t="shared" si="44"/>
        <v>540</v>
      </c>
      <c r="J101" s="73" t="str">
        <f t="shared" ref="J101:J123" si="45">IF(C101="","--",IF(AND(C101&lt;&gt;"FST",C101&lt;&gt;"TCF",BA100&lt;&gt;0),BA100,"--"))</f>
        <v>--</v>
      </c>
      <c r="K101" s="32"/>
      <c r="L101" s="233"/>
      <c r="M101" s="296" t="s">
        <v>409</v>
      </c>
      <c r="N101" s="296"/>
      <c r="O101" s="296"/>
      <c r="P101" s="296"/>
      <c r="Q101" s="296"/>
      <c r="R101" s="296"/>
      <c r="S101" s="296"/>
      <c r="T101" s="296"/>
      <c r="U101" s="297"/>
      <c r="V101" s="103"/>
      <c r="W101" s="72"/>
      <c r="X101" s="72"/>
      <c r="Y101" s="72"/>
      <c r="Z101" s="45">
        <v>11</v>
      </c>
      <c r="AA101" s="46">
        <v>121</v>
      </c>
      <c r="AB101" s="46">
        <v>132</v>
      </c>
      <c r="AC101" s="72">
        <f t="shared" si="34"/>
        <v>1</v>
      </c>
      <c r="AD101" s="72">
        <f t="shared" si="35"/>
        <v>1</v>
      </c>
      <c r="AE101" s="109" t="str">
        <f t="shared" si="36"/>
        <v>529-540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0.5</v>
      </c>
      <c r="AN101" s="109">
        <f t="shared" si="40"/>
        <v>0.5</v>
      </c>
      <c r="AO101" s="109" t="str">
        <f t="shared" si="41"/>
        <v/>
      </c>
      <c r="AQ101" s="109" t="str">
        <f t="shared" si="42"/>
        <v/>
      </c>
      <c r="BA101" s="229">
        <f>MOD(SUM(E99:E102),12)</f>
        <v>0</v>
      </c>
    </row>
    <row r="102" spans="1:53" ht="15.75" thickBot="1" x14ac:dyDescent="0.3">
      <c r="A102" s="88"/>
      <c r="B102" s="66" t="s">
        <v>281</v>
      </c>
      <c r="C102" s="67" t="s">
        <v>499</v>
      </c>
      <c r="D102" s="102"/>
      <c r="E102" s="32">
        <v>12</v>
      </c>
      <c r="F102" s="32"/>
      <c r="G102" s="68" t="s">
        <v>277</v>
      </c>
      <c r="H102" s="69">
        <f t="shared" si="43"/>
        <v>517</v>
      </c>
      <c r="I102" s="70">
        <f t="shared" si="44"/>
        <v>528</v>
      </c>
      <c r="J102" s="73" t="str">
        <f t="shared" si="45"/>
        <v>--</v>
      </c>
      <c r="K102" s="32"/>
      <c r="L102" s="233"/>
      <c r="M102" s="296" t="s">
        <v>409</v>
      </c>
      <c r="N102" s="296"/>
      <c r="O102" s="296"/>
      <c r="P102" s="296"/>
      <c r="Q102" s="296"/>
      <c r="R102" s="296"/>
      <c r="S102" s="296"/>
      <c r="T102" s="296"/>
      <c r="U102" s="297"/>
      <c r="V102" s="103"/>
      <c r="W102" s="72"/>
      <c r="X102" s="72"/>
      <c r="Y102" s="72"/>
      <c r="Z102" s="45">
        <v>12</v>
      </c>
      <c r="AA102" s="76">
        <v>133</v>
      </c>
      <c r="AB102" s="76">
        <v>144</v>
      </c>
      <c r="AC102" s="72">
        <f t="shared" si="34"/>
        <v>1</v>
      </c>
      <c r="AD102" s="72">
        <f t="shared" si="35"/>
        <v>1</v>
      </c>
      <c r="AE102" s="109" t="str">
        <f t="shared" si="36"/>
        <v>517-528</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0.5</v>
      </c>
      <c r="AN102" s="109">
        <f t="shared" si="40"/>
        <v>0.5</v>
      </c>
      <c r="AO102" s="109" t="str">
        <f t="shared" si="41"/>
        <v/>
      </c>
      <c r="AQ102" s="109" t="str">
        <f t="shared" si="42"/>
        <v/>
      </c>
      <c r="BA102" s="229">
        <f>MOD(SUM(E99:E103),12)</f>
        <v>0</v>
      </c>
    </row>
    <row r="103" spans="1:53" ht="15.75" thickBot="1" x14ac:dyDescent="0.3">
      <c r="A103" s="88"/>
      <c r="B103" s="66" t="s">
        <v>282</v>
      </c>
      <c r="C103" s="67" t="s">
        <v>502</v>
      </c>
      <c r="D103" s="102"/>
      <c r="E103" s="32">
        <v>60</v>
      </c>
      <c r="F103" s="32"/>
      <c r="G103" s="68" t="s">
        <v>277</v>
      </c>
      <c r="H103" s="69">
        <f t="shared" si="43"/>
        <v>457</v>
      </c>
      <c r="I103" s="70">
        <f t="shared" si="44"/>
        <v>516</v>
      </c>
      <c r="J103" s="73" t="str">
        <f t="shared" si="45"/>
        <v>--</v>
      </c>
      <c r="K103" s="32"/>
      <c r="L103" s="233"/>
      <c r="M103" s="296" t="s">
        <v>408</v>
      </c>
      <c r="N103" s="296"/>
      <c r="O103" s="296"/>
      <c r="P103" s="296"/>
      <c r="Q103" s="296"/>
      <c r="R103" s="296"/>
      <c r="S103" s="296"/>
      <c r="T103" s="296"/>
      <c r="U103" s="297"/>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457-516</v>
      </c>
      <c r="AF103" s="109" t="str">
        <f t="shared" si="37"/>
        <v>N</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t="s">
        <v>502</v>
      </c>
      <c r="D104" s="102"/>
      <c r="E104" s="32">
        <v>24</v>
      </c>
      <c r="F104" s="32"/>
      <c r="G104" s="68" t="s">
        <v>277</v>
      </c>
      <c r="H104" s="69">
        <f t="shared" si="43"/>
        <v>433</v>
      </c>
      <c r="I104" s="70">
        <f t="shared" si="44"/>
        <v>456</v>
      </c>
      <c r="J104" s="73" t="str">
        <f t="shared" si="45"/>
        <v>--</v>
      </c>
      <c r="K104" s="32"/>
      <c r="L104" s="233"/>
      <c r="M104" s="296" t="s">
        <v>407</v>
      </c>
      <c r="N104" s="296"/>
      <c r="O104" s="296"/>
      <c r="P104" s="296"/>
      <c r="Q104" s="296"/>
      <c r="R104" s="296"/>
      <c r="S104" s="296"/>
      <c r="T104" s="296"/>
      <c r="U104" s="297"/>
      <c r="V104" s="103"/>
      <c r="W104" s="72"/>
      <c r="X104" s="72"/>
      <c r="Y104" s="72"/>
      <c r="Z104" s="45">
        <v>14</v>
      </c>
      <c r="AA104" s="77">
        <f t="shared" si="46"/>
        <v>157</v>
      </c>
      <c r="AB104" s="77">
        <f t="shared" si="47"/>
        <v>168</v>
      </c>
      <c r="AC104" s="72">
        <f t="shared" si="34"/>
        <v>1</v>
      </c>
      <c r="AD104" s="72">
        <f t="shared" si="35"/>
        <v>1</v>
      </c>
      <c r="AE104" s="109" t="str">
        <f t="shared" si="36"/>
        <v>433-456</v>
      </c>
      <c r="AF104" s="109" t="str">
        <f t="shared" si="37"/>
        <v>N</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502</v>
      </c>
      <c r="D105" s="102"/>
      <c r="E105" s="32">
        <v>48</v>
      </c>
      <c r="F105" s="32"/>
      <c r="G105" s="68" t="s">
        <v>277</v>
      </c>
      <c r="H105" s="69">
        <f t="shared" si="43"/>
        <v>385</v>
      </c>
      <c r="I105" s="70">
        <f t="shared" si="44"/>
        <v>432</v>
      </c>
      <c r="J105" s="73" t="str">
        <f t="shared" si="45"/>
        <v>--</v>
      </c>
      <c r="K105" s="32"/>
      <c r="L105" s="233"/>
      <c r="M105" s="296" t="s">
        <v>406</v>
      </c>
      <c r="N105" s="296"/>
      <c r="O105" s="296"/>
      <c r="P105" s="296"/>
      <c r="Q105" s="296"/>
      <c r="R105" s="296"/>
      <c r="S105" s="296"/>
      <c r="T105" s="296"/>
      <c r="U105" s="297"/>
      <c r="V105" s="103"/>
      <c r="W105" s="72"/>
      <c r="X105" s="72"/>
      <c r="Y105" s="72"/>
      <c r="Z105" s="45">
        <v>15</v>
      </c>
      <c r="AA105" s="77">
        <f t="shared" si="46"/>
        <v>169</v>
      </c>
      <c r="AB105" s="77">
        <f t="shared" si="47"/>
        <v>180</v>
      </c>
      <c r="AC105" s="72">
        <f t="shared" si="34"/>
        <v>1</v>
      </c>
      <c r="AD105" s="72">
        <f t="shared" si="35"/>
        <v>1</v>
      </c>
      <c r="AE105" s="109" t="str">
        <f t="shared" si="36"/>
        <v>385-432</v>
      </c>
      <c r="AF105" s="109" t="str">
        <f t="shared" si="37"/>
        <v>N</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6"/>
      <c r="N106" s="296"/>
      <c r="O106" s="296"/>
      <c r="P106" s="296"/>
      <c r="Q106" s="296"/>
      <c r="R106" s="296"/>
      <c r="S106" s="296"/>
      <c r="T106" s="296"/>
      <c r="U106" s="297"/>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6"/>
      <c r="N107" s="296"/>
      <c r="O107" s="296"/>
      <c r="P107" s="296"/>
      <c r="Q107" s="296"/>
      <c r="R107" s="296"/>
      <c r="S107" s="296"/>
      <c r="T107" s="296"/>
      <c r="U107" s="297"/>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6"/>
      <c r="N108" s="296"/>
      <c r="O108" s="296"/>
      <c r="P108" s="296"/>
      <c r="Q108" s="296"/>
      <c r="R108" s="296"/>
      <c r="S108" s="296"/>
      <c r="T108" s="296"/>
      <c r="U108" s="297"/>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6"/>
      <c r="N109" s="296"/>
      <c r="O109" s="296"/>
      <c r="P109" s="296"/>
      <c r="Q109" s="296"/>
      <c r="R109" s="296"/>
      <c r="S109" s="296"/>
      <c r="T109" s="296"/>
      <c r="U109" s="297"/>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6"/>
      <c r="N110" s="296"/>
      <c r="O110" s="296"/>
      <c r="P110" s="296"/>
      <c r="Q110" s="296"/>
      <c r="R110" s="296"/>
      <c r="S110" s="296"/>
      <c r="T110" s="296"/>
      <c r="U110" s="297"/>
      <c r="V110" s="103"/>
      <c r="W110" s="84">
        <f>Y110+1</f>
        <v>181</v>
      </c>
      <c r="X110" s="84"/>
      <c r="Y110" s="78">
        <f>SUM(E99:E110)</f>
        <v>180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6"/>
      <c r="N111" s="296"/>
      <c r="O111" s="296"/>
      <c r="P111" s="296"/>
      <c r="Q111" s="296"/>
      <c r="R111" s="296"/>
      <c r="S111" s="296"/>
      <c r="T111" s="296"/>
      <c r="U111" s="297"/>
      <c r="V111" s="103"/>
      <c r="W111" s="84">
        <f>Y111+1</f>
        <v>181</v>
      </c>
      <c r="X111" s="84"/>
      <c r="Y111" s="78">
        <f>SUM(E99:E111)</f>
        <v>180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6"/>
      <c r="N112" s="296"/>
      <c r="O112" s="296"/>
      <c r="P112" s="296"/>
      <c r="Q112" s="296"/>
      <c r="R112" s="296"/>
      <c r="S112" s="296"/>
      <c r="T112" s="296"/>
      <c r="U112" s="297"/>
      <c r="V112" s="103"/>
      <c r="W112" s="84">
        <f>Y112+1</f>
        <v>181</v>
      </c>
      <c r="X112" s="84"/>
      <c r="Y112" s="78">
        <f>SUM(E99:E112)</f>
        <v>180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6"/>
      <c r="N113" s="296"/>
      <c r="O113" s="296"/>
      <c r="P113" s="296"/>
      <c r="Q113" s="296"/>
      <c r="R113" s="296"/>
      <c r="S113" s="296"/>
      <c r="T113" s="296"/>
      <c r="U113" s="297"/>
      <c r="V113" s="103"/>
      <c r="W113" s="84">
        <f>Y113+1</f>
        <v>181</v>
      </c>
      <c r="X113" s="84"/>
      <c r="Y113" s="78">
        <f>SUM(E99:E113)</f>
        <v>180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6"/>
      <c r="N114" s="296"/>
      <c r="O114" s="296"/>
      <c r="P114" s="296"/>
      <c r="Q114" s="296"/>
      <c r="R114" s="296"/>
      <c r="S114" s="296"/>
      <c r="T114" s="296"/>
      <c r="U114" s="297"/>
      <c r="V114" s="103"/>
      <c r="W114" s="84">
        <f t="shared" ref="W114:W122" si="50">Y114+1</f>
        <v>181</v>
      </c>
      <c r="X114" s="84"/>
      <c r="Y114" s="78">
        <f>SUM(E99:E114)</f>
        <v>180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6"/>
      <c r="N115" s="296"/>
      <c r="O115" s="296"/>
      <c r="P115" s="296"/>
      <c r="Q115" s="296"/>
      <c r="R115" s="296"/>
      <c r="S115" s="296"/>
      <c r="T115" s="296"/>
      <c r="U115" s="297"/>
      <c r="V115" s="103"/>
      <c r="W115" s="84">
        <f t="shared" si="50"/>
        <v>181</v>
      </c>
      <c r="X115" s="84"/>
      <c r="Y115" s="78">
        <f>SUM(E99:E115)</f>
        <v>180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6"/>
      <c r="N116" s="296"/>
      <c r="O116" s="296"/>
      <c r="P116" s="296"/>
      <c r="Q116" s="296"/>
      <c r="R116" s="296"/>
      <c r="S116" s="296"/>
      <c r="T116" s="296"/>
      <c r="U116" s="297"/>
      <c r="V116" s="103"/>
      <c r="W116" s="84">
        <f t="shared" si="50"/>
        <v>181</v>
      </c>
      <c r="X116" s="84"/>
      <c r="Y116" s="78">
        <f>SUM(E99:E116)</f>
        <v>180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6"/>
      <c r="N117" s="296"/>
      <c r="O117" s="296"/>
      <c r="P117" s="296"/>
      <c r="Q117" s="296"/>
      <c r="R117" s="296"/>
      <c r="S117" s="296"/>
      <c r="T117" s="296"/>
      <c r="U117" s="297"/>
      <c r="V117" s="103"/>
      <c r="W117" s="84">
        <f t="shared" si="50"/>
        <v>181</v>
      </c>
      <c r="X117" s="84"/>
      <c r="Y117" s="78">
        <f>SUM(E99:E117)</f>
        <v>180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6"/>
      <c r="N118" s="296"/>
      <c r="O118" s="296"/>
      <c r="P118" s="296"/>
      <c r="Q118" s="296"/>
      <c r="R118" s="296"/>
      <c r="S118" s="296"/>
      <c r="T118" s="296"/>
      <c r="U118" s="297"/>
      <c r="V118" s="103"/>
      <c r="W118" s="84">
        <f t="shared" si="50"/>
        <v>181</v>
      </c>
      <c r="X118" s="84"/>
      <c r="Y118" s="78">
        <f>SUM(E99:E118)</f>
        <v>180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6"/>
      <c r="N119" s="296"/>
      <c r="O119" s="296"/>
      <c r="P119" s="296"/>
      <c r="Q119" s="296"/>
      <c r="R119" s="296"/>
      <c r="S119" s="296"/>
      <c r="T119" s="296"/>
      <c r="U119" s="297"/>
      <c r="V119" s="103"/>
      <c r="W119" s="84">
        <f t="shared" si="50"/>
        <v>181</v>
      </c>
      <c r="X119" s="84"/>
      <c r="Y119" s="78">
        <f>SUM(E99:E119)</f>
        <v>180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6"/>
      <c r="N120" s="296"/>
      <c r="O120" s="296"/>
      <c r="P120" s="296"/>
      <c r="Q120" s="296"/>
      <c r="R120" s="296"/>
      <c r="S120" s="296"/>
      <c r="T120" s="296"/>
      <c r="U120" s="297"/>
      <c r="V120" s="103"/>
      <c r="W120" s="84">
        <f t="shared" si="50"/>
        <v>181</v>
      </c>
      <c r="X120" s="84"/>
      <c r="Y120" s="78">
        <f>SUM(E99:E120)</f>
        <v>180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6"/>
      <c r="N121" s="296"/>
      <c r="O121" s="296"/>
      <c r="P121" s="296"/>
      <c r="Q121" s="296"/>
      <c r="R121" s="296"/>
      <c r="S121" s="296"/>
      <c r="T121" s="296"/>
      <c r="U121" s="297"/>
      <c r="V121" s="103"/>
      <c r="W121" s="84">
        <f t="shared" si="50"/>
        <v>181</v>
      </c>
      <c r="X121" s="84"/>
      <c r="Y121" s="78">
        <f>SUM(E99:E121)</f>
        <v>180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6"/>
      <c r="N122" s="296"/>
      <c r="O122" s="296"/>
      <c r="P122" s="296"/>
      <c r="Q122" s="296"/>
      <c r="R122" s="296"/>
      <c r="S122" s="296"/>
      <c r="T122" s="296"/>
      <c r="U122" s="297"/>
      <c r="V122" s="103"/>
      <c r="W122" s="84">
        <f t="shared" si="50"/>
        <v>181</v>
      </c>
      <c r="X122" s="84"/>
      <c r="Y122" s="78">
        <f>SUM(E99:E122)</f>
        <v>180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6"/>
      <c r="N123" s="296"/>
      <c r="O123" s="296"/>
      <c r="P123" s="296"/>
      <c r="Q123" s="296"/>
      <c r="R123" s="296"/>
      <c r="S123" s="296"/>
      <c r="T123" s="296"/>
      <c r="U123" s="297"/>
      <c r="V123" s="103"/>
      <c r="W123" s="72"/>
      <c r="X123" s="72"/>
      <c r="Y123" s="78">
        <f>SUM(E99:E123)</f>
        <v>180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2" t="s">
        <v>309</v>
      </c>
      <c r="C124" s="284"/>
      <c r="D124" s="79"/>
      <c r="E124" s="80"/>
      <c r="F124" s="80"/>
      <c r="G124" s="81"/>
      <c r="H124" s="192"/>
      <c r="I124" s="192"/>
      <c r="J124" s="192"/>
      <c r="K124" s="82"/>
      <c r="L124" s="282" t="s">
        <v>306</v>
      </c>
      <c r="M124" s="283"/>
      <c r="N124" s="283"/>
      <c r="O124" s="283"/>
      <c r="P124" s="283"/>
      <c r="Q124" s="283"/>
      <c r="R124" s="283"/>
      <c r="S124" s="283"/>
      <c r="T124" s="283"/>
      <c r="U124" s="284"/>
      <c r="V124" s="104"/>
      <c r="W124" s="72"/>
      <c r="X124" s="72"/>
      <c r="Y124" s="72"/>
      <c r="Z124" s="72"/>
      <c r="AA124" s="72" t="str">
        <f t="shared" si="49"/>
        <v/>
      </c>
      <c r="AB124" s="72"/>
      <c r="AC124" s="72">
        <f>SUM(AC99:AC123)</f>
        <v>25</v>
      </c>
      <c r="AD124" s="72">
        <f>SUM(AD99:AD123)</f>
        <v>25</v>
      </c>
      <c r="AM124" s="109">
        <f>SUM(AM99:AM123)</f>
        <v>2</v>
      </c>
      <c r="AN124" s="109">
        <f>SUM(AN99:AN123)</f>
        <v>2</v>
      </c>
      <c r="AO124" s="109">
        <f>((COUNTIF(AO99:AO123,"Y")/3)*2)</f>
        <v>0</v>
      </c>
      <c r="AP124" s="109">
        <f>(COUNTIF(AO99:AO123,"Y")/3)</f>
        <v>0</v>
      </c>
      <c r="AQ124" s="109">
        <f>(COUNTIF(AQ99:AQ123,"Y")/2)</f>
        <v>0</v>
      </c>
      <c r="AR124" s="109">
        <f>(COUNTIF(AQ99:AQ123,"Y")/2)</f>
        <v>0</v>
      </c>
      <c r="BA124" s="228"/>
    </row>
    <row r="125" spans="1:53" ht="16.5" thickBot="1" x14ac:dyDescent="0.3">
      <c r="A125" s="88"/>
      <c r="B125" s="282" t="s">
        <v>307</v>
      </c>
      <c r="C125" s="284"/>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5" t="s">
        <v>222</v>
      </c>
      <c r="C129" s="286"/>
      <c r="D129" s="287" t="s">
        <v>223</v>
      </c>
      <c r="E129" s="288"/>
      <c r="F129" s="88"/>
      <c r="G129" s="289" t="s">
        <v>224</v>
      </c>
      <c r="H129" s="290"/>
      <c r="I129" s="28">
        <f>SUM(E140:E164)</f>
        <v>48</v>
      </c>
      <c r="J129" s="291" t="s">
        <v>225</v>
      </c>
      <c r="K129" s="292"/>
      <c r="L129" s="288"/>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8" t="s">
        <v>226</v>
      </c>
      <c r="AA129" s="299"/>
      <c r="AB129" s="300"/>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1" t="s">
        <v>230</v>
      </c>
      <c r="H130" s="288"/>
      <c r="I130" s="33">
        <f>E131-I129</f>
        <v>0</v>
      </c>
      <c r="J130" s="302" t="s">
        <v>231</v>
      </c>
      <c r="K130" s="303"/>
      <c r="L130" s="34">
        <f>I134</f>
        <v>385</v>
      </c>
      <c r="M130" s="196">
        <v>4</v>
      </c>
      <c r="N130" s="35">
        <f>SUM(AI130,AI141)</f>
        <v>0</v>
      </c>
      <c r="O130" s="35">
        <v>0</v>
      </c>
      <c r="P130" s="35">
        <f>SUM(AJ130,AJ141)</f>
        <v>8</v>
      </c>
      <c r="Q130" s="35">
        <v>0</v>
      </c>
      <c r="R130" s="35">
        <f>COUNTIFS($E140:$E164,"4",$F140:$F164,"Pole",$C140:$C164,"FST")</f>
        <v>8</v>
      </c>
      <c r="S130" s="35">
        <f>SUM(AL130,AK141)</f>
        <v>0</v>
      </c>
      <c r="T130" s="35">
        <v>0</v>
      </c>
      <c r="U130" s="35">
        <f>SUM(AK130,AL141)</f>
        <v>0</v>
      </c>
      <c r="V130" s="35">
        <v>0</v>
      </c>
      <c r="W130" s="34">
        <f>COUNTIFS($E140:$E164,"4",$F140:$F164,"HH",$C140:$C164,"FST")</f>
        <v>0</v>
      </c>
      <c r="X130" s="35">
        <f>COUNTIFS($E140:$E164,"4",$F140:$F164,"Ped",$C140:$C164,"FST")</f>
        <v>0</v>
      </c>
      <c r="Y130" s="25"/>
      <c r="Z130" s="304" t="s">
        <v>232</v>
      </c>
      <c r="AA130" s="306" t="s">
        <v>233</v>
      </c>
      <c r="AB130" s="307"/>
      <c r="AC130" s="25"/>
      <c r="AD130" s="25"/>
      <c r="AH130" s="109">
        <v>4</v>
      </c>
      <c r="AI130" s="109" t="str">
        <f>IF($E130="SS",COUNTIFS($C140:$C164,"FST",$E140:$E164,"4"),"0")</f>
        <v>0</v>
      </c>
      <c r="AJ130" s="109">
        <f>IF($E130="RPX",COUNTIFS($C140:$C164,"FST",$E140:$E164,"4"),"0")</f>
        <v>8</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48</v>
      </c>
      <c r="F131" s="88"/>
      <c r="G131" s="310" t="s">
        <v>237</v>
      </c>
      <c r="H131" s="311"/>
      <c r="I131" s="35">
        <f>IF(E131=0,0,12-(MOD(I129,12)))</f>
        <v>12</v>
      </c>
      <c r="J131" s="302" t="s">
        <v>238</v>
      </c>
      <c r="K131" s="303"/>
      <c r="L131" s="39">
        <f>I135-I129</f>
        <v>384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5"/>
      <c r="AA131" s="308"/>
      <c r="AB131" s="309"/>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278" t="s">
        <v>242</v>
      </c>
      <c r="H132" s="43" t="s">
        <v>243</v>
      </c>
      <c r="I132" s="35">
        <f>IF(E132&lt;&gt;0,1,0)</f>
        <v>0</v>
      </c>
      <c r="J132" s="310" t="s">
        <v>244</v>
      </c>
      <c r="K132" s="311"/>
      <c r="L132" s="44">
        <f>'Cable Calculator'!S3</f>
        <v>2116</v>
      </c>
      <c r="M132" s="196">
        <v>8</v>
      </c>
      <c r="N132" s="35">
        <f>SUM(AI132,AI143)</f>
        <v>0</v>
      </c>
      <c r="O132" s="35">
        <v>0</v>
      </c>
      <c r="P132" s="35">
        <f>SUM(AJ132,AJ143)</f>
        <v>2</v>
      </c>
      <c r="Q132" s="35">
        <v>0</v>
      </c>
      <c r="R132" s="35">
        <f>COUNTIFS($E140:$E164,"8",$F140:$F164,"Pole",$C140:$C164,"FST")</f>
        <v>2</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2</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385</v>
      </c>
      <c r="F133" s="88"/>
      <c r="G133" s="279"/>
      <c r="H133" s="47" t="s">
        <v>248</v>
      </c>
      <c r="I133" s="35">
        <f>IF(E132&lt;&gt;0,E132,0)</f>
        <v>0</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4</v>
      </c>
      <c r="F134" s="88"/>
      <c r="G134" s="278" t="s">
        <v>251</v>
      </c>
      <c r="H134" s="51" t="s">
        <v>252</v>
      </c>
      <c r="I134" s="112">
        <f>E133</f>
        <v>385</v>
      </c>
      <c r="J134" s="312" t="s">
        <v>253</v>
      </c>
      <c r="K134" s="313"/>
      <c r="L134" s="31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79"/>
      <c r="H135" s="47" t="s">
        <v>257</v>
      </c>
      <c r="I135" s="35">
        <f>IF(E133="","0",IF(AND(E130="EUC",E131=432), I134+(203-E132),IF(E133=0,0,(E133+(E131-E132)-1))))</f>
        <v>432</v>
      </c>
      <c r="J135" s="293" t="str">
        <f>IFERROR(IF(OR(E130="EUC",E130="SS"),"---",IF(OR(P129,S129),"NO 2F Tethers for RPX!",IF(OR(P131,S131),"NO 6F Tethers for RPX!","---"))),"---")</f>
        <v>---</v>
      </c>
      <c r="K135" s="294"/>
      <c r="L135" s="295"/>
      <c r="M135" s="293" t="str">
        <f>IF(E132&gt;60,"Dead Count &gt;60: Consider Downsize","---")</f>
        <v>---</v>
      </c>
      <c r="N135" s="294"/>
      <c r="O135" s="294"/>
      <c r="P135" s="294"/>
      <c r="Q135" s="294"/>
      <c r="R135" s="294"/>
      <c r="S135" s="294"/>
      <c r="T135" s="294"/>
      <c r="U135" s="295"/>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48</v>
      </c>
      <c r="D136" s="31" t="s">
        <v>259</v>
      </c>
      <c r="E136" s="101" t="str">
        <f>IF(AS130="Y","DBL",IF(AS131="Y","TRPL",IF(AS132="Y","QUAD","")))</f>
        <v/>
      </c>
      <c r="F136" s="88"/>
      <c r="G136" s="192"/>
      <c r="H136" s="57"/>
      <c r="I136" s="192"/>
      <c r="J136" s="293"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4"/>
      <c r="L136" s="295"/>
      <c r="M136" s="293" t="str">
        <f>IF(AND(OR(E130="SS",E130="RPX",E130="EUC",E130="RPX-T"),(OR(C140="",C140="Field SPL"))),"Cannot have FlexNap cables without tethers","---")</f>
        <v>---</v>
      </c>
      <c r="N136" s="294"/>
      <c r="O136" s="294"/>
      <c r="P136" s="294"/>
      <c r="Q136" s="294"/>
      <c r="R136" s="294"/>
      <c r="S136" s="294"/>
      <c r="T136" s="294"/>
      <c r="U136" s="295"/>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3" t="str">
        <f>IF(AND(OR(E130="RPX", E130="RPX-T", E130="SS"),E131=216),"NO 216 For RPX, RPX-T, OR SS CABLE","---")</f>
        <v>---</v>
      </c>
      <c r="K137" s="294"/>
      <c r="L137" s="295"/>
      <c r="M137" s="293" t="str" cm="1">
        <f t="array" ref="M137">IF(AND(E130="",OR(C140:C164="FST",C140:C164="REV T",C140:C164="DBL REV",C140:C164="TPL REV", C140:C164="QD REV")),"Non-FlexNap cables cannot have tethers","---")</f>
        <v>---</v>
      </c>
      <c r="N137" s="294"/>
      <c r="O137" s="294"/>
      <c r="P137" s="294"/>
      <c r="Q137" s="294"/>
      <c r="R137" s="294"/>
      <c r="S137" s="294"/>
      <c r="T137" s="294"/>
      <c r="U137" s="295"/>
      <c r="V137" s="25"/>
      <c r="W137" s="58"/>
      <c r="X137" s="58"/>
      <c r="Y137" s="25"/>
      <c r="Z137" s="45">
        <v>6</v>
      </c>
      <c r="AA137" s="65">
        <v>61</v>
      </c>
      <c r="AB137" s="65">
        <v>72</v>
      </c>
      <c r="AC137" s="25"/>
      <c r="AD137" s="25"/>
      <c r="BA137" s="226"/>
    </row>
    <row r="138" spans="1:53" ht="15.75" customHeight="1" thickBot="1" x14ac:dyDescent="0.3">
      <c r="A138" s="88"/>
      <c r="B138" s="278" t="s">
        <v>260</v>
      </c>
      <c r="C138" s="315" t="s">
        <v>261</v>
      </c>
      <c r="D138" s="315" t="s">
        <v>262</v>
      </c>
      <c r="E138" s="317" t="s">
        <v>263</v>
      </c>
      <c r="F138" s="315" t="s">
        <v>264</v>
      </c>
      <c r="G138" s="280" t="s">
        <v>265</v>
      </c>
      <c r="H138" s="280" t="s">
        <v>266</v>
      </c>
      <c r="I138" s="280" t="s">
        <v>267</v>
      </c>
      <c r="J138" s="319" t="s">
        <v>268</v>
      </c>
      <c r="K138" s="315" t="s">
        <v>269</v>
      </c>
      <c r="L138" s="321" t="s">
        <v>270</v>
      </c>
      <c r="M138" s="323" t="s">
        <v>271</v>
      </c>
      <c r="N138" s="323"/>
      <c r="O138" s="323"/>
      <c r="P138" s="323"/>
      <c r="Q138" s="323"/>
      <c r="R138" s="323"/>
      <c r="S138" s="323"/>
      <c r="T138" s="323"/>
      <c r="U138" s="324"/>
      <c r="V138" s="107"/>
      <c r="W138" s="72"/>
      <c r="X138" s="72"/>
      <c r="Y138" s="72"/>
      <c r="Z138" s="45">
        <v>7</v>
      </c>
      <c r="AA138" s="65">
        <v>73</v>
      </c>
      <c r="AB138" s="65">
        <v>84</v>
      </c>
      <c r="AC138" s="25"/>
      <c r="AD138" s="25"/>
      <c r="BA138" s="228"/>
    </row>
    <row r="139" spans="1:53" ht="15.75" thickBot="1" x14ac:dyDescent="0.3">
      <c r="A139" s="88"/>
      <c r="B139" s="279"/>
      <c r="C139" s="316"/>
      <c r="D139" s="316"/>
      <c r="E139" s="318"/>
      <c r="F139" s="316"/>
      <c r="G139" s="281"/>
      <c r="H139" s="281"/>
      <c r="I139" s="281"/>
      <c r="J139" s="320"/>
      <c r="K139" s="316"/>
      <c r="L139" s="322"/>
      <c r="M139" s="325"/>
      <c r="N139" s="325"/>
      <c r="O139" s="325"/>
      <c r="P139" s="325"/>
      <c r="Q139" s="325"/>
      <c r="R139" s="325"/>
      <c r="S139" s="325"/>
      <c r="T139" s="325"/>
      <c r="U139" s="326"/>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797</v>
      </c>
      <c r="E140" s="32">
        <v>4</v>
      </c>
      <c r="F140" s="32" t="s">
        <v>483</v>
      </c>
      <c r="G140" s="68" t="s">
        <v>277</v>
      </c>
      <c r="H140" s="69">
        <f>IF(I140=0,0,I140-(E140-1))</f>
        <v>429</v>
      </c>
      <c r="I140" s="70">
        <f>IF(E140=0,0,I135)</f>
        <v>432</v>
      </c>
      <c r="J140" s="71" t="s">
        <v>278</v>
      </c>
      <c r="K140" s="32"/>
      <c r="L140" s="233"/>
      <c r="M140" s="296"/>
      <c r="N140" s="296"/>
      <c r="O140" s="296"/>
      <c r="P140" s="296"/>
      <c r="Q140" s="296"/>
      <c r="R140" s="296"/>
      <c r="S140" s="296"/>
      <c r="T140" s="296"/>
      <c r="U140" s="297"/>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429-432</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798</v>
      </c>
      <c r="E141" s="32">
        <v>4</v>
      </c>
      <c r="F141" s="32" t="s">
        <v>483</v>
      </c>
      <c r="G141" s="68" t="s">
        <v>277</v>
      </c>
      <c r="H141" s="69">
        <f t="shared" ref="H141:H164" si="60">IF(E141=0,0,I141-(E141-1))</f>
        <v>425</v>
      </c>
      <c r="I141" s="70">
        <f t="shared" ref="I141:I164" si="61">IF(E141=0,0,H140-1)</f>
        <v>428</v>
      </c>
      <c r="J141" s="73" t="str">
        <f>IF(C141="","--",IF(AND(C141&lt;&gt;"FST",C141&lt;&gt;"TCF",BA140&lt;&gt;0),BA140,"--"))</f>
        <v>--</v>
      </c>
      <c r="K141" s="32"/>
      <c r="L141" s="233"/>
      <c r="M141" s="296"/>
      <c r="N141" s="296"/>
      <c r="O141" s="296"/>
      <c r="P141" s="296"/>
      <c r="Q141" s="296"/>
      <c r="R141" s="296"/>
      <c r="S141" s="296"/>
      <c r="T141" s="296"/>
      <c r="U141" s="297"/>
      <c r="V141" s="103"/>
      <c r="W141" s="72"/>
      <c r="X141" s="72"/>
      <c r="Y141" s="72"/>
      <c r="Z141" s="45">
        <v>10</v>
      </c>
      <c r="AA141" s="46">
        <v>109</v>
      </c>
      <c r="AB141" s="46">
        <v>120</v>
      </c>
      <c r="AC141" s="72">
        <f t="shared" si="51"/>
        <v>1</v>
      </c>
      <c r="AD141" s="72">
        <f t="shared" si="52"/>
        <v>0</v>
      </c>
      <c r="AE141" s="109" t="str">
        <f t="shared" si="53"/>
        <v>425-428</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799</v>
      </c>
      <c r="E142" s="32">
        <v>8</v>
      </c>
      <c r="F142" s="32" t="s">
        <v>483</v>
      </c>
      <c r="G142" s="75" t="s">
        <v>277</v>
      </c>
      <c r="H142" s="69">
        <f t="shared" si="60"/>
        <v>417</v>
      </c>
      <c r="I142" s="70">
        <f t="shared" si="61"/>
        <v>424</v>
      </c>
      <c r="J142" s="73" t="str">
        <f t="shared" ref="J142:J164" si="62">IF(C142="","--",IF(AND(C142&lt;&gt;"FST",C142&lt;&gt;"TCF",BA141&lt;&gt;0),BA141,"--"))</f>
        <v>--</v>
      </c>
      <c r="K142" s="32"/>
      <c r="L142" s="233"/>
      <c r="M142" s="296"/>
      <c r="N142" s="296"/>
      <c r="O142" s="296"/>
      <c r="P142" s="296"/>
      <c r="Q142" s="296"/>
      <c r="R142" s="296"/>
      <c r="S142" s="296"/>
      <c r="T142" s="296"/>
      <c r="U142" s="297"/>
      <c r="V142" s="103"/>
      <c r="W142" s="72"/>
      <c r="X142" s="72"/>
      <c r="Y142" s="72"/>
      <c r="Z142" s="45">
        <v>11</v>
      </c>
      <c r="AA142" s="46">
        <v>121</v>
      </c>
      <c r="AB142" s="46">
        <v>132</v>
      </c>
      <c r="AC142" s="72">
        <f t="shared" si="51"/>
        <v>1</v>
      </c>
      <c r="AD142" s="72">
        <f t="shared" si="52"/>
        <v>0</v>
      </c>
      <c r="AE142" s="109" t="str">
        <f t="shared" si="53"/>
        <v>417-424</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8</v>
      </c>
    </row>
    <row r="143" spans="1:53" ht="15.75" thickBot="1" x14ac:dyDescent="0.3">
      <c r="A143" s="88"/>
      <c r="B143" s="66" t="s">
        <v>281</v>
      </c>
      <c r="C143" s="67" t="s">
        <v>484</v>
      </c>
      <c r="D143" s="102" t="s">
        <v>800</v>
      </c>
      <c r="E143" s="32">
        <v>4</v>
      </c>
      <c r="F143" s="32" t="s">
        <v>483</v>
      </c>
      <c r="G143" s="68" t="s">
        <v>277</v>
      </c>
      <c r="H143" s="69">
        <f t="shared" si="60"/>
        <v>413</v>
      </c>
      <c r="I143" s="70">
        <f t="shared" si="61"/>
        <v>416</v>
      </c>
      <c r="J143" s="73" t="str">
        <f t="shared" si="62"/>
        <v>--</v>
      </c>
      <c r="K143" s="32"/>
      <c r="L143" s="233"/>
      <c r="M143" s="296"/>
      <c r="N143" s="296"/>
      <c r="O143" s="296"/>
      <c r="P143" s="296"/>
      <c r="Q143" s="296"/>
      <c r="R143" s="296"/>
      <c r="S143" s="296"/>
      <c r="T143" s="296"/>
      <c r="U143" s="297"/>
      <c r="V143" s="103"/>
      <c r="W143" s="72"/>
      <c r="X143" s="72"/>
      <c r="Y143" s="72"/>
      <c r="Z143" s="45">
        <v>12</v>
      </c>
      <c r="AA143" s="76">
        <v>133</v>
      </c>
      <c r="AB143" s="76">
        <v>144</v>
      </c>
      <c r="AC143" s="72">
        <f t="shared" si="51"/>
        <v>1</v>
      </c>
      <c r="AD143" s="72">
        <f t="shared" si="52"/>
        <v>0</v>
      </c>
      <c r="AE143" s="109" t="str">
        <f t="shared" si="53"/>
        <v>413-416</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t="s">
        <v>484</v>
      </c>
      <c r="D144" s="102" t="s">
        <v>801</v>
      </c>
      <c r="E144" s="32">
        <v>4</v>
      </c>
      <c r="F144" s="32" t="s">
        <v>483</v>
      </c>
      <c r="G144" s="68" t="s">
        <v>277</v>
      </c>
      <c r="H144" s="69">
        <f t="shared" si="60"/>
        <v>409</v>
      </c>
      <c r="I144" s="70">
        <f t="shared" si="61"/>
        <v>412</v>
      </c>
      <c r="J144" s="73" t="str">
        <f t="shared" si="62"/>
        <v>--</v>
      </c>
      <c r="K144" s="32"/>
      <c r="L144" s="233"/>
      <c r="M144" s="296"/>
      <c r="N144" s="296"/>
      <c r="O144" s="296"/>
      <c r="P144" s="296"/>
      <c r="Q144" s="296"/>
      <c r="R144" s="296"/>
      <c r="S144" s="296"/>
      <c r="T144" s="296"/>
      <c r="U144" s="297"/>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409-412</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4</v>
      </c>
    </row>
    <row r="145" spans="1:53" ht="15.75" thickBot="1" x14ac:dyDescent="0.3">
      <c r="A145" s="88"/>
      <c r="B145" s="66" t="s">
        <v>283</v>
      </c>
      <c r="C145" s="67" t="s">
        <v>484</v>
      </c>
      <c r="D145" s="102" t="s">
        <v>802</v>
      </c>
      <c r="E145" s="32">
        <v>4</v>
      </c>
      <c r="F145" s="32" t="s">
        <v>483</v>
      </c>
      <c r="G145" s="68" t="s">
        <v>277</v>
      </c>
      <c r="H145" s="69">
        <f t="shared" si="60"/>
        <v>405</v>
      </c>
      <c r="I145" s="70">
        <f t="shared" si="61"/>
        <v>408</v>
      </c>
      <c r="J145" s="73" t="str">
        <f t="shared" si="62"/>
        <v>--</v>
      </c>
      <c r="K145" s="32"/>
      <c r="L145" s="233"/>
      <c r="M145" s="296"/>
      <c r="N145" s="296"/>
      <c r="O145" s="296"/>
      <c r="P145" s="296"/>
      <c r="Q145" s="296"/>
      <c r="R145" s="296"/>
      <c r="S145" s="296"/>
      <c r="T145" s="296"/>
      <c r="U145" s="297"/>
      <c r="V145" s="103"/>
      <c r="W145" s="72"/>
      <c r="X145" s="72"/>
      <c r="Y145" s="72"/>
      <c r="Z145" s="45">
        <v>14</v>
      </c>
      <c r="AA145" s="77">
        <f t="shared" si="63"/>
        <v>157</v>
      </c>
      <c r="AB145" s="77">
        <f t="shared" si="64"/>
        <v>168</v>
      </c>
      <c r="AC145" s="72">
        <f t="shared" si="51"/>
        <v>1</v>
      </c>
      <c r="AD145" s="72">
        <f t="shared" si="52"/>
        <v>0</v>
      </c>
      <c r="AE145" s="109" t="str">
        <f t="shared" si="53"/>
        <v>405-408</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t="s">
        <v>484</v>
      </c>
      <c r="D146" s="102" t="s">
        <v>803</v>
      </c>
      <c r="E146" s="32">
        <v>8</v>
      </c>
      <c r="F146" s="32" t="s">
        <v>483</v>
      </c>
      <c r="G146" s="68" t="s">
        <v>277</v>
      </c>
      <c r="H146" s="69">
        <f t="shared" si="60"/>
        <v>397</v>
      </c>
      <c r="I146" s="70">
        <f t="shared" si="61"/>
        <v>404</v>
      </c>
      <c r="J146" s="73" t="str">
        <f t="shared" si="62"/>
        <v>--</v>
      </c>
      <c r="K146" s="32"/>
      <c r="L146" s="233"/>
      <c r="M146" s="296"/>
      <c r="N146" s="296"/>
      <c r="O146" s="296"/>
      <c r="P146" s="296"/>
      <c r="Q146" s="296"/>
      <c r="R146" s="296"/>
      <c r="S146" s="296"/>
      <c r="T146" s="296"/>
      <c r="U146" s="297"/>
      <c r="V146" s="103"/>
      <c r="W146" s="72"/>
      <c r="X146" s="72"/>
      <c r="Y146" s="72"/>
      <c r="Z146" s="45">
        <v>15</v>
      </c>
      <c r="AA146" s="77">
        <f t="shared" si="63"/>
        <v>169</v>
      </c>
      <c r="AB146" s="77">
        <f t="shared" si="64"/>
        <v>180</v>
      </c>
      <c r="AC146" s="72">
        <f t="shared" si="51"/>
        <v>1</v>
      </c>
      <c r="AD146" s="72">
        <f t="shared" si="52"/>
        <v>0</v>
      </c>
      <c r="AE146" s="109" t="str">
        <f t="shared" si="53"/>
        <v>397-404</v>
      </c>
      <c r="AF146" s="109" t="str">
        <f t="shared" si="54"/>
        <v>Y</v>
      </c>
      <c r="AG146" s="109" t="str">
        <f t="shared" si="55"/>
        <v>B</v>
      </c>
      <c r="AM146" s="109">
        <f t="shared" si="56"/>
        <v>0</v>
      </c>
      <c r="AN146" s="109">
        <f t="shared" si="57"/>
        <v>0</v>
      </c>
      <c r="AO146" s="109" t="str">
        <f t="shared" si="58"/>
        <v/>
      </c>
      <c r="AQ146" s="109" t="str">
        <f t="shared" si="59"/>
        <v/>
      </c>
      <c r="BA146" s="229">
        <f>MOD(SUM(E140:E147),12)</f>
        <v>4</v>
      </c>
    </row>
    <row r="147" spans="1:53" ht="15.75" thickBot="1" x14ac:dyDescent="0.3">
      <c r="A147" s="88"/>
      <c r="B147" s="66" t="s">
        <v>285</v>
      </c>
      <c r="C147" s="67" t="s">
        <v>484</v>
      </c>
      <c r="D147" s="102" t="s">
        <v>804</v>
      </c>
      <c r="E147" s="32">
        <v>4</v>
      </c>
      <c r="F147" s="32" t="s">
        <v>483</v>
      </c>
      <c r="G147" s="68" t="s">
        <v>277</v>
      </c>
      <c r="H147" s="69">
        <f t="shared" si="60"/>
        <v>393</v>
      </c>
      <c r="I147" s="70">
        <f t="shared" si="61"/>
        <v>396</v>
      </c>
      <c r="J147" s="73" t="str">
        <f t="shared" si="62"/>
        <v>--</v>
      </c>
      <c r="K147" s="32"/>
      <c r="L147" s="233"/>
      <c r="M147" s="296"/>
      <c r="N147" s="296"/>
      <c r="O147" s="296"/>
      <c r="P147" s="296"/>
      <c r="Q147" s="296"/>
      <c r="R147" s="296"/>
      <c r="S147" s="296"/>
      <c r="T147" s="296"/>
      <c r="U147" s="297"/>
      <c r="V147" s="103"/>
      <c r="W147" s="72"/>
      <c r="X147" s="72"/>
      <c r="Y147" s="72"/>
      <c r="Z147" s="45">
        <f>Z146+1</f>
        <v>16</v>
      </c>
      <c r="AA147" s="77">
        <f t="shared" si="63"/>
        <v>181</v>
      </c>
      <c r="AB147" s="77">
        <f t="shared" si="64"/>
        <v>192</v>
      </c>
      <c r="AC147" s="72">
        <f t="shared" si="51"/>
        <v>1</v>
      </c>
      <c r="AD147" s="72">
        <f t="shared" si="52"/>
        <v>0</v>
      </c>
      <c r="AE147" s="109" t="str">
        <f t="shared" si="53"/>
        <v>393-396</v>
      </c>
      <c r="AF147" s="109" t="str">
        <f t="shared" si="54"/>
        <v>Y</v>
      </c>
      <c r="AG147" s="109" t="str">
        <f t="shared" si="55"/>
        <v>B</v>
      </c>
      <c r="AM147" s="109">
        <f t="shared" si="56"/>
        <v>0</v>
      </c>
      <c r="AN147" s="109">
        <f t="shared" si="57"/>
        <v>0</v>
      </c>
      <c r="AO147" s="109" t="str">
        <f t="shared" si="58"/>
        <v/>
      </c>
      <c r="AQ147" s="109" t="str">
        <f t="shared" si="59"/>
        <v/>
      </c>
      <c r="BA147" s="229">
        <f>MOD(SUM(E140:E148),12)</f>
        <v>8</v>
      </c>
    </row>
    <row r="148" spans="1:53" ht="15.75" thickBot="1" x14ac:dyDescent="0.3">
      <c r="A148" s="88"/>
      <c r="B148" s="66" t="s">
        <v>286</v>
      </c>
      <c r="C148" s="67" t="s">
        <v>484</v>
      </c>
      <c r="D148" s="102" t="s">
        <v>805</v>
      </c>
      <c r="E148" s="32">
        <v>4</v>
      </c>
      <c r="F148" s="32" t="s">
        <v>483</v>
      </c>
      <c r="G148" s="68" t="s">
        <v>277</v>
      </c>
      <c r="H148" s="69">
        <f t="shared" si="60"/>
        <v>389</v>
      </c>
      <c r="I148" s="70">
        <f t="shared" si="61"/>
        <v>392</v>
      </c>
      <c r="J148" s="73" t="str">
        <f t="shared" si="62"/>
        <v>--</v>
      </c>
      <c r="K148" s="32"/>
      <c r="L148" s="233"/>
      <c r="M148" s="296"/>
      <c r="N148" s="296"/>
      <c r="O148" s="296"/>
      <c r="P148" s="296"/>
      <c r="Q148" s="296"/>
      <c r="R148" s="296"/>
      <c r="S148" s="296"/>
      <c r="T148" s="296"/>
      <c r="U148" s="297"/>
      <c r="V148" s="103"/>
      <c r="W148" s="72"/>
      <c r="X148" s="72"/>
      <c r="Y148" s="72"/>
      <c r="Z148" s="45">
        <f>Z147+1</f>
        <v>17</v>
      </c>
      <c r="AA148" s="77">
        <f t="shared" si="63"/>
        <v>193</v>
      </c>
      <c r="AB148" s="77">
        <f t="shared" si="64"/>
        <v>204</v>
      </c>
      <c r="AC148" s="72">
        <f t="shared" si="51"/>
        <v>1</v>
      </c>
      <c r="AD148" s="72">
        <f t="shared" si="52"/>
        <v>0</v>
      </c>
      <c r="AE148" s="109" t="str">
        <f t="shared" si="53"/>
        <v>389-392</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t="s">
        <v>484</v>
      </c>
      <c r="D149" s="102" t="s">
        <v>806</v>
      </c>
      <c r="E149" s="32">
        <v>4</v>
      </c>
      <c r="F149" s="32" t="s">
        <v>483</v>
      </c>
      <c r="G149" s="68" t="s">
        <v>277</v>
      </c>
      <c r="H149" s="69">
        <f t="shared" si="60"/>
        <v>385</v>
      </c>
      <c r="I149" s="70">
        <f t="shared" si="61"/>
        <v>388</v>
      </c>
      <c r="J149" s="73" t="str">
        <f t="shared" si="62"/>
        <v>--</v>
      </c>
      <c r="K149" s="32"/>
      <c r="L149" s="233"/>
      <c r="M149" s="296"/>
      <c r="N149" s="296"/>
      <c r="O149" s="296"/>
      <c r="P149" s="296"/>
      <c r="Q149" s="296"/>
      <c r="R149" s="296"/>
      <c r="S149" s="296"/>
      <c r="T149" s="296"/>
      <c r="U149" s="297"/>
      <c r="V149" s="103"/>
      <c r="W149" s="72"/>
      <c r="X149" s="72"/>
      <c r="Y149" s="72"/>
      <c r="Z149" s="45">
        <f>Z148+1</f>
        <v>18</v>
      </c>
      <c r="AA149" s="77">
        <f t="shared" si="63"/>
        <v>205</v>
      </c>
      <c r="AB149" s="77">
        <f t="shared" si="64"/>
        <v>216</v>
      </c>
      <c r="AC149" s="72">
        <f t="shared" si="51"/>
        <v>1</v>
      </c>
      <c r="AD149" s="72">
        <f t="shared" si="52"/>
        <v>0</v>
      </c>
      <c r="AE149" s="109" t="str">
        <f t="shared" si="53"/>
        <v>385-388</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6"/>
      <c r="N150" s="296"/>
      <c r="O150" s="296"/>
      <c r="P150" s="296"/>
      <c r="Q150" s="296"/>
      <c r="R150" s="296"/>
      <c r="S150" s="296"/>
      <c r="T150" s="296"/>
      <c r="U150" s="297"/>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6"/>
      <c r="N151" s="296"/>
      <c r="O151" s="296"/>
      <c r="P151" s="296"/>
      <c r="Q151" s="296"/>
      <c r="R151" s="296"/>
      <c r="S151" s="296"/>
      <c r="T151" s="296"/>
      <c r="U151" s="297"/>
      <c r="V151" s="103"/>
      <c r="W151" s="84">
        <f>Y151+1</f>
        <v>49</v>
      </c>
      <c r="X151" s="84"/>
      <c r="Y151" s="78">
        <f>SUM(E140:E151)</f>
        <v>48</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6"/>
      <c r="N152" s="296"/>
      <c r="O152" s="296"/>
      <c r="P152" s="296"/>
      <c r="Q152" s="296"/>
      <c r="R152" s="296"/>
      <c r="S152" s="296"/>
      <c r="T152" s="296"/>
      <c r="U152" s="297"/>
      <c r="V152" s="103"/>
      <c r="W152" s="84">
        <f>Y152+1</f>
        <v>49</v>
      </c>
      <c r="X152" s="84"/>
      <c r="Y152" s="78">
        <f>SUM(E140:E152)</f>
        <v>48</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6"/>
      <c r="N153" s="296"/>
      <c r="O153" s="296"/>
      <c r="P153" s="296"/>
      <c r="Q153" s="296"/>
      <c r="R153" s="296"/>
      <c r="S153" s="296"/>
      <c r="T153" s="296"/>
      <c r="U153" s="297"/>
      <c r="V153" s="103"/>
      <c r="W153" s="84">
        <f>Y153+1</f>
        <v>49</v>
      </c>
      <c r="X153" s="84"/>
      <c r="Y153" s="78">
        <f>SUM(E140:E153)</f>
        <v>48</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6"/>
      <c r="N154" s="296"/>
      <c r="O154" s="296"/>
      <c r="P154" s="296"/>
      <c r="Q154" s="296"/>
      <c r="R154" s="296"/>
      <c r="S154" s="296"/>
      <c r="T154" s="296"/>
      <c r="U154" s="297"/>
      <c r="V154" s="103"/>
      <c r="W154" s="84">
        <f>Y154+1</f>
        <v>49</v>
      </c>
      <c r="X154" s="84"/>
      <c r="Y154" s="78">
        <f>SUM(E140:E154)</f>
        <v>48</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6"/>
      <c r="N155" s="296"/>
      <c r="O155" s="296"/>
      <c r="P155" s="296"/>
      <c r="Q155" s="296"/>
      <c r="R155" s="296"/>
      <c r="S155" s="296"/>
      <c r="T155" s="296"/>
      <c r="U155" s="297"/>
      <c r="V155" s="103"/>
      <c r="W155" s="84">
        <f t="shared" ref="W155:W163" si="67">Y155+1</f>
        <v>49</v>
      </c>
      <c r="X155" s="84"/>
      <c r="Y155" s="78">
        <f>SUM(E140:E155)</f>
        <v>48</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6"/>
      <c r="N156" s="296"/>
      <c r="O156" s="296"/>
      <c r="P156" s="296"/>
      <c r="Q156" s="296"/>
      <c r="R156" s="296"/>
      <c r="S156" s="296"/>
      <c r="T156" s="296"/>
      <c r="U156" s="297"/>
      <c r="V156" s="103"/>
      <c r="W156" s="84">
        <f t="shared" si="67"/>
        <v>49</v>
      </c>
      <c r="X156" s="84"/>
      <c r="Y156" s="78">
        <f>SUM(E140:E156)</f>
        <v>48</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6"/>
      <c r="N157" s="296"/>
      <c r="O157" s="296"/>
      <c r="P157" s="296"/>
      <c r="Q157" s="296"/>
      <c r="R157" s="296"/>
      <c r="S157" s="296"/>
      <c r="T157" s="296"/>
      <c r="U157" s="297"/>
      <c r="V157" s="103"/>
      <c r="W157" s="84">
        <f t="shared" si="67"/>
        <v>49</v>
      </c>
      <c r="X157" s="84"/>
      <c r="Y157" s="78">
        <f>SUM(E140:E157)</f>
        <v>48</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6"/>
      <c r="N158" s="296"/>
      <c r="O158" s="296"/>
      <c r="P158" s="296"/>
      <c r="Q158" s="296"/>
      <c r="R158" s="296"/>
      <c r="S158" s="296"/>
      <c r="T158" s="296"/>
      <c r="U158" s="297"/>
      <c r="V158" s="103"/>
      <c r="W158" s="84">
        <f t="shared" si="67"/>
        <v>49</v>
      </c>
      <c r="X158" s="84"/>
      <c r="Y158" s="78">
        <f>SUM(E140:E158)</f>
        <v>48</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6"/>
      <c r="N159" s="296"/>
      <c r="O159" s="296"/>
      <c r="P159" s="296"/>
      <c r="Q159" s="296"/>
      <c r="R159" s="296"/>
      <c r="S159" s="296"/>
      <c r="T159" s="296"/>
      <c r="U159" s="297"/>
      <c r="V159" s="103"/>
      <c r="W159" s="84">
        <f t="shared" si="67"/>
        <v>49</v>
      </c>
      <c r="X159" s="84"/>
      <c r="Y159" s="78">
        <f>SUM(E140:E159)</f>
        <v>48</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6"/>
      <c r="N160" s="296"/>
      <c r="O160" s="296"/>
      <c r="P160" s="296"/>
      <c r="Q160" s="296"/>
      <c r="R160" s="296"/>
      <c r="S160" s="296"/>
      <c r="T160" s="296"/>
      <c r="U160" s="297"/>
      <c r="V160" s="103"/>
      <c r="W160" s="84">
        <f t="shared" si="67"/>
        <v>49</v>
      </c>
      <c r="X160" s="84"/>
      <c r="Y160" s="78">
        <f>SUM(E140:E160)</f>
        <v>48</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6"/>
      <c r="N161" s="296"/>
      <c r="O161" s="296"/>
      <c r="P161" s="296"/>
      <c r="Q161" s="296"/>
      <c r="R161" s="296"/>
      <c r="S161" s="296"/>
      <c r="T161" s="296"/>
      <c r="U161" s="297"/>
      <c r="V161" s="103"/>
      <c r="W161" s="84">
        <f t="shared" si="67"/>
        <v>49</v>
      </c>
      <c r="X161" s="84"/>
      <c r="Y161" s="78">
        <f>SUM(E140:E161)</f>
        <v>48</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6"/>
      <c r="N162" s="296"/>
      <c r="O162" s="296"/>
      <c r="P162" s="296"/>
      <c r="Q162" s="296"/>
      <c r="R162" s="296"/>
      <c r="S162" s="296"/>
      <c r="T162" s="296"/>
      <c r="U162" s="297"/>
      <c r="V162" s="103"/>
      <c r="W162" s="84">
        <f t="shared" si="67"/>
        <v>49</v>
      </c>
      <c r="X162" s="84"/>
      <c r="Y162" s="78">
        <f>SUM(E140:E162)</f>
        <v>48</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6"/>
      <c r="N163" s="296"/>
      <c r="O163" s="296"/>
      <c r="P163" s="296"/>
      <c r="Q163" s="296"/>
      <c r="R163" s="296"/>
      <c r="S163" s="296"/>
      <c r="T163" s="296"/>
      <c r="U163" s="297"/>
      <c r="V163" s="103"/>
      <c r="W163" s="84">
        <f t="shared" si="67"/>
        <v>49</v>
      </c>
      <c r="X163" s="84"/>
      <c r="Y163" s="78">
        <f>SUM(E140:E163)</f>
        <v>48</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6"/>
      <c r="N164" s="296"/>
      <c r="O164" s="296"/>
      <c r="P164" s="296"/>
      <c r="Q164" s="296"/>
      <c r="R164" s="296"/>
      <c r="S164" s="296"/>
      <c r="T164" s="296"/>
      <c r="U164" s="297"/>
      <c r="V164" s="103"/>
      <c r="W164" s="72"/>
      <c r="X164" s="72"/>
      <c r="Y164" s="78">
        <f>SUM(E140:E164)</f>
        <v>48</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2" t="s">
        <v>311</v>
      </c>
      <c r="C165" s="284"/>
      <c r="D165" s="79"/>
      <c r="E165" s="80"/>
      <c r="F165" s="80"/>
      <c r="G165" s="81"/>
      <c r="H165" s="192"/>
      <c r="I165" s="192"/>
      <c r="J165" s="192"/>
      <c r="K165" s="82"/>
      <c r="L165" s="282" t="s">
        <v>306</v>
      </c>
      <c r="M165" s="283"/>
      <c r="N165" s="283"/>
      <c r="O165" s="283"/>
      <c r="P165" s="283"/>
      <c r="Q165" s="283"/>
      <c r="R165" s="283"/>
      <c r="S165" s="283"/>
      <c r="T165" s="283"/>
      <c r="U165" s="284"/>
      <c r="V165" s="104"/>
      <c r="W165" s="72"/>
      <c r="X165" s="72"/>
      <c r="Y165" s="72"/>
      <c r="Z165" s="72"/>
      <c r="AA165" s="72" t="str">
        <f t="shared" si="66"/>
        <v/>
      </c>
      <c r="AB165" s="72"/>
      <c r="AC165" s="72">
        <f>SUM(AC140:AC164)</f>
        <v>25</v>
      </c>
      <c r="AD165" s="72">
        <f>SUM(AD140:AD164)</f>
        <v>15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2" t="s">
        <v>307</v>
      </c>
      <c r="C166" s="284"/>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5" t="s">
        <v>222</v>
      </c>
      <c r="C170" s="286"/>
      <c r="D170" s="287" t="s">
        <v>223</v>
      </c>
      <c r="E170" s="288"/>
      <c r="F170" s="88"/>
      <c r="G170" s="289" t="s">
        <v>224</v>
      </c>
      <c r="H170" s="290"/>
      <c r="I170" s="28">
        <f>SUM(E181:E205)</f>
        <v>24</v>
      </c>
      <c r="J170" s="291" t="s">
        <v>225</v>
      </c>
      <c r="K170" s="292"/>
      <c r="L170" s="288"/>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8" t="s">
        <v>226</v>
      </c>
      <c r="AA170" s="299"/>
      <c r="AB170" s="300"/>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1" t="s">
        <v>230</v>
      </c>
      <c r="H171" s="288"/>
      <c r="I171" s="33">
        <f>E172-I170</f>
        <v>0</v>
      </c>
      <c r="J171" s="302" t="s">
        <v>231</v>
      </c>
      <c r="K171" s="303"/>
      <c r="L171" s="34">
        <f>I175</f>
        <v>433</v>
      </c>
      <c r="M171" s="196">
        <v>4</v>
      </c>
      <c r="N171" s="35">
        <f>SUM(AI171,AI182)</f>
        <v>0</v>
      </c>
      <c r="O171" s="35">
        <v>0</v>
      </c>
      <c r="P171" s="35">
        <f>SUM(AJ171,AJ182)</f>
        <v>6</v>
      </c>
      <c r="Q171" s="35">
        <v>0</v>
      </c>
      <c r="R171" s="35">
        <f>COUNTIFS($E181:$E205,"4",$F181:$F205,"Pole",$C181:$C205,"FST")</f>
        <v>6</v>
      </c>
      <c r="S171" s="35">
        <f>SUM(AL171,AK182)</f>
        <v>0</v>
      </c>
      <c r="T171" s="35">
        <v>0</v>
      </c>
      <c r="U171" s="35">
        <f>SUM(AK171,AL182)</f>
        <v>0</v>
      </c>
      <c r="V171" s="35">
        <v>0</v>
      </c>
      <c r="W171" s="34">
        <f>COUNTIFS($E181:$E205,"4",$F181:$F205,"HH",$C181:$C205,"FST")</f>
        <v>0</v>
      </c>
      <c r="X171" s="35">
        <f>COUNTIFS($E181:$E205,"4",$F181:$F205,"Ped",$C181:$C205,"FST")</f>
        <v>0</v>
      </c>
      <c r="Y171" s="25"/>
      <c r="Z171" s="304" t="s">
        <v>232</v>
      </c>
      <c r="AA171" s="306" t="s">
        <v>233</v>
      </c>
      <c r="AB171" s="307"/>
      <c r="AC171" s="25"/>
      <c r="AD171" s="25"/>
      <c r="AH171" s="109">
        <v>4</v>
      </c>
      <c r="AI171" s="109" t="str">
        <f>IF($E171="SS",COUNTIFS($C181:$C205,"FST",$E181:$E205,"4"),"0")</f>
        <v>0</v>
      </c>
      <c r="AJ171" s="109">
        <f>IF($E171="RPX",COUNTIFS($C181:$C205,"FST",$E181:$E205,"4"),"0")</f>
        <v>6</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310" t="s">
        <v>237</v>
      </c>
      <c r="H172" s="311"/>
      <c r="I172" s="35">
        <f>IF(E172=0,0,12-(MOD(I170,12)))</f>
        <v>12</v>
      </c>
      <c r="J172" s="302" t="s">
        <v>238</v>
      </c>
      <c r="K172" s="303"/>
      <c r="L172" s="39">
        <f>I176-I170</f>
        <v>432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5"/>
      <c r="AA172" s="308"/>
      <c r="AB172" s="309"/>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8" t="s">
        <v>242</v>
      </c>
      <c r="H173" s="43" t="s">
        <v>243</v>
      </c>
      <c r="I173" s="35">
        <f>IF(E173&lt;&gt;0,1,0)</f>
        <v>0</v>
      </c>
      <c r="J173" s="310" t="s">
        <v>244</v>
      </c>
      <c r="K173" s="311"/>
      <c r="L173" s="44">
        <f>'Cable Calculator'!X3</f>
        <v>1001</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433</v>
      </c>
      <c r="F174" s="88"/>
      <c r="G174" s="279"/>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0</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8" t="s">
        <v>251</v>
      </c>
      <c r="H175" s="51" t="s">
        <v>252</v>
      </c>
      <c r="I175" s="112">
        <f>E174</f>
        <v>433</v>
      </c>
      <c r="J175" s="312" t="s">
        <v>253</v>
      </c>
      <c r="K175" s="313"/>
      <c r="L175" s="31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79"/>
      <c r="H176" s="47" t="s">
        <v>257</v>
      </c>
      <c r="I176" s="35">
        <f>IF(E174="","0",IF(AND(E171="EUC",E172=432), I175+(203-E173),IF(E174=0,0,(E174+(E172-E173)-1))))</f>
        <v>456</v>
      </c>
      <c r="J176" s="293" t="str">
        <f>IFERROR(IF(OR(E171="EUC",E171="SS"),"---",IF(OR(P170,S170),"NO 2F Tethers for RPX!",IF(OR(P172,S172),"NO 6F Tethers for RPX!","---"))),"---")</f>
        <v>---</v>
      </c>
      <c r="K176" s="294"/>
      <c r="L176" s="295"/>
      <c r="M176" s="293" t="str">
        <f>IF(E173&gt;60,"Dead Count &gt;60: Consider Downsize","---")</f>
        <v>---</v>
      </c>
      <c r="N176" s="294"/>
      <c r="O176" s="294"/>
      <c r="P176" s="294"/>
      <c r="Q176" s="294"/>
      <c r="R176" s="294"/>
      <c r="S176" s="294"/>
      <c r="T176" s="294"/>
      <c r="U176" s="295"/>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
      </c>
      <c r="F177" s="88"/>
      <c r="G177" s="192"/>
      <c r="H177" s="57"/>
      <c r="I177" s="192"/>
      <c r="J177" s="293"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4"/>
      <c r="L177" s="295"/>
      <c r="M177" s="293" t="str">
        <f>IF(AND(OR(E171="SS",E171="RPX",E171="EUC",E171="RPX-T"),(OR(C181="",C181="Field SPL"))),"Cannot have FlexNap cables without tethers","---")</f>
        <v>---</v>
      </c>
      <c r="N177" s="294"/>
      <c r="O177" s="294"/>
      <c r="P177" s="294"/>
      <c r="Q177" s="294"/>
      <c r="R177" s="294"/>
      <c r="S177" s="294"/>
      <c r="T177" s="294"/>
      <c r="U177" s="295"/>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3" t="str">
        <f>IF(AND(OR(E171="RPX", E171="RPX-T", E171="SS"),E172=216),"NO 216 For RPX, RPX-T, OR SS CABLE","---")</f>
        <v>---</v>
      </c>
      <c r="K178" s="294"/>
      <c r="L178" s="295"/>
      <c r="M178" s="293" t="str" cm="1">
        <f t="array" ref="M178">IF(AND(E171="",OR(C181:C205="FST",C181:C205="REV T",C181:C205="DBL REV",C181:C205="TPL REV", C181:C205="QD REV")),"Non-FlexNap cables cannot have tethers","---")</f>
        <v>---</v>
      </c>
      <c r="N178" s="294"/>
      <c r="O178" s="294"/>
      <c r="P178" s="294"/>
      <c r="Q178" s="294"/>
      <c r="R178" s="294"/>
      <c r="S178" s="294"/>
      <c r="T178" s="294"/>
      <c r="U178" s="295"/>
      <c r="V178" s="25"/>
      <c r="W178" s="58"/>
      <c r="X178" s="58"/>
      <c r="Y178" s="25"/>
      <c r="Z178" s="45">
        <v>6</v>
      </c>
      <c r="AA178" s="65">
        <v>61</v>
      </c>
      <c r="AB178" s="65">
        <v>72</v>
      </c>
      <c r="AC178" s="25"/>
      <c r="AD178" s="25"/>
      <c r="BA178" s="226"/>
    </row>
    <row r="179" spans="1:53" ht="15.75" customHeight="1" thickBot="1" x14ac:dyDescent="0.3">
      <c r="A179" s="88"/>
      <c r="B179" s="278" t="s">
        <v>260</v>
      </c>
      <c r="C179" s="315" t="s">
        <v>261</v>
      </c>
      <c r="D179" s="315" t="s">
        <v>262</v>
      </c>
      <c r="E179" s="317" t="s">
        <v>263</v>
      </c>
      <c r="F179" s="315" t="s">
        <v>264</v>
      </c>
      <c r="G179" s="280" t="s">
        <v>265</v>
      </c>
      <c r="H179" s="280" t="s">
        <v>266</v>
      </c>
      <c r="I179" s="280" t="s">
        <v>267</v>
      </c>
      <c r="J179" s="319" t="s">
        <v>268</v>
      </c>
      <c r="K179" s="315" t="s">
        <v>269</v>
      </c>
      <c r="L179" s="321" t="s">
        <v>270</v>
      </c>
      <c r="M179" s="323" t="s">
        <v>271</v>
      </c>
      <c r="N179" s="323"/>
      <c r="O179" s="323"/>
      <c r="P179" s="323"/>
      <c r="Q179" s="323"/>
      <c r="R179" s="323"/>
      <c r="S179" s="323"/>
      <c r="T179" s="323"/>
      <c r="U179" s="324"/>
      <c r="V179" s="107"/>
      <c r="W179" s="72"/>
      <c r="X179" s="72"/>
      <c r="Y179" s="72"/>
      <c r="Z179" s="45">
        <v>7</v>
      </c>
      <c r="AA179" s="65">
        <v>73</v>
      </c>
      <c r="AB179" s="65">
        <v>84</v>
      </c>
      <c r="AC179" s="25"/>
      <c r="AD179" s="25"/>
      <c r="BA179" s="228"/>
    </row>
    <row r="180" spans="1:53" ht="15.75" thickBot="1" x14ac:dyDescent="0.3">
      <c r="A180" s="88"/>
      <c r="B180" s="279"/>
      <c r="C180" s="316"/>
      <c r="D180" s="316"/>
      <c r="E180" s="318"/>
      <c r="F180" s="316"/>
      <c r="G180" s="281"/>
      <c r="H180" s="281"/>
      <c r="I180" s="281"/>
      <c r="J180" s="320"/>
      <c r="K180" s="316"/>
      <c r="L180" s="322"/>
      <c r="M180" s="325"/>
      <c r="N180" s="325"/>
      <c r="O180" s="325"/>
      <c r="P180" s="325"/>
      <c r="Q180" s="325"/>
      <c r="R180" s="325"/>
      <c r="S180" s="325"/>
      <c r="T180" s="325"/>
      <c r="U180" s="326"/>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807</v>
      </c>
      <c r="E181" s="32">
        <v>4</v>
      </c>
      <c r="F181" s="32" t="s">
        <v>483</v>
      </c>
      <c r="G181" s="68" t="s">
        <v>277</v>
      </c>
      <c r="H181" s="69">
        <f>IF(I181=0,0,I181-(E181-1))</f>
        <v>453</v>
      </c>
      <c r="I181" s="70">
        <f>IF(E181=0,0,I176)</f>
        <v>456</v>
      </c>
      <c r="J181" s="71" t="s">
        <v>278</v>
      </c>
      <c r="K181" s="32"/>
      <c r="L181" s="233"/>
      <c r="M181" s="296"/>
      <c r="N181" s="296"/>
      <c r="O181" s="296"/>
      <c r="P181" s="296"/>
      <c r="Q181" s="296"/>
      <c r="R181" s="296"/>
      <c r="S181" s="296"/>
      <c r="T181" s="296"/>
      <c r="U181" s="297"/>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453-456</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808</v>
      </c>
      <c r="E182" s="32">
        <v>4</v>
      </c>
      <c r="F182" s="32" t="s">
        <v>483</v>
      </c>
      <c r="G182" s="68" t="s">
        <v>277</v>
      </c>
      <c r="H182" s="69">
        <f t="shared" ref="H182:H205" si="77">IF(E182=0,0,I182-(E182-1))</f>
        <v>449</v>
      </c>
      <c r="I182" s="70">
        <f t="shared" ref="I182:I205" si="78">IF(E182=0,0,H181-1)</f>
        <v>452</v>
      </c>
      <c r="J182" s="73" t="str">
        <f>IF(C182="","--",IF(AND(C182&lt;&gt;"FST",C182&lt;&gt;"TCF",BA181&lt;&gt;0),BA181,"--"))</f>
        <v>--</v>
      </c>
      <c r="K182" s="32"/>
      <c r="L182" s="233"/>
      <c r="M182" s="296"/>
      <c r="N182" s="296"/>
      <c r="O182" s="296"/>
      <c r="P182" s="296"/>
      <c r="Q182" s="296"/>
      <c r="R182" s="296"/>
      <c r="S182" s="296"/>
      <c r="T182" s="296"/>
      <c r="U182" s="297"/>
      <c r="V182" s="103"/>
      <c r="W182" s="72"/>
      <c r="X182" s="72"/>
      <c r="Y182" s="72"/>
      <c r="Z182" s="45">
        <v>10</v>
      </c>
      <c r="AA182" s="46">
        <v>109</v>
      </c>
      <c r="AB182" s="46">
        <v>120</v>
      </c>
      <c r="AC182" s="72">
        <f t="shared" si="68"/>
        <v>1</v>
      </c>
      <c r="AD182" s="72">
        <f t="shared" si="69"/>
        <v>0</v>
      </c>
      <c r="AE182" s="109" t="str">
        <f t="shared" si="70"/>
        <v>449-452</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8</v>
      </c>
    </row>
    <row r="183" spans="1:53" ht="15.75" thickBot="1" x14ac:dyDescent="0.3">
      <c r="A183" s="88"/>
      <c r="B183" s="74" t="s">
        <v>280</v>
      </c>
      <c r="C183" s="67" t="s">
        <v>484</v>
      </c>
      <c r="D183" s="102" t="s">
        <v>809</v>
      </c>
      <c r="E183" s="32">
        <v>4</v>
      </c>
      <c r="F183" s="32" t="s">
        <v>483</v>
      </c>
      <c r="G183" s="75" t="s">
        <v>277</v>
      </c>
      <c r="H183" s="69">
        <f t="shared" si="77"/>
        <v>445</v>
      </c>
      <c r="I183" s="70">
        <f t="shared" si="78"/>
        <v>448</v>
      </c>
      <c r="J183" s="73" t="str">
        <f t="shared" ref="J183:J205" si="79">IF(C183="","--",IF(AND(C183&lt;&gt;"FST",C183&lt;&gt;"TCF",BA182&lt;&gt;0),BA182,"--"))</f>
        <v>--</v>
      </c>
      <c r="K183" s="32"/>
      <c r="L183" s="233"/>
      <c r="M183" s="296"/>
      <c r="N183" s="296"/>
      <c r="O183" s="296"/>
      <c r="P183" s="296"/>
      <c r="Q183" s="296"/>
      <c r="R183" s="296"/>
      <c r="S183" s="296"/>
      <c r="T183" s="296"/>
      <c r="U183" s="297"/>
      <c r="V183" s="103"/>
      <c r="W183" s="72"/>
      <c r="X183" s="72"/>
      <c r="Y183" s="72"/>
      <c r="Z183" s="45">
        <v>11</v>
      </c>
      <c r="AA183" s="46">
        <v>121</v>
      </c>
      <c r="AB183" s="46">
        <v>132</v>
      </c>
      <c r="AC183" s="72">
        <f t="shared" si="68"/>
        <v>1</v>
      </c>
      <c r="AD183" s="72">
        <f t="shared" si="69"/>
        <v>0</v>
      </c>
      <c r="AE183" s="109" t="str">
        <f t="shared" si="70"/>
        <v>445-448</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4</v>
      </c>
    </row>
    <row r="184" spans="1:53" ht="15.75" thickBot="1" x14ac:dyDescent="0.3">
      <c r="A184" s="88"/>
      <c r="B184" s="66" t="s">
        <v>281</v>
      </c>
      <c r="C184" s="67" t="s">
        <v>484</v>
      </c>
      <c r="D184" s="102" t="s">
        <v>810</v>
      </c>
      <c r="E184" s="32">
        <v>4</v>
      </c>
      <c r="F184" s="32" t="s">
        <v>483</v>
      </c>
      <c r="G184" s="68" t="s">
        <v>277</v>
      </c>
      <c r="H184" s="69">
        <f t="shared" si="77"/>
        <v>441</v>
      </c>
      <c r="I184" s="70">
        <f t="shared" si="78"/>
        <v>444</v>
      </c>
      <c r="J184" s="73" t="str">
        <f t="shared" si="79"/>
        <v>--</v>
      </c>
      <c r="K184" s="32"/>
      <c r="L184" s="233"/>
      <c r="M184" s="296"/>
      <c r="N184" s="296"/>
      <c r="O184" s="296"/>
      <c r="P184" s="296"/>
      <c r="Q184" s="296"/>
      <c r="R184" s="296"/>
      <c r="S184" s="296"/>
      <c r="T184" s="296"/>
      <c r="U184" s="297"/>
      <c r="V184" s="103"/>
      <c r="W184" s="72"/>
      <c r="X184" s="72"/>
      <c r="Y184" s="72"/>
      <c r="Z184" s="45">
        <v>12</v>
      </c>
      <c r="AA184" s="76">
        <v>133</v>
      </c>
      <c r="AB184" s="76">
        <v>144</v>
      </c>
      <c r="AC184" s="72">
        <f t="shared" si="68"/>
        <v>1</v>
      </c>
      <c r="AD184" s="72">
        <f t="shared" si="69"/>
        <v>0</v>
      </c>
      <c r="AE184" s="109" t="str">
        <f t="shared" si="70"/>
        <v>441-444</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8</v>
      </c>
    </row>
    <row r="185" spans="1:53" ht="15.75" thickBot="1" x14ac:dyDescent="0.3">
      <c r="A185" s="88"/>
      <c r="B185" s="66" t="s">
        <v>282</v>
      </c>
      <c r="C185" s="67" t="s">
        <v>484</v>
      </c>
      <c r="D185" s="102" t="s">
        <v>811</v>
      </c>
      <c r="E185" s="32">
        <v>4</v>
      </c>
      <c r="F185" s="32" t="s">
        <v>483</v>
      </c>
      <c r="G185" s="68" t="s">
        <v>277</v>
      </c>
      <c r="H185" s="69">
        <f t="shared" si="77"/>
        <v>437</v>
      </c>
      <c r="I185" s="70">
        <f t="shared" si="78"/>
        <v>440</v>
      </c>
      <c r="J185" s="73" t="str">
        <f t="shared" si="79"/>
        <v>--</v>
      </c>
      <c r="K185" s="32"/>
      <c r="L185" s="233"/>
      <c r="M185" s="296"/>
      <c r="N185" s="296"/>
      <c r="O185" s="296"/>
      <c r="P185" s="296"/>
      <c r="Q185" s="296"/>
      <c r="R185" s="296"/>
      <c r="S185" s="296"/>
      <c r="T185" s="296"/>
      <c r="U185" s="297"/>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437-440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t="s">
        <v>484</v>
      </c>
      <c r="D186" s="102" t="s">
        <v>812</v>
      </c>
      <c r="E186" s="32">
        <v>4</v>
      </c>
      <c r="F186" s="32" t="s">
        <v>483</v>
      </c>
      <c r="G186" s="68" t="s">
        <v>277</v>
      </c>
      <c r="H186" s="69">
        <f t="shared" si="77"/>
        <v>433</v>
      </c>
      <c r="I186" s="70">
        <f t="shared" si="78"/>
        <v>436</v>
      </c>
      <c r="J186" s="73" t="str">
        <f t="shared" si="79"/>
        <v>--</v>
      </c>
      <c r="K186" s="32"/>
      <c r="L186" s="233"/>
      <c r="M186" s="296"/>
      <c r="N186" s="296"/>
      <c r="O186" s="296"/>
      <c r="P186" s="296"/>
      <c r="Q186" s="296"/>
      <c r="R186" s="296"/>
      <c r="S186" s="296"/>
      <c r="T186" s="296"/>
      <c r="U186" s="297"/>
      <c r="V186" s="103"/>
      <c r="W186" s="72"/>
      <c r="X186" s="72"/>
      <c r="Y186" s="72"/>
      <c r="Z186" s="45">
        <v>14</v>
      </c>
      <c r="AA186" s="77">
        <f t="shared" si="80"/>
        <v>157</v>
      </c>
      <c r="AB186" s="77">
        <f t="shared" si="81"/>
        <v>168</v>
      </c>
      <c r="AC186" s="72">
        <f t="shared" si="68"/>
        <v>1</v>
      </c>
      <c r="AD186" s="72">
        <f t="shared" si="69"/>
        <v>0</v>
      </c>
      <c r="AE186" s="109" t="str">
        <f t="shared" si="70"/>
        <v>433-436</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6"/>
      <c r="N187" s="296"/>
      <c r="O187" s="296"/>
      <c r="P187" s="296"/>
      <c r="Q187" s="296"/>
      <c r="R187" s="296"/>
      <c r="S187" s="296"/>
      <c r="T187" s="296"/>
      <c r="U187" s="297"/>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6"/>
      <c r="N188" s="296"/>
      <c r="O188" s="296"/>
      <c r="P188" s="296"/>
      <c r="Q188" s="296"/>
      <c r="R188" s="296"/>
      <c r="S188" s="296"/>
      <c r="T188" s="296"/>
      <c r="U188" s="297"/>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6"/>
      <c r="N189" s="296"/>
      <c r="O189" s="296"/>
      <c r="P189" s="296"/>
      <c r="Q189" s="296"/>
      <c r="R189" s="296"/>
      <c r="S189" s="296"/>
      <c r="T189" s="296"/>
      <c r="U189" s="297"/>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6"/>
      <c r="N190" s="296"/>
      <c r="O190" s="296"/>
      <c r="P190" s="296"/>
      <c r="Q190" s="296"/>
      <c r="R190" s="296"/>
      <c r="S190" s="296"/>
      <c r="T190" s="296"/>
      <c r="U190" s="297"/>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6"/>
      <c r="N191" s="296"/>
      <c r="O191" s="296"/>
      <c r="P191" s="296"/>
      <c r="Q191" s="296"/>
      <c r="R191" s="296"/>
      <c r="S191" s="296"/>
      <c r="T191" s="296"/>
      <c r="U191" s="297"/>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6"/>
      <c r="N192" s="296"/>
      <c r="O192" s="296"/>
      <c r="P192" s="296"/>
      <c r="Q192" s="296"/>
      <c r="R192" s="296"/>
      <c r="S192" s="296"/>
      <c r="T192" s="296"/>
      <c r="U192" s="297"/>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6"/>
      <c r="N193" s="296"/>
      <c r="O193" s="296"/>
      <c r="P193" s="296"/>
      <c r="Q193" s="296"/>
      <c r="R193" s="296"/>
      <c r="S193" s="296"/>
      <c r="T193" s="296"/>
      <c r="U193" s="297"/>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6"/>
      <c r="N194" s="296"/>
      <c r="O194" s="296"/>
      <c r="P194" s="296"/>
      <c r="Q194" s="296"/>
      <c r="R194" s="296"/>
      <c r="S194" s="296"/>
      <c r="T194" s="296"/>
      <c r="U194" s="297"/>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6"/>
      <c r="N195" s="296"/>
      <c r="O195" s="296"/>
      <c r="P195" s="296"/>
      <c r="Q195" s="296"/>
      <c r="R195" s="296"/>
      <c r="S195" s="296"/>
      <c r="T195" s="296"/>
      <c r="U195" s="297"/>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6"/>
      <c r="N196" s="296"/>
      <c r="O196" s="296"/>
      <c r="P196" s="296"/>
      <c r="Q196" s="296"/>
      <c r="R196" s="296"/>
      <c r="S196" s="296"/>
      <c r="T196" s="296"/>
      <c r="U196" s="297"/>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6"/>
      <c r="N197" s="296"/>
      <c r="O197" s="296"/>
      <c r="P197" s="296"/>
      <c r="Q197" s="296"/>
      <c r="R197" s="296"/>
      <c r="S197" s="296"/>
      <c r="T197" s="296"/>
      <c r="U197" s="297"/>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6"/>
      <c r="N198" s="296"/>
      <c r="O198" s="296"/>
      <c r="P198" s="296"/>
      <c r="Q198" s="296"/>
      <c r="R198" s="296"/>
      <c r="S198" s="296"/>
      <c r="T198" s="296"/>
      <c r="U198" s="297"/>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6"/>
      <c r="N199" s="296"/>
      <c r="O199" s="296"/>
      <c r="P199" s="296"/>
      <c r="Q199" s="296"/>
      <c r="R199" s="296"/>
      <c r="S199" s="296"/>
      <c r="T199" s="296"/>
      <c r="U199" s="297"/>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6"/>
      <c r="N200" s="296"/>
      <c r="O200" s="296"/>
      <c r="P200" s="296"/>
      <c r="Q200" s="296"/>
      <c r="R200" s="296"/>
      <c r="S200" s="296"/>
      <c r="T200" s="296"/>
      <c r="U200" s="297"/>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6"/>
      <c r="N201" s="296"/>
      <c r="O201" s="296"/>
      <c r="P201" s="296"/>
      <c r="Q201" s="296"/>
      <c r="R201" s="296"/>
      <c r="S201" s="296"/>
      <c r="T201" s="296"/>
      <c r="U201" s="297"/>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6"/>
      <c r="N202" s="296"/>
      <c r="O202" s="296"/>
      <c r="P202" s="296"/>
      <c r="Q202" s="296"/>
      <c r="R202" s="296"/>
      <c r="S202" s="296"/>
      <c r="T202" s="296"/>
      <c r="U202" s="297"/>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6"/>
      <c r="N203" s="296"/>
      <c r="O203" s="296"/>
      <c r="P203" s="296"/>
      <c r="Q203" s="296"/>
      <c r="R203" s="296"/>
      <c r="S203" s="296"/>
      <c r="T203" s="296"/>
      <c r="U203" s="297"/>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6"/>
      <c r="N204" s="296"/>
      <c r="O204" s="296"/>
      <c r="P204" s="296"/>
      <c r="Q204" s="296"/>
      <c r="R204" s="296"/>
      <c r="S204" s="296"/>
      <c r="T204" s="296"/>
      <c r="U204" s="297"/>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6"/>
      <c r="N205" s="296"/>
      <c r="O205" s="296"/>
      <c r="P205" s="296"/>
      <c r="Q205" s="296"/>
      <c r="R205" s="296"/>
      <c r="S205" s="296"/>
      <c r="T205" s="296"/>
      <c r="U205" s="297"/>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2" t="s">
        <v>313</v>
      </c>
      <c r="C206" s="284"/>
      <c r="D206" s="79"/>
      <c r="E206" s="80"/>
      <c r="F206" s="80"/>
      <c r="G206" s="81"/>
      <c r="H206" s="192"/>
      <c r="I206" s="192"/>
      <c r="J206" s="192"/>
      <c r="K206" s="82"/>
      <c r="L206" s="282" t="s">
        <v>306</v>
      </c>
      <c r="M206" s="283"/>
      <c r="N206" s="283"/>
      <c r="O206" s="283"/>
      <c r="P206" s="283"/>
      <c r="Q206" s="283"/>
      <c r="R206" s="283"/>
      <c r="S206" s="283"/>
      <c r="T206" s="283"/>
      <c r="U206" s="284"/>
      <c r="V206" s="104"/>
      <c r="W206" s="72"/>
      <c r="X206" s="72"/>
      <c r="Y206" s="72"/>
      <c r="Z206" s="72"/>
      <c r="AA206" s="72" t="str">
        <f t="shared" si="83"/>
        <v/>
      </c>
      <c r="AB206" s="72"/>
      <c r="AC206" s="72">
        <f>SUM(AC181:AC205)</f>
        <v>25</v>
      </c>
      <c r="AD206" s="72">
        <f>SUM(AD181:AD205)</f>
        <v>19</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2" t="s">
        <v>307</v>
      </c>
      <c r="C207" s="284"/>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5" t="s">
        <v>222</v>
      </c>
      <c r="C211" s="286"/>
      <c r="D211" s="287" t="s">
        <v>223</v>
      </c>
      <c r="E211" s="288"/>
      <c r="F211" s="88"/>
      <c r="G211" s="289" t="s">
        <v>224</v>
      </c>
      <c r="H211" s="290"/>
      <c r="I211" s="28">
        <f>SUM(E222:E246)</f>
        <v>60</v>
      </c>
      <c r="J211" s="291" t="s">
        <v>225</v>
      </c>
      <c r="K211" s="292"/>
      <c r="L211" s="288"/>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8" t="s">
        <v>226</v>
      </c>
      <c r="AA211" s="299"/>
      <c r="AB211" s="300"/>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1" t="s">
        <v>230</v>
      </c>
      <c r="H212" s="288"/>
      <c r="I212" s="33">
        <f>E213-I211</f>
        <v>12</v>
      </c>
      <c r="J212" s="302" t="s">
        <v>231</v>
      </c>
      <c r="K212" s="303"/>
      <c r="L212" s="34">
        <f>I216</f>
        <v>457</v>
      </c>
      <c r="M212" s="196">
        <v>4</v>
      </c>
      <c r="N212" s="35">
        <f>SUM(AI212,AI223)</f>
        <v>0</v>
      </c>
      <c r="O212" s="35">
        <v>0</v>
      </c>
      <c r="P212" s="35">
        <f>SUM(AJ212,AJ223)</f>
        <v>0</v>
      </c>
      <c r="Q212" s="35">
        <v>0</v>
      </c>
      <c r="R212" s="35">
        <f>COUNTIFS($E222:$E246,"4",$F222:$F246,"Pole",$C222:$C246,"FST")</f>
        <v>2</v>
      </c>
      <c r="S212" s="35">
        <f>SUM(AL212,AK223)</f>
        <v>0</v>
      </c>
      <c r="T212" s="35">
        <v>0</v>
      </c>
      <c r="U212" s="35">
        <f>SUM(AK212,AL223)</f>
        <v>2</v>
      </c>
      <c r="V212" s="35">
        <v>0</v>
      </c>
      <c r="W212" s="34">
        <f>COUNTIFS($E222:$E246,"4",$F222:$F246,"HH",$C222:$C246,"FST")</f>
        <v>0</v>
      </c>
      <c r="X212" s="35">
        <f>COUNTIFS($E222:$E246,"4",$F222:$F246,"Ped",$C222:$C246,"FST")</f>
        <v>0</v>
      </c>
      <c r="Y212" s="25"/>
      <c r="Z212" s="304" t="s">
        <v>232</v>
      </c>
      <c r="AA212" s="306" t="s">
        <v>233</v>
      </c>
      <c r="AB212" s="307"/>
      <c r="AC212" s="25"/>
      <c r="AD212" s="25"/>
      <c r="AH212" s="109">
        <v>4</v>
      </c>
      <c r="AI212" s="109" t="str">
        <f>IF($E212="SS",COUNTIFS($C222:$C246,"FST",$E222:$E246,"4"),"0")</f>
        <v>0</v>
      </c>
      <c r="AJ212" s="109" t="str">
        <f>IF($E212="RPX",COUNTIFS($C222:$C246,"FST",$E222:$E246,"4"),"0")</f>
        <v>0</v>
      </c>
      <c r="AK212" s="109">
        <f>IF($E212="EUC",COUNTIFS($C222:$C246,"FST",$E222:$E246,"4"),"0")</f>
        <v>2</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72</v>
      </c>
      <c r="F213" s="88"/>
      <c r="G213" s="310" t="s">
        <v>237</v>
      </c>
      <c r="H213" s="311"/>
      <c r="I213" s="35">
        <f>IF(E213=0,0,12-(MOD(I211,12)))</f>
        <v>12</v>
      </c>
      <c r="J213" s="302" t="s">
        <v>238</v>
      </c>
      <c r="K213" s="303"/>
      <c r="L213" s="39">
        <f>I217-I211</f>
        <v>456</v>
      </c>
      <c r="M213" s="196">
        <v>6</v>
      </c>
      <c r="N213" s="35">
        <f>SUM(AI213,AI224)</f>
        <v>0</v>
      </c>
      <c r="O213" s="35">
        <v>0</v>
      </c>
      <c r="P213" s="35">
        <f>SUM(AJ213,AJ224)</f>
        <v>0</v>
      </c>
      <c r="Q213" s="35">
        <v>0</v>
      </c>
      <c r="R213" s="35">
        <f>COUNTIFS($E222:$E246,"6",$F222:$F246,"Pole",$C222:$C246,"FST")</f>
        <v>2</v>
      </c>
      <c r="S213" s="35">
        <f>SUM(AL213,AK224)</f>
        <v>0</v>
      </c>
      <c r="T213" s="35">
        <v>0</v>
      </c>
      <c r="U213" s="35">
        <f>SUM(AK213,AL224)</f>
        <v>2</v>
      </c>
      <c r="V213" s="35">
        <v>0</v>
      </c>
      <c r="W213" s="34">
        <f>COUNTIFS($E222:$E246,"6",$F222:$F246,"HH",$C222:$C246,"FST")</f>
        <v>0</v>
      </c>
      <c r="X213" s="35">
        <f>COUNTIFS($E222:$E246,"6",$F222:$F246,"Ped",$C222:$C246,"FST")</f>
        <v>0</v>
      </c>
      <c r="Y213" s="25"/>
      <c r="Z213" s="305"/>
      <c r="AA213" s="308"/>
      <c r="AB213" s="309"/>
      <c r="AC213" s="25"/>
      <c r="AD213" s="25"/>
      <c r="AH213" s="109">
        <v>6</v>
      </c>
      <c r="AI213" s="109" t="str">
        <f>IF($E212="SS",COUNTIFS($C222:$C246,"FST",$E222:$E246,"6"),"0")</f>
        <v>0</v>
      </c>
      <c r="AJ213" s="109" t="str">
        <f>IF($E212="RPX",COUNTIFS($C222:$C246,"FST",$E222:$E246,"6"),"0")</f>
        <v>0</v>
      </c>
      <c r="AK213" s="109">
        <f>IF($E212="EUC",COUNTIFS($C222:$C246,"FST",$E222:$E246,"6"),"0")</f>
        <v>2</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12</v>
      </c>
      <c r="F214" s="88"/>
      <c r="G214" s="278" t="s">
        <v>242</v>
      </c>
      <c r="H214" s="43" t="s">
        <v>243</v>
      </c>
      <c r="I214" s="35">
        <f>IF(E214&lt;&gt;0,1,0)</f>
        <v>1</v>
      </c>
      <c r="J214" s="310" t="s">
        <v>244</v>
      </c>
      <c r="K214" s="311"/>
      <c r="L214" s="44">
        <f>'Cable Calculator'!AC3</f>
        <v>1147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457</v>
      </c>
      <c r="F215" s="88"/>
      <c r="G215" s="279"/>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2</v>
      </c>
      <c r="V215" s="35">
        <f>IF($E212="EUC",SUM($AN247,AP247,AR247),"0")</f>
        <v>1</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6</v>
      </c>
      <c r="F216" s="88"/>
      <c r="G216" s="278" t="s">
        <v>251</v>
      </c>
      <c r="H216" s="51" t="s">
        <v>252</v>
      </c>
      <c r="I216" s="112">
        <f>E215</f>
        <v>457</v>
      </c>
      <c r="J216" s="312" t="s">
        <v>253</v>
      </c>
      <c r="K216" s="313"/>
      <c r="L216" s="31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279"/>
      <c r="H217" s="47" t="s">
        <v>257</v>
      </c>
      <c r="I217" s="35">
        <f>IF(E215="","0",IF(AND(E212="EUC",E213=432), I216+(203-E214),IF(E215=0,0,(E215+(E213-E214)-1))))</f>
        <v>516</v>
      </c>
      <c r="J217" s="293" t="str">
        <f>IFERROR(IF(OR(E212="EUC",E212="SS"),"---",IF(OR(P211,S211),"NO 2F Tethers for RPX!",IF(OR(P213,S213),"NO 6F Tethers for RPX!","---"))),"---")</f>
        <v>---</v>
      </c>
      <c r="K217" s="294"/>
      <c r="L217" s="295"/>
      <c r="M217" s="293" t="str">
        <f>IF(E214&gt;60,"Dead Count &gt;60: Consider Downsize","---")</f>
        <v>---</v>
      </c>
      <c r="N217" s="294"/>
      <c r="O217" s="294"/>
      <c r="P217" s="294"/>
      <c r="Q217" s="294"/>
      <c r="R217" s="294"/>
      <c r="S217" s="294"/>
      <c r="T217" s="294"/>
      <c r="U217" s="295"/>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60</v>
      </c>
      <c r="D218" s="31" t="s">
        <v>259</v>
      </c>
      <c r="E218" s="101" t="str">
        <f>IF(AS212="Y","DBL",IF(AS213="Y","TRPL",IF(AS214="Y","QUAD","")))</f>
        <v/>
      </c>
      <c r="F218" s="88"/>
      <c r="G218" s="192"/>
      <c r="H218" s="57"/>
      <c r="I218" s="192"/>
      <c r="J218" s="293"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4"/>
      <c r="L218" s="295"/>
      <c r="M218" s="293" t="str">
        <f>IF(AND(OR(E212="SS",E212="RPX",E212="EUC",E212="RPX-T"),(OR(C222="",C222="Field SPL"))),"Cannot have FlexNap cables without tethers","---")</f>
        <v>---</v>
      </c>
      <c r="N218" s="294"/>
      <c r="O218" s="294"/>
      <c r="P218" s="294"/>
      <c r="Q218" s="294"/>
      <c r="R218" s="294"/>
      <c r="S218" s="294"/>
      <c r="T218" s="294"/>
      <c r="U218" s="295"/>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3" t="str">
        <f>IF(AND(OR(E212="RPX", E212="RPX-T", E212="SS"),E213=216),"NO 216 For RPX, RPX-T, OR SS CABLE","---")</f>
        <v>---</v>
      </c>
      <c r="K219" s="294"/>
      <c r="L219" s="295"/>
      <c r="M219" s="293" t="str" cm="1">
        <f t="array" ref="M219">IF(AND(E212="",OR(C222:C246="FST",C222:C246="REV T",C222:C246="DBL REV",C222:C246="TPL REV", C222:C246="QD REV")),"Non-FlexNap cables cannot have tethers","---")</f>
        <v>---</v>
      </c>
      <c r="N219" s="294"/>
      <c r="O219" s="294"/>
      <c r="P219" s="294"/>
      <c r="Q219" s="294"/>
      <c r="R219" s="294"/>
      <c r="S219" s="294"/>
      <c r="T219" s="294"/>
      <c r="U219" s="295"/>
      <c r="V219" s="25"/>
      <c r="W219" s="58"/>
      <c r="X219" s="58"/>
      <c r="Y219" s="25"/>
      <c r="Z219" s="45">
        <v>6</v>
      </c>
      <c r="AA219" s="65">
        <v>61</v>
      </c>
      <c r="AB219" s="65">
        <v>72</v>
      </c>
      <c r="AC219" s="25"/>
      <c r="AD219" s="25"/>
      <c r="BA219" s="226"/>
    </row>
    <row r="220" spans="1:53" ht="15.75" customHeight="1" thickBot="1" x14ac:dyDescent="0.3">
      <c r="A220" s="88"/>
      <c r="B220" s="278" t="s">
        <v>260</v>
      </c>
      <c r="C220" s="315" t="s">
        <v>261</v>
      </c>
      <c r="D220" s="315" t="s">
        <v>262</v>
      </c>
      <c r="E220" s="317" t="s">
        <v>263</v>
      </c>
      <c r="F220" s="315" t="s">
        <v>264</v>
      </c>
      <c r="G220" s="280" t="s">
        <v>265</v>
      </c>
      <c r="H220" s="280" t="s">
        <v>266</v>
      </c>
      <c r="I220" s="280" t="s">
        <v>267</v>
      </c>
      <c r="J220" s="319" t="s">
        <v>268</v>
      </c>
      <c r="K220" s="315" t="s">
        <v>269</v>
      </c>
      <c r="L220" s="321" t="s">
        <v>270</v>
      </c>
      <c r="M220" s="323" t="s">
        <v>271</v>
      </c>
      <c r="N220" s="323"/>
      <c r="O220" s="323"/>
      <c r="P220" s="323"/>
      <c r="Q220" s="323"/>
      <c r="R220" s="323"/>
      <c r="S220" s="323"/>
      <c r="T220" s="323"/>
      <c r="U220" s="324"/>
      <c r="V220" s="107"/>
      <c r="W220" s="72"/>
      <c r="X220" s="72"/>
      <c r="Y220" s="72"/>
      <c r="Z220" s="45">
        <v>7</v>
      </c>
      <c r="AA220" s="65">
        <v>73</v>
      </c>
      <c r="AB220" s="65">
        <v>84</v>
      </c>
      <c r="AC220" s="25"/>
      <c r="AD220" s="25"/>
      <c r="BA220" s="228"/>
    </row>
    <row r="221" spans="1:53" ht="15.75" thickBot="1" x14ac:dyDescent="0.3">
      <c r="A221" s="88"/>
      <c r="B221" s="279"/>
      <c r="C221" s="316"/>
      <c r="D221" s="316"/>
      <c r="E221" s="318"/>
      <c r="F221" s="316"/>
      <c r="G221" s="281"/>
      <c r="H221" s="281"/>
      <c r="I221" s="281"/>
      <c r="J221" s="320"/>
      <c r="K221" s="316"/>
      <c r="L221" s="322"/>
      <c r="M221" s="325"/>
      <c r="N221" s="325"/>
      <c r="O221" s="325"/>
      <c r="P221" s="325"/>
      <c r="Q221" s="325"/>
      <c r="R221" s="325"/>
      <c r="S221" s="325"/>
      <c r="T221" s="325"/>
      <c r="U221" s="326"/>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764</v>
      </c>
      <c r="E222" s="32">
        <v>6</v>
      </c>
      <c r="F222" s="32" t="s">
        <v>483</v>
      </c>
      <c r="G222" s="68" t="s">
        <v>277</v>
      </c>
      <c r="H222" s="69">
        <f>IF(I222=0,0,I222-(E222-1))</f>
        <v>511</v>
      </c>
      <c r="I222" s="70">
        <f>IF(E222=0,0,I217)</f>
        <v>516</v>
      </c>
      <c r="J222" s="71" t="s">
        <v>278</v>
      </c>
      <c r="K222" s="32"/>
      <c r="L222" s="233"/>
      <c r="M222" s="296"/>
      <c r="N222" s="296"/>
      <c r="O222" s="296"/>
      <c r="P222" s="296"/>
      <c r="Q222" s="296"/>
      <c r="R222" s="296"/>
      <c r="S222" s="296"/>
      <c r="T222" s="296"/>
      <c r="U222" s="297"/>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511-516</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6</v>
      </c>
    </row>
    <row r="223" spans="1:53" ht="15.75" thickBot="1" x14ac:dyDescent="0.3">
      <c r="A223" s="88"/>
      <c r="B223" s="66" t="s">
        <v>279</v>
      </c>
      <c r="C223" s="67" t="s">
        <v>484</v>
      </c>
      <c r="D223" s="102" t="s">
        <v>815</v>
      </c>
      <c r="E223" s="32">
        <v>6</v>
      </c>
      <c r="F223" s="32" t="s">
        <v>483</v>
      </c>
      <c r="G223" s="68" t="s">
        <v>277</v>
      </c>
      <c r="H223" s="69">
        <f t="shared" ref="H223:H246" si="94">IF(E223=0,0,I223-(E223-1))</f>
        <v>505</v>
      </c>
      <c r="I223" s="70">
        <f t="shared" ref="I223:I246" si="95">IF(E223=0,0,H222-1)</f>
        <v>510</v>
      </c>
      <c r="J223" s="73" t="str">
        <f>IF(C223="","--",IF(AND(C223&lt;&gt;"FST",C223&lt;&gt;"TCF",BA222&lt;&gt;0),BA222,"--"))</f>
        <v>--</v>
      </c>
      <c r="K223" s="32"/>
      <c r="L223" s="233"/>
      <c r="M223" s="296" t="s">
        <v>765</v>
      </c>
      <c r="N223" s="296"/>
      <c r="O223" s="296"/>
      <c r="P223" s="296"/>
      <c r="Q223" s="296"/>
      <c r="R223" s="296"/>
      <c r="S223" s="296"/>
      <c r="T223" s="296"/>
      <c r="U223" s="297"/>
      <c r="V223" s="103"/>
      <c r="W223" s="72"/>
      <c r="X223" s="72"/>
      <c r="Y223" s="72"/>
      <c r="Z223" s="45">
        <v>10</v>
      </c>
      <c r="AA223" s="46">
        <v>109</v>
      </c>
      <c r="AB223" s="46">
        <v>120</v>
      </c>
      <c r="AC223" s="72">
        <f t="shared" si="85"/>
        <v>1</v>
      </c>
      <c r="AD223" s="72">
        <f t="shared" si="86"/>
        <v>0</v>
      </c>
      <c r="AE223" s="109" t="str">
        <f t="shared" si="87"/>
        <v>505-510</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t="s">
        <v>500</v>
      </c>
      <c r="D224" s="102"/>
      <c r="E224" s="32">
        <v>12</v>
      </c>
      <c r="F224" s="32"/>
      <c r="G224" s="75" t="s">
        <v>277</v>
      </c>
      <c r="H224" s="69">
        <f t="shared" si="94"/>
        <v>493</v>
      </c>
      <c r="I224" s="70">
        <f t="shared" si="95"/>
        <v>504</v>
      </c>
      <c r="J224" s="73" t="str">
        <f t="shared" ref="J224:J246" si="96">IF(C224="","--",IF(AND(C224&lt;&gt;"FST",C224&lt;&gt;"TCF",BA223&lt;&gt;0),BA223,"--"))</f>
        <v>--</v>
      </c>
      <c r="K224" s="32"/>
      <c r="L224" s="233"/>
      <c r="M224" s="296" t="s">
        <v>420</v>
      </c>
      <c r="N224" s="296"/>
      <c r="O224" s="296"/>
      <c r="P224" s="296"/>
      <c r="Q224" s="296"/>
      <c r="R224" s="296"/>
      <c r="S224" s="296"/>
      <c r="T224" s="296"/>
      <c r="U224" s="297"/>
      <c r="V224" s="103"/>
      <c r="W224" s="72"/>
      <c r="X224" s="72"/>
      <c r="Y224" s="72"/>
      <c r="Z224" s="45">
        <v>11</v>
      </c>
      <c r="AA224" s="46">
        <v>121</v>
      </c>
      <c r="AB224" s="46">
        <v>132</v>
      </c>
      <c r="AC224" s="72">
        <f t="shared" si="85"/>
        <v>1</v>
      </c>
      <c r="AD224" s="72">
        <f t="shared" si="86"/>
        <v>1</v>
      </c>
      <c r="AE224" s="109" t="str">
        <f t="shared" si="87"/>
        <v>493-504</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Y</v>
      </c>
      <c r="AQ224" s="109" t="str">
        <f t="shared" si="93"/>
        <v/>
      </c>
      <c r="BA224" s="229">
        <f>MOD(SUM(E222:E225),12)</f>
        <v>0</v>
      </c>
    </row>
    <row r="225" spans="1:53" ht="15.75" thickBot="1" x14ac:dyDescent="0.3">
      <c r="A225" s="88"/>
      <c r="B225" s="66" t="s">
        <v>281</v>
      </c>
      <c r="C225" s="67" t="s">
        <v>500</v>
      </c>
      <c r="D225" s="102"/>
      <c r="E225" s="32">
        <v>12</v>
      </c>
      <c r="F225" s="32"/>
      <c r="G225" s="68" t="s">
        <v>277</v>
      </c>
      <c r="H225" s="69">
        <f t="shared" si="94"/>
        <v>481</v>
      </c>
      <c r="I225" s="70">
        <f t="shared" si="95"/>
        <v>492</v>
      </c>
      <c r="J225" s="73" t="str">
        <f t="shared" si="96"/>
        <v>--</v>
      </c>
      <c r="K225" s="32"/>
      <c r="L225" s="233"/>
      <c r="M225" s="296" t="s">
        <v>420</v>
      </c>
      <c r="N225" s="296"/>
      <c r="O225" s="296"/>
      <c r="P225" s="296"/>
      <c r="Q225" s="296"/>
      <c r="R225" s="296"/>
      <c r="S225" s="296"/>
      <c r="T225" s="296"/>
      <c r="U225" s="297"/>
      <c r="V225" s="103"/>
      <c r="W225" s="72"/>
      <c r="X225" s="72"/>
      <c r="Y225" s="72"/>
      <c r="Z225" s="45">
        <v>12</v>
      </c>
      <c r="AA225" s="76">
        <v>133</v>
      </c>
      <c r="AB225" s="76">
        <v>144</v>
      </c>
      <c r="AC225" s="72">
        <f t="shared" si="85"/>
        <v>1</v>
      </c>
      <c r="AD225" s="72">
        <f t="shared" si="86"/>
        <v>1</v>
      </c>
      <c r="AE225" s="109" t="str">
        <f t="shared" si="87"/>
        <v>481-492</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Y</v>
      </c>
      <c r="AQ225" s="109" t="str">
        <f t="shared" si="93"/>
        <v/>
      </c>
      <c r="BA225" s="229">
        <f>MOD(SUM(E222:E226),12)</f>
        <v>0</v>
      </c>
    </row>
    <row r="226" spans="1:53" ht="15.75" thickBot="1" x14ac:dyDescent="0.3">
      <c r="A226" s="88"/>
      <c r="B226" s="66" t="s">
        <v>282</v>
      </c>
      <c r="C226" s="67" t="s">
        <v>500</v>
      </c>
      <c r="D226" s="102"/>
      <c r="E226" s="32">
        <v>12</v>
      </c>
      <c r="F226" s="32"/>
      <c r="G226" s="68" t="s">
        <v>277</v>
      </c>
      <c r="H226" s="69">
        <f t="shared" si="94"/>
        <v>469</v>
      </c>
      <c r="I226" s="70">
        <f t="shared" si="95"/>
        <v>480</v>
      </c>
      <c r="J226" s="73" t="str">
        <f t="shared" si="96"/>
        <v>--</v>
      </c>
      <c r="K226" s="32"/>
      <c r="L226" s="233"/>
      <c r="M226" s="296" t="s">
        <v>767</v>
      </c>
      <c r="N226" s="296"/>
      <c r="O226" s="296"/>
      <c r="P226" s="296"/>
      <c r="Q226" s="296"/>
      <c r="R226" s="296"/>
      <c r="S226" s="296"/>
      <c r="T226" s="296"/>
      <c r="U226" s="297"/>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469-480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Y</v>
      </c>
      <c r="AQ226" s="109" t="str">
        <f t="shared" si="93"/>
        <v/>
      </c>
      <c r="BA226" s="229">
        <f>MOD(SUM(E222:E227),12)</f>
        <v>4</v>
      </c>
    </row>
    <row r="227" spans="1:53" ht="15.75" thickBot="1" x14ac:dyDescent="0.3">
      <c r="A227" s="88"/>
      <c r="B227" s="66" t="s">
        <v>283</v>
      </c>
      <c r="C227" s="67" t="s">
        <v>484</v>
      </c>
      <c r="D227" s="102" t="s">
        <v>816</v>
      </c>
      <c r="E227" s="32">
        <v>4</v>
      </c>
      <c r="F227" s="32" t="s">
        <v>483</v>
      </c>
      <c r="G227" s="68" t="s">
        <v>277</v>
      </c>
      <c r="H227" s="69">
        <f t="shared" si="94"/>
        <v>465</v>
      </c>
      <c r="I227" s="70">
        <f t="shared" si="95"/>
        <v>468</v>
      </c>
      <c r="J227" s="73" t="str">
        <f t="shared" si="96"/>
        <v>--</v>
      </c>
      <c r="K227" s="32"/>
      <c r="L227" s="233"/>
      <c r="M227" s="296"/>
      <c r="N227" s="296"/>
      <c r="O227" s="296"/>
      <c r="P227" s="296"/>
      <c r="Q227" s="296"/>
      <c r="R227" s="296"/>
      <c r="S227" s="296"/>
      <c r="T227" s="296"/>
      <c r="U227" s="297"/>
      <c r="V227" s="103"/>
      <c r="W227" s="72"/>
      <c r="X227" s="72"/>
      <c r="Y227" s="72"/>
      <c r="Z227" s="45">
        <v>14</v>
      </c>
      <c r="AA227" s="77">
        <f t="shared" si="97"/>
        <v>157</v>
      </c>
      <c r="AB227" s="77">
        <f t="shared" si="98"/>
        <v>168</v>
      </c>
      <c r="AC227" s="72">
        <f t="shared" si="85"/>
        <v>1</v>
      </c>
      <c r="AD227" s="72">
        <f t="shared" si="86"/>
        <v>0</v>
      </c>
      <c r="AE227" s="109" t="str">
        <f t="shared" si="87"/>
        <v>465-468</v>
      </c>
      <c r="AF227" s="109" t="str">
        <f t="shared" si="88"/>
        <v>Y</v>
      </c>
      <c r="AG227" s="109" t="str">
        <f t="shared" si="89"/>
        <v>B</v>
      </c>
      <c r="AM227" s="109">
        <f t="shared" si="90"/>
        <v>0</v>
      </c>
      <c r="AN227" s="109">
        <f t="shared" si="91"/>
        <v>0</v>
      </c>
      <c r="AO227" s="109" t="str">
        <f t="shared" si="92"/>
        <v/>
      </c>
      <c r="AQ227" s="109" t="str">
        <f t="shared" si="93"/>
        <v/>
      </c>
      <c r="BA227" s="229">
        <f>MOD(SUM(E222:E228),12)</f>
        <v>8</v>
      </c>
    </row>
    <row r="228" spans="1:53" ht="15.75" thickBot="1" x14ac:dyDescent="0.3">
      <c r="A228" s="88"/>
      <c r="B228" s="66" t="s">
        <v>284</v>
      </c>
      <c r="C228" s="67" t="s">
        <v>484</v>
      </c>
      <c r="D228" s="102" t="s">
        <v>817</v>
      </c>
      <c r="E228" s="32">
        <v>4</v>
      </c>
      <c r="F228" s="32" t="s">
        <v>483</v>
      </c>
      <c r="G228" s="68" t="s">
        <v>277</v>
      </c>
      <c r="H228" s="69">
        <f t="shared" si="94"/>
        <v>461</v>
      </c>
      <c r="I228" s="70">
        <f t="shared" si="95"/>
        <v>464</v>
      </c>
      <c r="J228" s="73" t="str">
        <f t="shared" si="96"/>
        <v>--</v>
      </c>
      <c r="K228" s="32"/>
      <c r="L228" s="233"/>
      <c r="M228" s="296"/>
      <c r="N228" s="296"/>
      <c r="O228" s="296"/>
      <c r="P228" s="296"/>
      <c r="Q228" s="296"/>
      <c r="R228" s="296"/>
      <c r="S228" s="296"/>
      <c r="T228" s="296"/>
      <c r="U228" s="297"/>
      <c r="V228" s="103"/>
      <c r="W228" s="72"/>
      <c r="X228" s="72"/>
      <c r="Y228" s="72"/>
      <c r="Z228" s="45">
        <v>15</v>
      </c>
      <c r="AA228" s="77">
        <f t="shared" si="97"/>
        <v>169</v>
      </c>
      <c r="AB228" s="77">
        <f t="shared" si="98"/>
        <v>180</v>
      </c>
      <c r="AC228" s="72">
        <f t="shared" si="85"/>
        <v>1</v>
      </c>
      <c r="AD228" s="72">
        <f t="shared" si="86"/>
        <v>0</v>
      </c>
      <c r="AE228" s="109" t="str">
        <f t="shared" si="87"/>
        <v>461-464</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t="s">
        <v>823</v>
      </c>
      <c r="E229" s="32">
        <v>4</v>
      </c>
      <c r="F229" s="32"/>
      <c r="G229" s="68" t="s">
        <v>277</v>
      </c>
      <c r="H229" s="69">
        <f t="shared" si="94"/>
        <v>457</v>
      </c>
      <c r="I229" s="70">
        <f t="shared" si="95"/>
        <v>460</v>
      </c>
      <c r="J229" s="73" t="str">
        <f t="shared" si="96"/>
        <v>--</v>
      </c>
      <c r="K229" s="32"/>
      <c r="L229" s="233"/>
      <c r="M229" s="296" t="s">
        <v>824</v>
      </c>
      <c r="N229" s="296"/>
      <c r="O229" s="296"/>
      <c r="P229" s="296"/>
      <c r="Q229" s="296"/>
      <c r="R229" s="296"/>
      <c r="S229" s="296"/>
      <c r="T229" s="296"/>
      <c r="U229" s="297"/>
      <c r="V229" s="103"/>
      <c r="W229" s="72"/>
      <c r="X229" s="72"/>
      <c r="Y229" s="72"/>
      <c r="Z229" s="45">
        <f>Z228+1</f>
        <v>16</v>
      </c>
      <c r="AA229" s="77">
        <f t="shared" si="97"/>
        <v>181</v>
      </c>
      <c r="AB229" s="77">
        <f t="shared" si="98"/>
        <v>192</v>
      </c>
      <c r="AC229" s="72">
        <f t="shared" si="85"/>
        <v>1</v>
      </c>
      <c r="AD229" s="72">
        <f t="shared" si="86"/>
        <v>1</v>
      </c>
      <c r="AE229" s="109" t="str">
        <f t="shared" si="87"/>
        <v>457-460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6"/>
      <c r="N230" s="296"/>
      <c r="O230" s="296"/>
      <c r="P230" s="296"/>
      <c r="Q230" s="296"/>
      <c r="R230" s="296"/>
      <c r="S230" s="296"/>
      <c r="T230" s="296"/>
      <c r="U230" s="297"/>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6"/>
      <c r="N231" s="296"/>
      <c r="O231" s="296"/>
      <c r="P231" s="296"/>
      <c r="Q231" s="296"/>
      <c r="R231" s="296"/>
      <c r="S231" s="296"/>
      <c r="T231" s="296"/>
      <c r="U231" s="297"/>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6"/>
      <c r="N232" s="296"/>
      <c r="O232" s="296"/>
      <c r="P232" s="296"/>
      <c r="Q232" s="296"/>
      <c r="R232" s="296"/>
      <c r="S232" s="296"/>
      <c r="T232" s="296"/>
      <c r="U232" s="297"/>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6"/>
      <c r="N233" s="296"/>
      <c r="O233" s="296"/>
      <c r="P233" s="296"/>
      <c r="Q233" s="296"/>
      <c r="R233" s="296"/>
      <c r="S233" s="296"/>
      <c r="T233" s="296"/>
      <c r="U233" s="297"/>
      <c r="V233" s="103"/>
      <c r="W233" s="84">
        <f>Y233+1</f>
        <v>61</v>
      </c>
      <c r="X233" s="84"/>
      <c r="Y233" s="78">
        <f>SUM(E222:E233)</f>
        <v>60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6"/>
      <c r="N234" s="296"/>
      <c r="O234" s="296"/>
      <c r="P234" s="296"/>
      <c r="Q234" s="296"/>
      <c r="R234" s="296"/>
      <c r="S234" s="296"/>
      <c r="T234" s="296"/>
      <c r="U234" s="297"/>
      <c r="V234" s="103"/>
      <c r="W234" s="84">
        <f>Y234+1</f>
        <v>61</v>
      </c>
      <c r="X234" s="84"/>
      <c r="Y234" s="78">
        <f>SUM(E222:E234)</f>
        <v>60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6"/>
      <c r="N235" s="296"/>
      <c r="O235" s="296"/>
      <c r="P235" s="296"/>
      <c r="Q235" s="296"/>
      <c r="R235" s="296"/>
      <c r="S235" s="296"/>
      <c r="T235" s="296"/>
      <c r="U235" s="297"/>
      <c r="V235" s="103"/>
      <c r="W235" s="84">
        <f>Y235+1</f>
        <v>61</v>
      </c>
      <c r="X235" s="84"/>
      <c r="Y235" s="78">
        <f>SUM(E222:E235)</f>
        <v>60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6"/>
      <c r="N236" s="296"/>
      <c r="O236" s="296"/>
      <c r="P236" s="296"/>
      <c r="Q236" s="296"/>
      <c r="R236" s="296"/>
      <c r="S236" s="296"/>
      <c r="T236" s="296"/>
      <c r="U236" s="297"/>
      <c r="V236" s="103"/>
      <c r="W236" s="84">
        <f>Y236+1</f>
        <v>61</v>
      </c>
      <c r="X236" s="84"/>
      <c r="Y236" s="78">
        <f>SUM(E222:E236)</f>
        <v>60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6"/>
      <c r="N237" s="296"/>
      <c r="O237" s="296"/>
      <c r="P237" s="296"/>
      <c r="Q237" s="296"/>
      <c r="R237" s="296"/>
      <c r="S237" s="296"/>
      <c r="T237" s="296"/>
      <c r="U237" s="297"/>
      <c r="V237" s="103"/>
      <c r="W237" s="84">
        <f t="shared" ref="W237:W245" si="101">Y237+1</f>
        <v>61</v>
      </c>
      <c r="X237" s="84"/>
      <c r="Y237" s="78">
        <f>SUM(E222:E237)</f>
        <v>60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6"/>
      <c r="N238" s="296"/>
      <c r="O238" s="296"/>
      <c r="P238" s="296"/>
      <c r="Q238" s="296"/>
      <c r="R238" s="296"/>
      <c r="S238" s="296"/>
      <c r="T238" s="296"/>
      <c r="U238" s="297"/>
      <c r="V238" s="103"/>
      <c r="W238" s="84">
        <f t="shared" si="101"/>
        <v>61</v>
      </c>
      <c r="X238" s="84"/>
      <c r="Y238" s="78">
        <f>SUM(E222:E238)</f>
        <v>60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6"/>
      <c r="N239" s="296"/>
      <c r="O239" s="296"/>
      <c r="P239" s="296"/>
      <c r="Q239" s="296"/>
      <c r="R239" s="296"/>
      <c r="S239" s="296"/>
      <c r="T239" s="296"/>
      <c r="U239" s="297"/>
      <c r="V239" s="103"/>
      <c r="W239" s="84">
        <f t="shared" si="101"/>
        <v>61</v>
      </c>
      <c r="X239" s="84"/>
      <c r="Y239" s="78">
        <f>SUM(E222:E239)</f>
        <v>60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6"/>
      <c r="N240" s="296"/>
      <c r="O240" s="296"/>
      <c r="P240" s="296"/>
      <c r="Q240" s="296"/>
      <c r="R240" s="296"/>
      <c r="S240" s="296"/>
      <c r="T240" s="296"/>
      <c r="U240" s="297"/>
      <c r="V240" s="103"/>
      <c r="W240" s="84">
        <f t="shared" si="101"/>
        <v>61</v>
      </c>
      <c r="X240" s="84"/>
      <c r="Y240" s="78">
        <f>SUM(E222:E240)</f>
        <v>60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6"/>
      <c r="N241" s="296"/>
      <c r="O241" s="296"/>
      <c r="P241" s="296"/>
      <c r="Q241" s="296"/>
      <c r="R241" s="296"/>
      <c r="S241" s="296"/>
      <c r="T241" s="296"/>
      <c r="U241" s="297"/>
      <c r="V241" s="103"/>
      <c r="W241" s="84">
        <f t="shared" si="101"/>
        <v>61</v>
      </c>
      <c r="X241" s="84"/>
      <c r="Y241" s="78">
        <f>SUM(E222:E241)</f>
        <v>60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6"/>
      <c r="N242" s="296"/>
      <c r="O242" s="296"/>
      <c r="P242" s="296"/>
      <c r="Q242" s="296"/>
      <c r="R242" s="296"/>
      <c r="S242" s="296"/>
      <c r="T242" s="296"/>
      <c r="U242" s="297"/>
      <c r="V242" s="103"/>
      <c r="W242" s="84">
        <f t="shared" si="101"/>
        <v>61</v>
      </c>
      <c r="X242" s="84"/>
      <c r="Y242" s="78">
        <f>SUM(E222:E242)</f>
        <v>60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6"/>
      <c r="N243" s="296"/>
      <c r="O243" s="296"/>
      <c r="P243" s="296"/>
      <c r="Q243" s="296"/>
      <c r="R243" s="296"/>
      <c r="S243" s="296"/>
      <c r="T243" s="296"/>
      <c r="U243" s="297"/>
      <c r="V243" s="103"/>
      <c r="W243" s="84">
        <f t="shared" si="101"/>
        <v>61</v>
      </c>
      <c r="X243" s="84"/>
      <c r="Y243" s="78">
        <f>SUM(E222:E243)</f>
        <v>60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6"/>
      <c r="N244" s="296"/>
      <c r="O244" s="296"/>
      <c r="P244" s="296"/>
      <c r="Q244" s="296"/>
      <c r="R244" s="296"/>
      <c r="S244" s="296"/>
      <c r="T244" s="296"/>
      <c r="U244" s="297"/>
      <c r="V244" s="103"/>
      <c r="W244" s="84">
        <f t="shared" si="101"/>
        <v>61</v>
      </c>
      <c r="X244" s="84"/>
      <c r="Y244" s="78">
        <f>SUM(E222:E244)</f>
        <v>60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6"/>
      <c r="N245" s="296"/>
      <c r="O245" s="296"/>
      <c r="P245" s="296"/>
      <c r="Q245" s="296"/>
      <c r="R245" s="296"/>
      <c r="S245" s="296"/>
      <c r="T245" s="296"/>
      <c r="U245" s="297"/>
      <c r="V245" s="103"/>
      <c r="W245" s="84">
        <f t="shared" si="101"/>
        <v>61</v>
      </c>
      <c r="X245" s="84"/>
      <c r="Y245" s="78">
        <f>SUM(E222:E245)</f>
        <v>60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6"/>
      <c r="N246" s="296"/>
      <c r="O246" s="296"/>
      <c r="P246" s="296"/>
      <c r="Q246" s="296"/>
      <c r="R246" s="296"/>
      <c r="S246" s="296"/>
      <c r="T246" s="296"/>
      <c r="U246" s="297"/>
      <c r="V246" s="103"/>
      <c r="W246" s="72"/>
      <c r="X246" s="72"/>
      <c r="Y246" s="78">
        <f>SUM(E222:E246)</f>
        <v>60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2" t="s">
        <v>315</v>
      </c>
      <c r="C247" s="284"/>
      <c r="D247" s="79"/>
      <c r="E247" s="80"/>
      <c r="F247" s="80"/>
      <c r="G247" s="81"/>
      <c r="H247" s="192"/>
      <c r="I247" s="192"/>
      <c r="J247" s="192"/>
      <c r="K247" s="82"/>
      <c r="L247" s="282" t="s">
        <v>306</v>
      </c>
      <c r="M247" s="283"/>
      <c r="N247" s="283"/>
      <c r="O247" s="283"/>
      <c r="P247" s="283"/>
      <c r="Q247" s="283"/>
      <c r="R247" s="283"/>
      <c r="S247" s="283"/>
      <c r="T247" s="283"/>
      <c r="U247" s="284"/>
      <c r="V247" s="104"/>
      <c r="W247" s="72"/>
      <c r="X247" s="72"/>
      <c r="Y247" s="72"/>
      <c r="Z247" s="72"/>
      <c r="AA247" s="72" t="str">
        <f t="shared" si="100"/>
        <v/>
      </c>
      <c r="AB247" s="72"/>
      <c r="AC247" s="72">
        <f>SUM(AC222:AC246)</f>
        <v>25</v>
      </c>
      <c r="AD247" s="72">
        <f>SUM(AD222:AD246)</f>
        <v>21</v>
      </c>
      <c r="AM247" s="109">
        <f>SUM(AM222:AM246)</f>
        <v>0</v>
      </c>
      <c r="AN247" s="109">
        <f>SUM(AN222:AN246)</f>
        <v>0</v>
      </c>
      <c r="AO247" s="109">
        <f>((COUNTIF(AO222:AO246,"Y")/3)*2)</f>
        <v>2</v>
      </c>
      <c r="AP247" s="109">
        <f>(COUNTIF(AO222:AO246,"Y")/3)</f>
        <v>1</v>
      </c>
      <c r="AQ247" s="109">
        <f>(COUNTIF(AQ222:AQ246,"Y")/2)</f>
        <v>0</v>
      </c>
      <c r="AR247" s="109">
        <f>(COUNTIF(AQ222:AQ246,"Y")/2)</f>
        <v>0</v>
      </c>
      <c r="BA247" s="228"/>
    </row>
    <row r="248" spans="1:53" ht="16.5" thickBot="1" x14ac:dyDescent="0.3">
      <c r="A248" s="88"/>
      <c r="B248" s="282" t="s">
        <v>307</v>
      </c>
      <c r="C248" s="284"/>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5" t="s">
        <v>222</v>
      </c>
      <c r="C252" s="286"/>
      <c r="D252" s="287" t="s">
        <v>223</v>
      </c>
      <c r="E252" s="288"/>
      <c r="F252" s="88"/>
      <c r="G252" s="289" t="s">
        <v>224</v>
      </c>
      <c r="H252" s="290"/>
      <c r="I252" s="28">
        <f>SUM(E263:E287)</f>
        <v>24</v>
      </c>
      <c r="J252" s="291" t="s">
        <v>225</v>
      </c>
      <c r="K252" s="292"/>
      <c r="L252" s="288"/>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8" t="s">
        <v>226</v>
      </c>
      <c r="AA252" s="299"/>
      <c r="AB252" s="300"/>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RPX</v>
      </c>
      <c r="F253" s="88"/>
      <c r="G253" s="301" t="s">
        <v>230</v>
      </c>
      <c r="H253" s="288"/>
      <c r="I253" s="33">
        <f>E254-I252</f>
        <v>0</v>
      </c>
      <c r="J253" s="302" t="s">
        <v>231</v>
      </c>
      <c r="K253" s="303"/>
      <c r="L253" s="34">
        <f>I257</f>
        <v>517</v>
      </c>
      <c r="M253" s="196">
        <v>4</v>
      </c>
      <c r="N253" s="35">
        <f>SUM(AI253,AI264)</f>
        <v>0</v>
      </c>
      <c r="O253" s="35">
        <v>0</v>
      </c>
      <c r="P253" s="35">
        <f>SUM(AJ253,AJ264)</f>
        <v>4</v>
      </c>
      <c r="Q253" s="35">
        <v>0</v>
      </c>
      <c r="R253" s="35">
        <f>COUNTIFS($E263:$E287,"4",$F263:$F287,"Pole",$C263:$C287,"FST")</f>
        <v>4</v>
      </c>
      <c r="S253" s="35">
        <f>SUM(AL253,AK264)</f>
        <v>0</v>
      </c>
      <c r="T253" s="35">
        <v>0</v>
      </c>
      <c r="U253" s="35">
        <f>SUM(AK253,AL264)</f>
        <v>0</v>
      </c>
      <c r="V253" s="35">
        <v>0</v>
      </c>
      <c r="W253" s="34">
        <f>COUNTIFS($E263:$E287,"4",$F263:$F287,"HH",$C263:$C287,"FST")</f>
        <v>0</v>
      </c>
      <c r="X253" s="35">
        <f>COUNTIFS($E263:$E287,"4",$F263:$F287,"Ped",$C263:$C287,"FST")</f>
        <v>0</v>
      </c>
      <c r="Y253" s="25"/>
      <c r="Z253" s="304" t="s">
        <v>232</v>
      </c>
      <c r="AA253" s="306" t="s">
        <v>233</v>
      </c>
      <c r="AB253" s="307"/>
      <c r="AC253" s="25"/>
      <c r="AD253" s="25"/>
      <c r="AH253" s="109">
        <v>4</v>
      </c>
      <c r="AI253" s="109" t="str">
        <f>IF($E253="SS",COUNTIFS($C263:$C287,"FST",$E263:$E287,"4"),"0")</f>
        <v>0</v>
      </c>
      <c r="AJ253" s="109">
        <f>IF($E253="RPX",COUNTIFS($C263:$C287,"FST",$E263:$E287,"4"),"0")</f>
        <v>4</v>
      </c>
      <c r="AK253" s="109" t="str">
        <f>IF($E253="EUC",COUNTIFS($C263:$C287,"FST",$E263:$E287,"4"),"0")</f>
        <v>0</v>
      </c>
      <c r="AL253" s="109" t="str">
        <f>IF($E253="RPX-T",COUNTIFS($C263:$C287,"FST",$E263:$E287,"4"),"0")</f>
        <v>0</v>
      </c>
      <c r="AS253" s="109" t="str">
        <f>IF(AND(E258="Y",E254=24,E255=0),"Y","N")</f>
        <v>Y</v>
      </c>
      <c r="AT253" s="110" t="s">
        <v>234</v>
      </c>
      <c r="AU253" s="109">
        <f>COUNTIFS($E253,"SS",$AS253,"Y")</f>
        <v>0</v>
      </c>
      <c r="AV253" s="111">
        <f>COUNTIFS($E253,"RPX",$AS253,"Y")</f>
        <v>1</v>
      </c>
      <c r="AW253" s="111">
        <f>COUNTIFS($E253,"EUC",$AS253,"Y")</f>
        <v>0</v>
      </c>
      <c r="AX253" s="109">
        <f>COUNTIFS($E253,"RPX-T",$AS253,"Y")</f>
        <v>0</v>
      </c>
      <c r="BA253" s="227"/>
    </row>
    <row r="254" spans="1:53" ht="16.5" thickTop="1" thickBot="1" x14ac:dyDescent="0.3">
      <c r="A254" s="88"/>
      <c r="B254" s="36" t="s">
        <v>235</v>
      </c>
      <c r="C254" s="37">
        <v>0</v>
      </c>
      <c r="D254" s="38" t="s">
        <v>236</v>
      </c>
      <c r="E254" s="32">
        <v>24</v>
      </c>
      <c r="F254" s="88"/>
      <c r="G254" s="310" t="s">
        <v>237</v>
      </c>
      <c r="H254" s="311"/>
      <c r="I254" s="35">
        <f>IF(E254=0,0,12-(MOD(I252,12)))</f>
        <v>12</v>
      </c>
      <c r="J254" s="302" t="s">
        <v>238</v>
      </c>
      <c r="K254" s="303"/>
      <c r="L254" s="39">
        <f>I258-I252</f>
        <v>516</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5"/>
      <c r="AA254" s="308"/>
      <c r="AB254" s="309"/>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78" t="s">
        <v>242</v>
      </c>
      <c r="H255" s="43" t="s">
        <v>243</v>
      </c>
      <c r="I255" s="35">
        <f>IF(E255&lt;&gt;0,1,0)</f>
        <v>0</v>
      </c>
      <c r="J255" s="310" t="s">
        <v>244</v>
      </c>
      <c r="K255" s="311"/>
      <c r="L255" s="44">
        <f>'Cable Calculator'!AH3</f>
        <v>1006</v>
      </c>
      <c r="M255" s="196">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517</v>
      </c>
      <c r="F256" s="88"/>
      <c r="G256" s="279"/>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78" t="s">
        <v>251</v>
      </c>
      <c r="H257" s="51" t="s">
        <v>252</v>
      </c>
      <c r="I257" s="112">
        <f>E256</f>
        <v>517</v>
      </c>
      <c r="J257" s="312" t="s">
        <v>253</v>
      </c>
      <c r="K257" s="313"/>
      <c r="L257" s="31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79"/>
      <c r="H258" s="47" t="s">
        <v>257</v>
      </c>
      <c r="I258" s="35">
        <f>IF(E256="","0",IF(AND(E253="EUC",E254=432), I257+(203-E255),IF(E256=0,0,(E256+(E254-E255)-1))))</f>
        <v>540</v>
      </c>
      <c r="J258" s="293" t="str">
        <f>IFERROR(IF(OR(E253="EUC",E253="SS"),"---",IF(OR(P252,S252),"NO 2F Tethers for RPX!",IF(OR(P254,S254),"NO 6F Tethers for RPX!","---"))),"---")</f>
        <v>---</v>
      </c>
      <c r="K258" s="294"/>
      <c r="L258" s="295"/>
      <c r="M258" s="293" t="str">
        <f>IF(E255&gt;60,"Dead Count &gt;60: Consider Downsize","---")</f>
        <v>---</v>
      </c>
      <c r="N258" s="294"/>
      <c r="O258" s="294"/>
      <c r="P258" s="294"/>
      <c r="Q258" s="294"/>
      <c r="R258" s="294"/>
      <c r="S258" s="294"/>
      <c r="T258" s="294"/>
      <c r="U258" s="295"/>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3"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4"/>
      <c r="L259" s="295"/>
      <c r="M259" s="293" t="str">
        <f>IF(AND(OR(E253="SS",E253="RPX",E253="EUC",E253="RPX-T"),(OR(C263="",C263="Field SPL"))),"Cannot have FlexNap cables without tethers","---")</f>
        <v>---</v>
      </c>
      <c r="N259" s="294"/>
      <c r="O259" s="294"/>
      <c r="P259" s="294"/>
      <c r="Q259" s="294"/>
      <c r="R259" s="294"/>
      <c r="S259" s="294"/>
      <c r="T259" s="294"/>
      <c r="U259" s="295"/>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3" t="str">
        <f>IF(AND(OR(E253="RPX", E253="RPX-T", E253="SS"),E254=216),"NO 216 For RPX, RPX-T, OR SS CABLE","---")</f>
        <v>---</v>
      </c>
      <c r="K260" s="294"/>
      <c r="L260" s="295"/>
      <c r="M260" s="293" t="str" cm="1">
        <f t="array" ref="M260">IF(AND(E253="",OR(C263:C287="FST",C263:C287="REV T",C263:C287="DBL REV",C263:C287="TPL REV", C263:C287="QD REV")),"Non-FlexNap cables cannot have tethers","---")</f>
        <v>---</v>
      </c>
      <c r="N260" s="294"/>
      <c r="O260" s="294"/>
      <c r="P260" s="294"/>
      <c r="Q260" s="294"/>
      <c r="R260" s="294"/>
      <c r="S260" s="294"/>
      <c r="T260" s="294"/>
      <c r="U260" s="295"/>
      <c r="V260" s="25"/>
      <c r="W260" s="58"/>
      <c r="X260" s="58"/>
      <c r="Y260" s="25"/>
      <c r="Z260" s="45">
        <v>6</v>
      </c>
      <c r="AA260" s="65">
        <v>61</v>
      </c>
      <c r="AB260" s="65">
        <v>72</v>
      </c>
      <c r="AC260" s="25"/>
      <c r="AD260" s="25"/>
      <c r="BA260" s="226"/>
    </row>
    <row r="261" spans="1:53" ht="15.75" customHeight="1" thickBot="1" x14ac:dyDescent="0.3">
      <c r="A261" s="88"/>
      <c r="B261" s="278" t="s">
        <v>260</v>
      </c>
      <c r="C261" s="315" t="s">
        <v>261</v>
      </c>
      <c r="D261" s="315" t="s">
        <v>262</v>
      </c>
      <c r="E261" s="317" t="s">
        <v>263</v>
      </c>
      <c r="F261" s="315" t="s">
        <v>264</v>
      </c>
      <c r="G261" s="280" t="s">
        <v>265</v>
      </c>
      <c r="H261" s="280" t="s">
        <v>266</v>
      </c>
      <c r="I261" s="280" t="s">
        <v>267</v>
      </c>
      <c r="J261" s="319" t="s">
        <v>268</v>
      </c>
      <c r="K261" s="315" t="s">
        <v>269</v>
      </c>
      <c r="L261" s="321" t="s">
        <v>270</v>
      </c>
      <c r="M261" s="323" t="s">
        <v>271</v>
      </c>
      <c r="N261" s="323"/>
      <c r="O261" s="323"/>
      <c r="P261" s="323"/>
      <c r="Q261" s="323"/>
      <c r="R261" s="323"/>
      <c r="S261" s="323"/>
      <c r="T261" s="323"/>
      <c r="U261" s="324"/>
      <c r="V261" s="107"/>
      <c r="W261" s="72"/>
      <c r="X261" s="72"/>
      <c r="Y261" s="72"/>
      <c r="Z261" s="45">
        <v>7</v>
      </c>
      <c r="AA261" s="65">
        <v>73</v>
      </c>
      <c r="AB261" s="65">
        <v>84</v>
      </c>
      <c r="AC261" s="25"/>
      <c r="AD261" s="25"/>
      <c r="BA261" s="228"/>
    </row>
    <row r="262" spans="1:53" ht="15.75" thickBot="1" x14ac:dyDescent="0.3">
      <c r="A262" s="88"/>
      <c r="B262" s="279"/>
      <c r="C262" s="316"/>
      <c r="D262" s="316"/>
      <c r="E262" s="318"/>
      <c r="F262" s="316"/>
      <c r="G262" s="281"/>
      <c r="H262" s="281"/>
      <c r="I262" s="281"/>
      <c r="J262" s="320"/>
      <c r="K262" s="316"/>
      <c r="L262" s="322"/>
      <c r="M262" s="325"/>
      <c r="N262" s="325"/>
      <c r="O262" s="325"/>
      <c r="P262" s="325"/>
      <c r="Q262" s="325"/>
      <c r="R262" s="325"/>
      <c r="S262" s="325"/>
      <c r="T262" s="325"/>
      <c r="U262" s="326"/>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793</v>
      </c>
      <c r="E263" s="32">
        <v>8</v>
      </c>
      <c r="F263" s="32" t="s">
        <v>483</v>
      </c>
      <c r="G263" s="68" t="s">
        <v>277</v>
      </c>
      <c r="H263" s="69">
        <f>IF(I263=0,0,I263-(E263-1))</f>
        <v>533</v>
      </c>
      <c r="I263" s="70">
        <f>IF(E263=0,0,I258)</f>
        <v>540</v>
      </c>
      <c r="J263" s="71" t="s">
        <v>278</v>
      </c>
      <c r="K263" s="32"/>
      <c r="L263" s="233"/>
      <c r="M263" s="296"/>
      <c r="N263" s="296"/>
      <c r="O263" s="296"/>
      <c r="P263" s="296"/>
      <c r="Q263" s="296"/>
      <c r="R263" s="296"/>
      <c r="S263" s="296"/>
      <c r="T263" s="296"/>
      <c r="U263" s="297"/>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533-540</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8</v>
      </c>
    </row>
    <row r="264" spans="1:53" ht="15.75" thickBot="1" x14ac:dyDescent="0.3">
      <c r="A264" s="88"/>
      <c r="B264" s="66" t="s">
        <v>279</v>
      </c>
      <c r="C264" s="67" t="s">
        <v>484</v>
      </c>
      <c r="D264" s="102" t="s">
        <v>794</v>
      </c>
      <c r="E264" s="32">
        <v>4</v>
      </c>
      <c r="F264" s="32" t="s">
        <v>483</v>
      </c>
      <c r="G264" s="68" t="s">
        <v>277</v>
      </c>
      <c r="H264" s="69">
        <f t="shared" ref="H264:H287" si="111">IF(E264=0,0,I264-(E264-1))</f>
        <v>529</v>
      </c>
      <c r="I264" s="70">
        <f t="shared" ref="I264:I287" si="112">IF(E264=0,0,H263-1)</f>
        <v>532</v>
      </c>
      <c r="J264" s="73" t="str">
        <f>IF(C264="","--",IF(AND(C264&lt;&gt;"FST",C264&lt;&gt;"TCF",BA263&lt;&gt;0),BA263,"--"))</f>
        <v>--</v>
      </c>
      <c r="K264" s="32"/>
      <c r="L264" s="233"/>
      <c r="M264" s="296"/>
      <c r="N264" s="296"/>
      <c r="O264" s="296"/>
      <c r="P264" s="296"/>
      <c r="Q264" s="296"/>
      <c r="R264" s="296"/>
      <c r="S264" s="296"/>
      <c r="T264" s="296"/>
      <c r="U264" s="297"/>
      <c r="V264" s="103"/>
      <c r="W264" s="72"/>
      <c r="X264" s="72"/>
      <c r="Y264" s="72"/>
      <c r="Z264" s="45">
        <v>10</v>
      </c>
      <c r="AA264" s="46">
        <v>109</v>
      </c>
      <c r="AB264" s="46">
        <v>120</v>
      </c>
      <c r="AC264" s="72">
        <f t="shared" si="102"/>
        <v>1</v>
      </c>
      <c r="AD264" s="72">
        <f t="shared" si="103"/>
        <v>0</v>
      </c>
      <c r="AE264" s="109" t="str">
        <f t="shared" si="104"/>
        <v>529-532</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t="s">
        <v>484</v>
      </c>
      <c r="D265" s="102" t="s">
        <v>795</v>
      </c>
      <c r="E265" s="32">
        <v>4</v>
      </c>
      <c r="F265" s="32" t="s">
        <v>483</v>
      </c>
      <c r="G265" s="75" t="s">
        <v>277</v>
      </c>
      <c r="H265" s="69">
        <f t="shared" si="111"/>
        <v>525</v>
      </c>
      <c r="I265" s="70">
        <f t="shared" si="112"/>
        <v>528</v>
      </c>
      <c r="J265" s="73" t="str">
        <f t="shared" ref="J265:J287" si="113">IF(C265="","--",IF(AND(C265&lt;&gt;"FST",C265&lt;&gt;"TCF",BA264&lt;&gt;0),BA264,"--"))</f>
        <v>--</v>
      </c>
      <c r="K265" s="32"/>
      <c r="L265" s="233"/>
      <c r="M265" s="296"/>
      <c r="N265" s="296"/>
      <c r="O265" s="296"/>
      <c r="P265" s="296"/>
      <c r="Q265" s="296"/>
      <c r="R265" s="296"/>
      <c r="S265" s="296"/>
      <c r="T265" s="296"/>
      <c r="U265" s="297"/>
      <c r="V265" s="103"/>
      <c r="W265" s="72"/>
      <c r="X265" s="72"/>
      <c r="Y265" s="72"/>
      <c r="Z265" s="45">
        <v>11</v>
      </c>
      <c r="AA265" s="46">
        <v>121</v>
      </c>
      <c r="AB265" s="46">
        <v>132</v>
      </c>
      <c r="AC265" s="72">
        <f t="shared" si="102"/>
        <v>1</v>
      </c>
      <c r="AD265" s="72">
        <f t="shared" si="103"/>
        <v>0</v>
      </c>
      <c r="AE265" s="109" t="str">
        <f t="shared" si="104"/>
        <v>525-528</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796</v>
      </c>
      <c r="E266" s="32">
        <v>4</v>
      </c>
      <c r="F266" s="32" t="s">
        <v>483</v>
      </c>
      <c r="G266" s="68" t="s">
        <v>277</v>
      </c>
      <c r="H266" s="69">
        <f t="shared" si="111"/>
        <v>521</v>
      </c>
      <c r="I266" s="70">
        <f t="shared" si="112"/>
        <v>524</v>
      </c>
      <c r="J266" s="73" t="str">
        <f t="shared" si="113"/>
        <v>--</v>
      </c>
      <c r="K266" s="32"/>
      <c r="L266" s="233"/>
      <c r="M266" s="296"/>
      <c r="N266" s="296"/>
      <c r="O266" s="296"/>
      <c r="P266" s="296"/>
      <c r="Q266" s="296"/>
      <c r="R266" s="296"/>
      <c r="S266" s="296"/>
      <c r="T266" s="296"/>
      <c r="U266" s="297"/>
      <c r="V266" s="103"/>
      <c r="W266" s="72"/>
      <c r="X266" s="72"/>
      <c r="Y266" s="72"/>
      <c r="Z266" s="45">
        <v>12</v>
      </c>
      <c r="AA266" s="76">
        <v>133</v>
      </c>
      <c r="AB266" s="76">
        <v>144</v>
      </c>
      <c r="AC266" s="72">
        <f t="shared" si="102"/>
        <v>1</v>
      </c>
      <c r="AD266" s="72">
        <f t="shared" si="103"/>
        <v>0</v>
      </c>
      <c r="AE266" s="109" t="str">
        <f t="shared" si="104"/>
        <v>521-524</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825</v>
      </c>
      <c r="E267" s="32">
        <v>4</v>
      </c>
      <c r="F267" s="32" t="s">
        <v>483</v>
      </c>
      <c r="G267" s="68" t="s">
        <v>277</v>
      </c>
      <c r="H267" s="69">
        <f t="shared" si="111"/>
        <v>517</v>
      </c>
      <c r="I267" s="70">
        <f t="shared" si="112"/>
        <v>520</v>
      </c>
      <c r="J267" s="73" t="str">
        <f t="shared" si="113"/>
        <v>--</v>
      </c>
      <c r="K267" s="32"/>
      <c r="L267" s="233"/>
      <c r="M267" s="296"/>
      <c r="N267" s="296"/>
      <c r="O267" s="296"/>
      <c r="P267" s="296"/>
      <c r="Q267" s="296"/>
      <c r="R267" s="296"/>
      <c r="S267" s="296"/>
      <c r="T267" s="296"/>
      <c r="U267" s="297"/>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517-520</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6"/>
      <c r="N268" s="296"/>
      <c r="O268" s="296"/>
      <c r="P268" s="296"/>
      <c r="Q268" s="296"/>
      <c r="R268" s="296"/>
      <c r="S268" s="296"/>
      <c r="T268" s="296"/>
      <c r="U268" s="297"/>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6"/>
      <c r="N269" s="296"/>
      <c r="O269" s="296"/>
      <c r="P269" s="296"/>
      <c r="Q269" s="296"/>
      <c r="R269" s="296"/>
      <c r="S269" s="296"/>
      <c r="T269" s="296"/>
      <c r="U269" s="297"/>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6"/>
      <c r="N270" s="296"/>
      <c r="O270" s="296"/>
      <c r="P270" s="296"/>
      <c r="Q270" s="296"/>
      <c r="R270" s="296"/>
      <c r="S270" s="296"/>
      <c r="T270" s="296"/>
      <c r="U270" s="297"/>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6"/>
      <c r="N271" s="296"/>
      <c r="O271" s="296"/>
      <c r="P271" s="296"/>
      <c r="Q271" s="296"/>
      <c r="R271" s="296"/>
      <c r="S271" s="296"/>
      <c r="T271" s="296"/>
      <c r="U271" s="297"/>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6"/>
      <c r="N272" s="296"/>
      <c r="O272" s="296"/>
      <c r="P272" s="296"/>
      <c r="Q272" s="296"/>
      <c r="R272" s="296"/>
      <c r="S272" s="296"/>
      <c r="T272" s="296"/>
      <c r="U272" s="297"/>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6"/>
      <c r="N273" s="296"/>
      <c r="O273" s="296"/>
      <c r="P273" s="296"/>
      <c r="Q273" s="296"/>
      <c r="R273" s="296"/>
      <c r="S273" s="296"/>
      <c r="T273" s="296"/>
      <c r="U273" s="297"/>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6"/>
      <c r="N274" s="296"/>
      <c r="O274" s="296"/>
      <c r="P274" s="296"/>
      <c r="Q274" s="296"/>
      <c r="R274" s="296"/>
      <c r="S274" s="296"/>
      <c r="T274" s="296"/>
      <c r="U274" s="297"/>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6"/>
      <c r="N275" s="296"/>
      <c r="O275" s="296"/>
      <c r="P275" s="296"/>
      <c r="Q275" s="296"/>
      <c r="R275" s="296"/>
      <c r="S275" s="296"/>
      <c r="T275" s="296"/>
      <c r="U275" s="297"/>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6"/>
      <c r="N276" s="296"/>
      <c r="O276" s="296"/>
      <c r="P276" s="296"/>
      <c r="Q276" s="296"/>
      <c r="R276" s="296"/>
      <c r="S276" s="296"/>
      <c r="T276" s="296"/>
      <c r="U276" s="297"/>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6"/>
      <c r="N277" s="296"/>
      <c r="O277" s="296"/>
      <c r="P277" s="296"/>
      <c r="Q277" s="296"/>
      <c r="R277" s="296"/>
      <c r="S277" s="296"/>
      <c r="T277" s="296"/>
      <c r="U277" s="297"/>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6"/>
      <c r="N278" s="296"/>
      <c r="O278" s="296"/>
      <c r="P278" s="296"/>
      <c r="Q278" s="296"/>
      <c r="R278" s="296"/>
      <c r="S278" s="296"/>
      <c r="T278" s="296"/>
      <c r="U278" s="297"/>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6"/>
      <c r="N279" s="296"/>
      <c r="O279" s="296"/>
      <c r="P279" s="296"/>
      <c r="Q279" s="296"/>
      <c r="R279" s="296"/>
      <c r="S279" s="296"/>
      <c r="T279" s="296"/>
      <c r="U279" s="297"/>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6"/>
      <c r="N280" s="296"/>
      <c r="O280" s="296"/>
      <c r="P280" s="296"/>
      <c r="Q280" s="296"/>
      <c r="R280" s="296"/>
      <c r="S280" s="296"/>
      <c r="T280" s="296"/>
      <c r="U280" s="297"/>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6"/>
      <c r="N281" s="296"/>
      <c r="O281" s="296"/>
      <c r="P281" s="296"/>
      <c r="Q281" s="296"/>
      <c r="R281" s="296"/>
      <c r="S281" s="296"/>
      <c r="T281" s="296"/>
      <c r="U281" s="297"/>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6"/>
      <c r="N282" s="296"/>
      <c r="O282" s="296"/>
      <c r="P282" s="296"/>
      <c r="Q282" s="296"/>
      <c r="R282" s="296"/>
      <c r="S282" s="296"/>
      <c r="T282" s="296"/>
      <c r="U282" s="297"/>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6"/>
      <c r="N283" s="296"/>
      <c r="O283" s="296"/>
      <c r="P283" s="296"/>
      <c r="Q283" s="296"/>
      <c r="R283" s="296"/>
      <c r="S283" s="296"/>
      <c r="T283" s="296"/>
      <c r="U283" s="297"/>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6"/>
      <c r="N284" s="296"/>
      <c r="O284" s="296"/>
      <c r="P284" s="296"/>
      <c r="Q284" s="296"/>
      <c r="R284" s="296"/>
      <c r="S284" s="296"/>
      <c r="T284" s="296"/>
      <c r="U284" s="297"/>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6"/>
      <c r="N285" s="296"/>
      <c r="O285" s="296"/>
      <c r="P285" s="296"/>
      <c r="Q285" s="296"/>
      <c r="R285" s="296"/>
      <c r="S285" s="296"/>
      <c r="T285" s="296"/>
      <c r="U285" s="297"/>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6"/>
      <c r="N286" s="296"/>
      <c r="O286" s="296"/>
      <c r="P286" s="296"/>
      <c r="Q286" s="296"/>
      <c r="R286" s="296"/>
      <c r="S286" s="296"/>
      <c r="T286" s="296"/>
      <c r="U286" s="297"/>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6"/>
      <c r="N287" s="296"/>
      <c r="O287" s="296"/>
      <c r="P287" s="296"/>
      <c r="Q287" s="296"/>
      <c r="R287" s="296"/>
      <c r="S287" s="296"/>
      <c r="T287" s="296"/>
      <c r="U287" s="297"/>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282" t="s">
        <v>317</v>
      </c>
      <c r="C288" s="284"/>
      <c r="D288" s="79"/>
      <c r="E288" s="80"/>
      <c r="F288" s="80"/>
      <c r="G288" s="81"/>
      <c r="H288" s="192"/>
      <c r="I288" s="192"/>
      <c r="J288" s="192"/>
      <c r="K288" s="82"/>
      <c r="L288" s="282" t="s">
        <v>306</v>
      </c>
      <c r="M288" s="283"/>
      <c r="N288" s="283"/>
      <c r="O288" s="283"/>
      <c r="P288" s="283"/>
      <c r="Q288" s="283"/>
      <c r="R288" s="283"/>
      <c r="S288" s="283"/>
      <c r="T288" s="283"/>
      <c r="U288" s="284"/>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2" t="s">
        <v>307</v>
      </c>
      <c r="C289" s="284"/>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5" t="s">
        <v>222</v>
      </c>
      <c r="C293" s="286"/>
      <c r="D293" s="287" t="s">
        <v>223</v>
      </c>
      <c r="E293" s="288"/>
      <c r="F293" s="88"/>
      <c r="G293" s="289" t="s">
        <v>224</v>
      </c>
      <c r="H293" s="290"/>
      <c r="I293" s="28">
        <f>SUM(E304:E328)</f>
        <v>24</v>
      </c>
      <c r="J293" s="291" t="s">
        <v>225</v>
      </c>
      <c r="K293" s="292"/>
      <c r="L293" s="288"/>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8" t="s">
        <v>226</v>
      </c>
      <c r="AA293" s="299"/>
      <c r="AB293" s="300"/>
      <c r="AC293" s="25"/>
      <c r="AD293" s="25"/>
      <c r="AH293" s="109">
        <v>2</v>
      </c>
      <c r="AI293" s="109" t="str">
        <f>IF($E294="SS",COUNTIFS($C304:$C328,"FST",$E304:$E328,"2"),"0")</f>
        <v>0</v>
      </c>
      <c r="AJ293" s="109">
        <f>IF($E294="RPX",COUNTIFS($C304:$C328,"FST",$E304:$E328,"2"),"0")</f>
        <v>0</v>
      </c>
      <c r="AK293" s="109" t="str">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RPX</v>
      </c>
      <c r="F294" s="88"/>
      <c r="G294" s="301" t="s">
        <v>230</v>
      </c>
      <c r="H294" s="288"/>
      <c r="I294" s="33">
        <f>E295-I293</f>
        <v>0</v>
      </c>
      <c r="J294" s="302" t="s">
        <v>231</v>
      </c>
      <c r="K294" s="303"/>
      <c r="L294" s="34">
        <f>I298</f>
        <v>541</v>
      </c>
      <c r="M294" s="196">
        <v>4</v>
      </c>
      <c r="N294" s="35">
        <f>SUM(AI294,AI305)</f>
        <v>0</v>
      </c>
      <c r="O294" s="35">
        <v>0</v>
      </c>
      <c r="P294" s="35">
        <f>SUM(AJ294,AJ305)</f>
        <v>4</v>
      </c>
      <c r="Q294" s="35">
        <v>0</v>
      </c>
      <c r="R294" s="35">
        <f>COUNTIFS($E304:$E328,"4",$F304:$F328,"Pole",$C304:$C328,"FST")</f>
        <v>4</v>
      </c>
      <c r="S294" s="35">
        <f>SUM(AL294,AK305)</f>
        <v>0</v>
      </c>
      <c r="T294" s="35">
        <v>0</v>
      </c>
      <c r="U294" s="35">
        <f>SUM(AK294,AL305)</f>
        <v>0</v>
      </c>
      <c r="V294" s="35">
        <v>0</v>
      </c>
      <c r="W294" s="34">
        <f>COUNTIFS($E304:$E328,"4",$F304:$F328,"HH",$C304:$C328,"FST")</f>
        <v>0</v>
      </c>
      <c r="X294" s="35">
        <f>COUNTIFS($E304:$E328,"4",$F304:$F328,"Ped",$C304:$C328,"FST")</f>
        <v>0</v>
      </c>
      <c r="Y294" s="25"/>
      <c r="Z294" s="304" t="s">
        <v>232</v>
      </c>
      <c r="AA294" s="306" t="s">
        <v>233</v>
      </c>
      <c r="AB294" s="307"/>
      <c r="AC294" s="25"/>
      <c r="AD294" s="25"/>
      <c r="AH294" s="109">
        <v>4</v>
      </c>
      <c r="AI294" s="109" t="str">
        <f>IF($E294="SS",COUNTIFS($C304:$C328,"FST",$E304:$E328,"4"),"0")</f>
        <v>0</v>
      </c>
      <c r="AJ294" s="109">
        <f>IF($E294="RPX",COUNTIFS($C304:$C328,"FST",$E304:$E328,"4"),"0")</f>
        <v>4</v>
      </c>
      <c r="AK294" s="109" t="str">
        <f>IF($E294="EUC",COUNTIFS($C304:$C328,"FST",$E304:$E328,"4"),"0")</f>
        <v>0</v>
      </c>
      <c r="AL294" s="109" t="str">
        <f>IF($E294="RPX-T",COUNTIFS($C304:$C328,"FST",$E304:$E328,"4"),"0")</f>
        <v>0</v>
      </c>
      <c r="AS294" s="109" t="str">
        <f>IF(AND(E299="Y",E295=24,E296=0),"Y","N")</f>
        <v>Y</v>
      </c>
      <c r="AT294" s="110" t="s">
        <v>234</v>
      </c>
      <c r="AU294" s="109">
        <f>COUNTIFS($E294,"SS",$AS294,"Y")</f>
        <v>0</v>
      </c>
      <c r="AV294" s="111">
        <f>COUNTIFS($E294,"RPX",$AS294,"Y")</f>
        <v>1</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310" t="s">
        <v>237</v>
      </c>
      <c r="H295" s="311"/>
      <c r="I295" s="35">
        <f>IF(E295=0,0,12-(MOD(I293,12)))</f>
        <v>12</v>
      </c>
      <c r="J295" s="302" t="s">
        <v>238</v>
      </c>
      <c r="K295" s="303"/>
      <c r="L295" s="39">
        <f>I299-I293</f>
        <v>540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5"/>
      <c r="AA295" s="308"/>
      <c r="AB295" s="309"/>
      <c r="AC295" s="25"/>
      <c r="AD295" s="25"/>
      <c r="AH295" s="109">
        <v>6</v>
      </c>
      <c r="AI295" s="109" t="str">
        <f>IF($E294="SS",COUNTIFS($C304:$C328,"FST",$E304:$E328,"6"),"0")</f>
        <v>0</v>
      </c>
      <c r="AJ295" s="109">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278" t="s">
        <v>242</v>
      </c>
      <c r="H296" s="43" t="s">
        <v>243</v>
      </c>
      <c r="I296" s="35">
        <f>IF(E296&lt;&gt;0,1,0)</f>
        <v>0</v>
      </c>
      <c r="J296" s="310" t="s">
        <v>244</v>
      </c>
      <c r="K296" s="311"/>
      <c r="L296" s="44">
        <f>'Cable Calculator'!AM3</f>
        <v>976</v>
      </c>
      <c r="M296" s="196">
        <v>8</v>
      </c>
      <c r="N296" s="35">
        <f>SUM(AI296,AI307)</f>
        <v>0</v>
      </c>
      <c r="O296" s="35">
        <v>0</v>
      </c>
      <c r="P296" s="35">
        <f>SUM(AJ296,AJ307)</f>
        <v>1</v>
      </c>
      <c r="Q296" s="35">
        <v>0</v>
      </c>
      <c r="R296" s="35">
        <f>COUNTIFS($E304:$E328,"8",$F304:$F328,"Pole",$C304:$C328,"FST")</f>
        <v>1</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f>IF($E294="RPX",COUNTIFS($C304:$C328,"FST",$E304:$E328,"8"),"0")</f>
        <v>1</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541</v>
      </c>
      <c r="F297" s="88"/>
      <c r="G297" s="279"/>
      <c r="H297" s="47" t="s">
        <v>248</v>
      </c>
      <c r="I297" s="35">
        <f>IF(E296&lt;&gt;0,E296,0)</f>
        <v>0</v>
      </c>
      <c r="J297" s="194"/>
      <c r="K297" s="195"/>
      <c r="L297" s="48"/>
      <c r="M297" s="196">
        <v>12</v>
      </c>
      <c r="N297" s="35" t="str">
        <f>IF($E294="SS",SUM(AI297,AJ308,AM329,AO329,AQ329),"0")</f>
        <v>0</v>
      </c>
      <c r="O297" s="35" t="str">
        <f>IF($E294="SS",SUM(AN329,AP329,AR329),"0")</f>
        <v>0</v>
      </c>
      <c r="P297" s="35">
        <f>IF($E294="RPX",SUM(AJ297,AJ308,AM329,AO329,AQ329),"0")</f>
        <v>0</v>
      </c>
      <c r="Q297" s="35">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278" t="s">
        <v>251</v>
      </c>
      <c r="H298" s="51" t="s">
        <v>252</v>
      </c>
      <c r="I298" s="112">
        <f>E297</f>
        <v>541</v>
      </c>
      <c r="J298" s="312" t="s">
        <v>253</v>
      </c>
      <c r="K298" s="313"/>
      <c r="L298" s="31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79"/>
      <c r="H299" s="47" t="s">
        <v>257</v>
      </c>
      <c r="I299" s="35">
        <f>IF(E297="","0",IF(AND(E294="EUC",E295=432), I298+(203-E296),IF(E297=0,0,(E297+(E295-E296)-1))))</f>
        <v>564</v>
      </c>
      <c r="J299" s="293" t="str">
        <f>IFERROR(IF(OR(E294="EUC",E294="SS"),"---",IF(OR(P293,S293),"NO 2F Tethers for RPX!",IF(OR(P295,S295),"NO 6F Tethers for RPX!","---"))),"---")</f>
        <v>---</v>
      </c>
      <c r="K299" s="294"/>
      <c r="L299" s="295"/>
      <c r="M299" s="293" t="str">
        <f>IF(E296&gt;60,"Dead Count &gt;60: Consider Downsize","---")</f>
        <v>---</v>
      </c>
      <c r="N299" s="294"/>
      <c r="O299" s="294"/>
      <c r="P299" s="294"/>
      <c r="Q299" s="294"/>
      <c r="R299" s="294"/>
      <c r="S299" s="294"/>
      <c r="T299" s="294"/>
      <c r="U299" s="295"/>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93"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4"/>
      <c r="L300" s="295"/>
      <c r="M300" s="293" t="str">
        <f>IF(AND(OR(E294="SS",E294="RPX",E294="EUC",E294="RPX-T"),(OR(C304="",C304="Field SPL"))),"Cannot have FlexNap cables without tethers","---")</f>
        <v>---</v>
      </c>
      <c r="N300" s="294"/>
      <c r="O300" s="294"/>
      <c r="P300" s="294"/>
      <c r="Q300" s="294"/>
      <c r="R300" s="294"/>
      <c r="S300" s="294"/>
      <c r="T300" s="294"/>
      <c r="U300" s="295"/>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3" t="str">
        <f>IF(AND(OR(E294="RPX", E294="RPX-T", E294="SS"),E295=216),"NO 216 For RPX, RPX-T, OR SS CABLE","---")</f>
        <v>---</v>
      </c>
      <c r="K301" s="294"/>
      <c r="L301" s="295"/>
      <c r="M301" s="293" t="str" cm="1">
        <f t="array" ref="M301">IF(AND(E294="",OR(C304:C328="FST",C304:C328="REV T",C304:C328="DBL REV",C304:C328="TPL REV", C304:C328="QD REV")),"Non-FlexNap cables cannot have tethers","---")</f>
        <v>---</v>
      </c>
      <c r="N301" s="294"/>
      <c r="O301" s="294"/>
      <c r="P301" s="294"/>
      <c r="Q301" s="294"/>
      <c r="R301" s="294"/>
      <c r="S301" s="294"/>
      <c r="T301" s="294"/>
      <c r="U301" s="295"/>
      <c r="V301" s="25"/>
      <c r="W301" s="58"/>
      <c r="X301" s="58"/>
      <c r="Y301" s="25"/>
      <c r="Z301" s="45">
        <v>6</v>
      </c>
      <c r="AA301" s="65">
        <v>61</v>
      </c>
      <c r="AB301" s="65">
        <v>72</v>
      </c>
      <c r="AC301" s="25"/>
      <c r="AD301" s="25"/>
      <c r="BA301" s="226"/>
    </row>
    <row r="302" spans="1:53" ht="15.75" customHeight="1" thickBot="1" x14ac:dyDescent="0.3">
      <c r="A302" s="88"/>
      <c r="B302" s="278" t="s">
        <v>260</v>
      </c>
      <c r="C302" s="315" t="s">
        <v>261</v>
      </c>
      <c r="D302" s="315" t="s">
        <v>262</v>
      </c>
      <c r="E302" s="317" t="s">
        <v>263</v>
      </c>
      <c r="F302" s="315" t="s">
        <v>264</v>
      </c>
      <c r="G302" s="280" t="s">
        <v>265</v>
      </c>
      <c r="H302" s="280" t="s">
        <v>266</v>
      </c>
      <c r="I302" s="280" t="s">
        <v>267</v>
      </c>
      <c r="J302" s="319" t="s">
        <v>268</v>
      </c>
      <c r="K302" s="315" t="s">
        <v>269</v>
      </c>
      <c r="L302" s="321" t="s">
        <v>270</v>
      </c>
      <c r="M302" s="323" t="s">
        <v>271</v>
      </c>
      <c r="N302" s="323"/>
      <c r="O302" s="323"/>
      <c r="P302" s="323"/>
      <c r="Q302" s="323"/>
      <c r="R302" s="323"/>
      <c r="S302" s="323"/>
      <c r="T302" s="323"/>
      <c r="U302" s="324"/>
      <c r="V302" s="107"/>
      <c r="W302" s="72"/>
      <c r="X302" s="72"/>
      <c r="Y302" s="72"/>
      <c r="Z302" s="45">
        <v>7</v>
      </c>
      <c r="AA302" s="65">
        <v>73</v>
      </c>
      <c r="AB302" s="65">
        <v>84</v>
      </c>
      <c r="AC302" s="25"/>
      <c r="AD302" s="25"/>
      <c r="BA302" s="228"/>
    </row>
    <row r="303" spans="1:53" ht="15.75" thickBot="1" x14ac:dyDescent="0.3">
      <c r="A303" s="88"/>
      <c r="B303" s="279"/>
      <c r="C303" s="316"/>
      <c r="D303" s="316"/>
      <c r="E303" s="318"/>
      <c r="F303" s="316"/>
      <c r="G303" s="281"/>
      <c r="H303" s="281"/>
      <c r="I303" s="281"/>
      <c r="J303" s="320"/>
      <c r="K303" s="316"/>
      <c r="L303" s="322"/>
      <c r="M303" s="325"/>
      <c r="N303" s="325"/>
      <c r="O303" s="325"/>
      <c r="P303" s="325"/>
      <c r="Q303" s="325"/>
      <c r="R303" s="325"/>
      <c r="S303" s="325"/>
      <c r="T303" s="325"/>
      <c r="U303" s="326"/>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789</v>
      </c>
      <c r="E304" s="32">
        <v>4</v>
      </c>
      <c r="F304" s="32" t="s">
        <v>483</v>
      </c>
      <c r="G304" s="68" t="s">
        <v>277</v>
      </c>
      <c r="H304" s="69">
        <f>IF(I304=0,0,I304-(E304-1))</f>
        <v>561</v>
      </c>
      <c r="I304" s="70">
        <f>IF(E304=0,0,I299)</f>
        <v>564</v>
      </c>
      <c r="J304" s="71" t="s">
        <v>278</v>
      </c>
      <c r="K304" s="32"/>
      <c r="L304" s="233"/>
      <c r="M304" s="296"/>
      <c r="N304" s="296"/>
      <c r="O304" s="296"/>
      <c r="P304" s="296"/>
      <c r="Q304" s="296"/>
      <c r="R304" s="296"/>
      <c r="S304" s="296"/>
      <c r="T304" s="296"/>
      <c r="U304" s="297"/>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561-564</v>
      </c>
      <c r="AF304" s="109" t="str">
        <f t="shared" ref="AF304:AF328" si="122">IF(C304="Field SPL","N","Y")</f>
        <v>Y</v>
      </c>
      <c r="AG304" s="109" t="str">
        <f t="shared" ref="AG304:AG328" si="123">IF(OR(E$294="RPX",E$294="SS"),"A","B")</f>
        <v>A</v>
      </c>
      <c r="AH304" s="109">
        <v>2</v>
      </c>
      <c r="AI304" s="109" t="str">
        <f>IF(E294="SS",COUNTIFS(C304:C328,"TCF",E304:E328,"2"),"")</f>
        <v/>
      </c>
      <c r="AJ304" s="109">
        <f>IF(E294="RPX",COUNTIFS(C304:C328,"TCF",E304:E328,"2"),"")</f>
        <v>0</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790</v>
      </c>
      <c r="E305" s="32">
        <v>4</v>
      </c>
      <c r="F305" s="32" t="s">
        <v>483</v>
      </c>
      <c r="G305" s="68" t="s">
        <v>277</v>
      </c>
      <c r="H305" s="69">
        <f t="shared" ref="H305:H328" si="128">IF(E305=0,0,I305-(E305-1))</f>
        <v>557</v>
      </c>
      <c r="I305" s="70">
        <f t="shared" ref="I305:I328" si="129">IF(E305=0,0,H304-1)</f>
        <v>560</v>
      </c>
      <c r="J305" s="73" t="str">
        <f>IF(C305="","--",IF(AND(C305&lt;&gt;"FST",C305&lt;&gt;"TCF",BA304&lt;&gt;0),BA304,"--"))</f>
        <v>--</v>
      </c>
      <c r="K305" s="32"/>
      <c r="L305" s="233"/>
      <c r="M305" s="296"/>
      <c r="N305" s="296"/>
      <c r="O305" s="296"/>
      <c r="P305" s="296"/>
      <c r="Q305" s="296"/>
      <c r="R305" s="296"/>
      <c r="S305" s="296"/>
      <c r="T305" s="296"/>
      <c r="U305" s="297"/>
      <c r="V305" s="103"/>
      <c r="W305" s="72"/>
      <c r="X305" s="72"/>
      <c r="Y305" s="72"/>
      <c r="Z305" s="45">
        <v>10</v>
      </c>
      <c r="AA305" s="46">
        <v>109</v>
      </c>
      <c r="AB305" s="46">
        <v>120</v>
      </c>
      <c r="AC305" s="72">
        <f t="shared" si="119"/>
        <v>1</v>
      </c>
      <c r="AD305" s="72">
        <f t="shared" si="120"/>
        <v>0</v>
      </c>
      <c r="AE305" s="109" t="str">
        <f t="shared" si="121"/>
        <v>557-560</v>
      </c>
      <c r="AF305" s="109" t="str">
        <f t="shared" si="122"/>
        <v>Y</v>
      </c>
      <c r="AG305" s="109" t="str">
        <f t="shared" si="123"/>
        <v>A</v>
      </c>
      <c r="AH305" s="109">
        <v>4</v>
      </c>
      <c r="AI305" s="109" t="str">
        <f>IF(E294="SS",COUNTIFS(C304:C328,"TCF",E304:E328,"4"),"")</f>
        <v/>
      </c>
      <c r="AJ305" s="109">
        <f>IF(E294="RPX",COUNTIFS(C304:C328,"TCF",E304:E328,"4"),"")</f>
        <v>0</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791</v>
      </c>
      <c r="E306" s="32">
        <v>8</v>
      </c>
      <c r="F306" s="32" t="s">
        <v>483</v>
      </c>
      <c r="G306" s="75" t="s">
        <v>277</v>
      </c>
      <c r="H306" s="69">
        <f t="shared" si="128"/>
        <v>549</v>
      </c>
      <c r="I306" s="70">
        <f t="shared" si="129"/>
        <v>556</v>
      </c>
      <c r="J306" s="73" t="str">
        <f t="shared" ref="J306:J328" si="130">IF(C306="","--",IF(AND(C306&lt;&gt;"FST",C306&lt;&gt;"TCF",BA305&lt;&gt;0),BA305,"--"))</f>
        <v>--</v>
      </c>
      <c r="K306" s="32"/>
      <c r="L306" s="233"/>
      <c r="M306" s="296"/>
      <c r="N306" s="296"/>
      <c r="O306" s="296"/>
      <c r="P306" s="296"/>
      <c r="Q306" s="296"/>
      <c r="R306" s="296"/>
      <c r="S306" s="296"/>
      <c r="T306" s="296"/>
      <c r="U306" s="297"/>
      <c r="V306" s="103"/>
      <c r="W306" s="72"/>
      <c r="X306" s="72"/>
      <c r="Y306" s="72"/>
      <c r="Z306" s="45">
        <v>11</v>
      </c>
      <c r="AA306" s="46">
        <v>121</v>
      </c>
      <c r="AB306" s="46">
        <v>132</v>
      </c>
      <c r="AC306" s="72">
        <f t="shared" si="119"/>
        <v>1</v>
      </c>
      <c r="AD306" s="72">
        <f t="shared" si="120"/>
        <v>0</v>
      </c>
      <c r="AE306" s="109" t="str">
        <f t="shared" si="121"/>
        <v>549-556</v>
      </c>
      <c r="AF306" s="109" t="str">
        <f t="shared" si="122"/>
        <v>Y</v>
      </c>
      <c r="AG306" s="109" t="str">
        <f t="shared" si="123"/>
        <v>A</v>
      </c>
      <c r="AH306" s="109">
        <v>6</v>
      </c>
      <c r="AI306" s="109" t="str">
        <f>IF(E294="SS",COUNTIFS(C304:C328,"TCF",E304:E328,"6"),"")</f>
        <v/>
      </c>
      <c r="AJ306" s="109">
        <f>IF(E294="RPX",COUNTIFS(C304:C328,"TCF",E304:E328,"6"),"")</f>
        <v>0</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8</v>
      </c>
    </row>
    <row r="307" spans="1:53" ht="15.75" thickBot="1" x14ac:dyDescent="0.3">
      <c r="A307" s="88"/>
      <c r="B307" s="66" t="s">
        <v>281</v>
      </c>
      <c r="C307" s="67" t="s">
        <v>484</v>
      </c>
      <c r="D307" s="102" t="s">
        <v>792</v>
      </c>
      <c r="E307" s="32">
        <v>4</v>
      </c>
      <c r="F307" s="32" t="s">
        <v>483</v>
      </c>
      <c r="G307" s="68" t="s">
        <v>277</v>
      </c>
      <c r="H307" s="69">
        <f t="shared" si="128"/>
        <v>545</v>
      </c>
      <c r="I307" s="70">
        <f t="shared" si="129"/>
        <v>548</v>
      </c>
      <c r="J307" s="73" t="str">
        <f t="shared" si="130"/>
        <v>--</v>
      </c>
      <c r="K307" s="32"/>
      <c r="L307" s="233"/>
      <c r="M307" s="296"/>
      <c r="N307" s="296"/>
      <c r="O307" s="296"/>
      <c r="P307" s="296"/>
      <c r="Q307" s="296"/>
      <c r="R307" s="296"/>
      <c r="S307" s="296"/>
      <c r="T307" s="296"/>
      <c r="U307" s="297"/>
      <c r="V307" s="103"/>
      <c r="W307" s="72"/>
      <c r="X307" s="72"/>
      <c r="Y307" s="72"/>
      <c r="Z307" s="45">
        <v>12</v>
      </c>
      <c r="AA307" s="76">
        <v>133</v>
      </c>
      <c r="AB307" s="76">
        <v>144</v>
      </c>
      <c r="AC307" s="72">
        <f t="shared" si="119"/>
        <v>1</v>
      </c>
      <c r="AD307" s="72">
        <f t="shared" si="120"/>
        <v>0</v>
      </c>
      <c r="AE307" s="109" t="str">
        <f t="shared" si="121"/>
        <v>545-548</v>
      </c>
      <c r="AF307" s="109" t="str">
        <f t="shared" si="122"/>
        <v>Y</v>
      </c>
      <c r="AG307" s="109" t="str">
        <f t="shared" si="123"/>
        <v>A</v>
      </c>
      <c r="AH307" s="109">
        <v>8</v>
      </c>
      <c r="AI307" s="109" t="str">
        <f>IF(E294="SS",COUNTIFS(C304:C328,"TCF",E304:E328,"8"),"")</f>
        <v/>
      </c>
      <c r="AJ307" s="109">
        <f>IF(E294="RPX",COUNTIFS(C304:C328,"TCF",E304:E328,"8"),"")</f>
        <v>0</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826</v>
      </c>
      <c r="E308" s="32">
        <v>4</v>
      </c>
      <c r="F308" s="32" t="s">
        <v>483</v>
      </c>
      <c r="G308" s="68" t="s">
        <v>277</v>
      </c>
      <c r="H308" s="69">
        <f t="shared" si="128"/>
        <v>541</v>
      </c>
      <c r="I308" s="70">
        <f t="shared" si="129"/>
        <v>544</v>
      </c>
      <c r="J308" s="73" t="str">
        <f t="shared" si="130"/>
        <v>--</v>
      </c>
      <c r="K308" s="32"/>
      <c r="L308" s="233"/>
      <c r="M308" s="296"/>
      <c r="N308" s="296"/>
      <c r="O308" s="296"/>
      <c r="P308" s="296"/>
      <c r="Q308" s="296"/>
      <c r="R308" s="296"/>
      <c r="S308" s="296"/>
      <c r="T308" s="296"/>
      <c r="U308" s="297"/>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541-544</v>
      </c>
      <c r="AF308" s="109" t="str">
        <f t="shared" si="122"/>
        <v>Y</v>
      </c>
      <c r="AG308" s="109" t="str">
        <f t="shared" si="123"/>
        <v>A</v>
      </c>
      <c r="AH308" s="109">
        <v>12</v>
      </c>
      <c r="AI308" s="109" t="str">
        <f>IF(E294="SS",COUNTIFS(C304:C328,"TCF",E304:E328,"12"),"")</f>
        <v/>
      </c>
      <c r="AJ308" s="109">
        <f>IF(E294="RPX",COUNTIFS(C304:C328,"TCF",E304:E328,"12"),"")</f>
        <v>0</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6"/>
      <c r="N309" s="296"/>
      <c r="O309" s="296"/>
      <c r="P309" s="296"/>
      <c r="Q309" s="296"/>
      <c r="R309" s="296"/>
      <c r="S309" s="296"/>
      <c r="T309" s="296"/>
      <c r="U309" s="297"/>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A</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6"/>
      <c r="N310" s="296"/>
      <c r="O310" s="296"/>
      <c r="P310" s="296"/>
      <c r="Q310" s="296"/>
      <c r="R310" s="296"/>
      <c r="S310" s="296"/>
      <c r="T310" s="296"/>
      <c r="U310" s="297"/>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A</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6"/>
      <c r="N311" s="296"/>
      <c r="O311" s="296"/>
      <c r="P311" s="296"/>
      <c r="Q311" s="296"/>
      <c r="R311" s="296"/>
      <c r="S311" s="296"/>
      <c r="T311" s="296"/>
      <c r="U311" s="297"/>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A</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6"/>
      <c r="N312" s="296"/>
      <c r="O312" s="296"/>
      <c r="P312" s="296"/>
      <c r="Q312" s="296"/>
      <c r="R312" s="296"/>
      <c r="S312" s="296"/>
      <c r="T312" s="296"/>
      <c r="U312" s="297"/>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A</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6"/>
      <c r="N313" s="296"/>
      <c r="O313" s="296"/>
      <c r="P313" s="296"/>
      <c r="Q313" s="296"/>
      <c r="R313" s="296"/>
      <c r="S313" s="296"/>
      <c r="T313" s="296"/>
      <c r="U313" s="297"/>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A</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6"/>
      <c r="N314" s="296"/>
      <c r="O314" s="296"/>
      <c r="P314" s="296"/>
      <c r="Q314" s="296"/>
      <c r="R314" s="296"/>
      <c r="S314" s="296"/>
      <c r="T314" s="296"/>
      <c r="U314" s="297"/>
      <c r="V314" s="103"/>
      <c r="W314" s="84"/>
      <c r="X314" s="84"/>
      <c r="Y314" s="72"/>
      <c r="Z314" s="72"/>
      <c r="AA314" s="72"/>
      <c r="AB314" s="72"/>
      <c r="AC314" s="72">
        <f t="shared" si="119"/>
        <v>1</v>
      </c>
      <c r="AD314" s="72">
        <f t="shared" si="120"/>
        <v>1</v>
      </c>
      <c r="AE314" s="109" t="str">
        <f t="shared" si="121"/>
        <v>0-0</v>
      </c>
      <c r="AF314" s="109" t="str">
        <f t="shared" si="122"/>
        <v>Y</v>
      </c>
      <c r="AG314" s="109" t="str">
        <f t="shared" si="123"/>
        <v>A</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6"/>
      <c r="N315" s="296"/>
      <c r="O315" s="296"/>
      <c r="P315" s="296"/>
      <c r="Q315" s="296"/>
      <c r="R315" s="296"/>
      <c r="S315" s="296"/>
      <c r="T315" s="296"/>
      <c r="U315" s="297"/>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A</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6"/>
      <c r="N316" s="296"/>
      <c r="O316" s="296"/>
      <c r="P316" s="296"/>
      <c r="Q316" s="296"/>
      <c r="R316" s="296"/>
      <c r="S316" s="296"/>
      <c r="T316" s="296"/>
      <c r="U316" s="297"/>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A</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6"/>
      <c r="N317" s="296"/>
      <c r="O317" s="296"/>
      <c r="P317" s="296"/>
      <c r="Q317" s="296"/>
      <c r="R317" s="296"/>
      <c r="S317" s="296"/>
      <c r="T317" s="296"/>
      <c r="U317" s="297"/>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A</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6"/>
      <c r="N318" s="296"/>
      <c r="O318" s="296"/>
      <c r="P318" s="296"/>
      <c r="Q318" s="296"/>
      <c r="R318" s="296"/>
      <c r="S318" s="296"/>
      <c r="T318" s="296"/>
      <c r="U318" s="297"/>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A</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6"/>
      <c r="N319" s="296"/>
      <c r="O319" s="296"/>
      <c r="P319" s="296"/>
      <c r="Q319" s="296"/>
      <c r="R319" s="296"/>
      <c r="S319" s="296"/>
      <c r="T319" s="296"/>
      <c r="U319" s="297"/>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A</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6"/>
      <c r="N320" s="296"/>
      <c r="O320" s="296"/>
      <c r="P320" s="296"/>
      <c r="Q320" s="296"/>
      <c r="R320" s="296"/>
      <c r="S320" s="296"/>
      <c r="T320" s="296"/>
      <c r="U320" s="297"/>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A</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6"/>
      <c r="N321" s="296"/>
      <c r="O321" s="296"/>
      <c r="P321" s="296"/>
      <c r="Q321" s="296"/>
      <c r="R321" s="296"/>
      <c r="S321" s="296"/>
      <c r="T321" s="296"/>
      <c r="U321" s="297"/>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A</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6"/>
      <c r="N322" s="296"/>
      <c r="O322" s="296"/>
      <c r="P322" s="296"/>
      <c r="Q322" s="296"/>
      <c r="R322" s="296"/>
      <c r="S322" s="296"/>
      <c r="T322" s="296"/>
      <c r="U322" s="297"/>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A</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6"/>
      <c r="N323" s="296"/>
      <c r="O323" s="296"/>
      <c r="P323" s="296"/>
      <c r="Q323" s="296"/>
      <c r="R323" s="296"/>
      <c r="S323" s="296"/>
      <c r="T323" s="296"/>
      <c r="U323" s="297"/>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A</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6"/>
      <c r="N324" s="296"/>
      <c r="O324" s="296"/>
      <c r="P324" s="296"/>
      <c r="Q324" s="296"/>
      <c r="R324" s="296"/>
      <c r="S324" s="296"/>
      <c r="T324" s="296"/>
      <c r="U324" s="297"/>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A</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6"/>
      <c r="N325" s="296"/>
      <c r="O325" s="296"/>
      <c r="P325" s="296"/>
      <c r="Q325" s="296"/>
      <c r="R325" s="296"/>
      <c r="S325" s="296"/>
      <c r="T325" s="296"/>
      <c r="U325" s="297"/>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A</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6"/>
      <c r="N326" s="296"/>
      <c r="O326" s="296"/>
      <c r="P326" s="296"/>
      <c r="Q326" s="296"/>
      <c r="R326" s="296"/>
      <c r="S326" s="296"/>
      <c r="T326" s="296"/>
      <c r="U326" s="297"/>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A</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6"/>
      <c r="N327" s="296"/>
      <c r="O327" s="296"/>
      <c r="P327" s="296"/>
      <c r="Q327" s="296"/>
      <c r="R327" s="296"/>
      <c r="S327" s="296"/>
      <c r="T327" s="296"/>
      <c r="U327" s="297"/>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A</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6"/>
      <c r="N328" s="296"/>
      <c r="O328" s="296"/>
      <c r="P328" s="296"/>
      <c r="Q328" s="296"/>
      <c r="R328" s="296"/>
      <c r="S328" s="296"/>
      <c r="T328" s="296"/>
      <c r="U328" s="297"/>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A</v>
      </c>
      <c r="AM328" s="109">
        <f t="shared" si="124"/>
        <v>0</v>
      </c>
      <c r="AN328" s="109">
        <f t="shared" si="125"/>
        <v>0</v>
      </c>
      <c r="AO328" s="109" t="str">
        <f t="shared" si="126"/>
        <v/>
      </c>
      <c r="AQ328" s="109" t="str">
        <f t="shared" si="127"/>
        <v/>
      </c>
      <c r="BA328" s="228"/>
    </row>
    <row r="329" spans="1:53" ht="16.5" thickBot="1" x14ac:dyDescent="0.3">
      <c r="A329" s="88"/>
      <c r="B329" s="282" t="s">
        <v>319</v>
      </c>
      <c r="C329" s="284"/>
      <c r="D329" s="79"/>
      <c r="E329" s="80"/>
      <c r="F329" s="80"/>
      <c r="G329" s="81"/>
      <c r="H329" s="192"/>
      <c r="I329" s="192"/>
      <c r="J329" s="192"/>
      <c r="K329" s="82"/>
      <c r="L329" s="282" t="s">
        <v>306</v>
      </c>
      <c r="M329" s="283"/>
      <c r="N329" s="283"/>
      <c r="O329" s="283"/>
      <c r="P329" s="283"/>
      <c r="Q329" s="283"/>
      <c r="R329" s="283"/>
      <c r="S329" s="283"/>
      <c r="T329" s="283"/>
      <c r="U329" s="284"/>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2" t="s">
        <v>307</v>
      </c>
      <c r="C330" s="284"/>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5" t="s">
        <v>222</v>
      </c>
      <c r="C334" s="286"/>
      <c r="D334" s="287" t="s">
        <v>223</v>
      </c>
      <c r="E334" s="288"/>
      <c r="F334" s="88"/>
      <c r="G334" s="289" t="s">
        <v>224</v>
      </c>
      <c r="H334" s="290"/>
      <c r="I334" s="28">
        <f>SUM(E345:E369)</f>
        <v>12</v>
      </c>
      <c r="J334" s="291" t="s">
        <v>225</v>
      </c>
      <c r="K334" s="292"/>
      <c r="L334" s="288"/>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8" t="s">
        <v>226</v>
      </c>
      <c r="AA334" s="299"/>
      <c r="AB334" s="300"/>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1" t="s">
        <v>230</v>
      </c>
      <c r="H335" s="288"/>
      <c r="I335" s="33">
        <f>E336-I334</f>
        <v>12</v>
      </c>
      <c r="J335" s="302" t="s">
        <v>231</v>
      </c>
      <c r="K335" s="303"/>
      <c r="L335" s="34">
        <f>I339</f>
        <v>613</v>
      </c>
      <c r="M335" s="196">
        <v>4</v>
      </c>
      <c r="N335" s="35">
        <f>SUM(AI335,AI346)</f>
        <v>0</v>
      </c>
      <c r="O335" s="35">
        <v>0</v>
      </c>
      <c r="P335" s="35">
        <f>SUM(AJ335,AJ346)</f>
        <v>3</v>
      </c>
      <c r="Q335" s="35">
        <v>0</v>
      </c>
      <c r="R335" s="35">
        <f>COUNTIFS($E345:$E369,"4",$F345:$F369,"Pole",$C345:$C369,"FST")</f>
        <v>3</v>
      </c>
      <c r="S335" s="35">
        <f>SUM(AL335,AK346)</f>
        <v>0</v>
      </c>
      <c r="T335" s="35">
        <v>0</v>
      </c>
      <c r="U335" s="35">
        <f>SUM(AK335,AL346)</f>
        <v>0</v>
      </c>
      <c r="V335" s="35">
        <v>0</v>
      </c>
      <c r="W335" s="34">
        <f>COUNTIFS($E345:$E369,"4",$F345:$F369,"HH",$C345:$C369,"FST")</f>
        <v>0</v>
      </c>
      <c r="X335" s="35">
        <f>COUNTIFS($E345:$E369,"4",$F345:$F369,"Ped",$C345:$C369,"FST")</f>
        <v>0</v>
      </c>
      <c r="Y335" s="25"/>
      <c r="Z335" s="304" t="s">
        <v>232</v>
      </c>
      <c r="AA335" s="306" t="s">
        <v>233</v>
      </c>
      <c r="AB335" s="307"/>
      <c r="AC335" s="25"/>
      <c r="AD335" s="25"/>
      <c r="AH335" s="109">
        <v>4</v>
      </c>
      <c r="AI335" s="109" t="str">
        <f>IF($E335="SS",COUNTIFS($C345:$C369,"FST",$E345:$E369,"4"),"0")</f>
        <v>0</v>
      </c>
      <c r="AJ335" s="109">
        <f>IF($E335="RPX",COUNTIFS($C345:$C369,"FST",$E345:$E369,"4"),"0")</f>
        <v>3</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10" t="s">
        <v>237</v>
      </c>
      <c r="H336" s="311"/>
      <c r="I336" s="35">
        <f>IF(E336=0,0,12-(MOD(I334,12)))</f>
        <v>12</v>
      </c>
      <c r="J336" s="302" t="s">
        <v>238</v>
      </c>
      <c r="K336" s="303"/>
      <c r="L336" s="39">
        <f>I340-I334</f>
        <v>612</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5"/>
      <c r="AA336" s="308"/>
      <c r="AB336" s="309"/>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8" t="s">
        <v>242</v>
      </c>
      <c r="H337" s="43" t="s">
        <v>243</v>
      </c>
      <c r="I337" s="35">
        <f>IF(E337&lt;&gt;0,1,0)</f>
        <v>1</v>
      </c>
      <c r="J337" s="310" t="s">
        <v>244</v>
      </c>
      <c r="K337" s="311"/>
      <c r="L337" s="44">
        <f>'Cable Calculator'!AR3</f>
        <v>571</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613</v>
      </c>
      <c r="F338" s="88"/>
      <c r="G338" s="279"/>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0</v>
      </c>
      <c r="Q338" s="35">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8" t="s">
        <v>251</v>
      </c>
      <c r="H339" s="51" t="s">
        <v>252</v>
      </c>
      <c r="I339" s="112">
        <f>E338</f>
        <v>613</v>
      </c>
      <c r="J339" s="312" t="s">
        <v>253</v>
      </c>
      <c r="K339" s="313"/>
      <c r="L339" s="31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9"/>
      <c r="H340" s="47" t="s">
        <v>257</v>
      </c>
      <c r="I340" s="35">
        <f>IF(E338="","0",IF(AND(E335="EUC",E336=432), I339+(203-E337),IF(E338=0,0,(E338+(E336-E337)-1))))</f>
        <v>624</v>
      </c>
      <c r="J340" s="293" t="str">
        <f>IFERROR(IF(OR(E335="EUC",E335="SS"),"---",IF(OR(P334,S334),"NO 2F Tethers for RPX!",IF(OR(P336,S336),"NO 6F Tethers for RPX!","---"))),"---")</f>
        <v>---</v>
      </c>
      <c r="K340" s="294"/>
      <c r="L340" s="295"/>
      <c r="M340" s="293" t="str">
        <f>IF(E337&gt;60,"Dead Count &gt;60: Consider Downsize","---")</f>
        <v>---</v>
      </c>
      <c r="N340" s="294"/>
      <c r="O340" s="294"/>
      <c r="P340" s="294"/>
      <c r="Q340" s="294"/>
      <c r="R340" s="294"/>
      <c r="S340" s="294"/>
      <c r="T340" s="294"/>
      <c r="U340" s="295"/>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3"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4"/>
      <c r="L341" s="295"/>
      <c r="M341" s="293" t="str">
        <f>IF(AND(OR(E335="SS",E335="RPX",E335="EUC",E335="RPX-T"),(OR(C345="",C345="Field SPL"))),"Cannot have FlexNap cables without tethers","---")</f>
        <v>---</v>
      </c>
      <c r="N341" s="294"/>
      <c r="O341" s="294"/>
      <c r="P341" s="294"/>
      <c r="Q341" s="294"/>
      <c r="R341" s="294"/>
      <c r="S341" s="294"/>
      <c r="T341" s="294"/>
      <c r="U341" s="295"/>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3" t="str">
        <f>IF(AND(OR(E335="RPX", E335="RPX-T", E335="SS"),E336=216),"NO 216 For RPX, RPX-T, OR SS CABLE","---")</f>
        <v>---</v>
      </c>
      <c r="K342" s="294"/>
      <c r="L342" s="295"/>
      <c r="M342" s="293" t="str" cm="1">
        <f t="array" ref="M342">IF(AND(E335="",OR(C345:C369="FST",C345:C369="REV T",C345:C369="DBL REV",C345:C369="TPL REV", C345:C369="QD REV")),"Non-FlexNap cables cannot have tethers","---")</f>
        <v>---</v>
      </c>
      <c r="N342" s="294"/>
      <c r="O342" s="294"/>
      <c r="P342" s="294"/>
      <c r="Q342" s="294"/>
      <c r="R342" s="294"/>
      <c r="S342" s="294"/>
      <c r="T342" s="294"/>
      <c r="U342" s="295"/>
      <c r="V342" s="25"/>
      <c r="W342" s="58"/>
      <c r="X342" s="58"/>
      <c r="Y342" s="25"/>
      <c r="Z342" s="45">
        <v>6</v>
      </c>
      <c r="AA342" s="65">
        <v>61</v>
      </c>
      <c r="AB342" s="65">
        <v>72</v>
      </c>
      <c r="AC342" s="25"/>
      <c r="AD342" s="25"/>
      <c r="BA342" s="226"/>
    </row>
    <row r="343" spans="1:53" ht="15.75" customHeight="1" thickBot="1" x14ac:dyDescent="0.3">
      <c r="A343" s="88"/>
      <c r="B343" s="278" t="s">
        <v>260</v>
      </c>
      <c r="C343" s="315" t="s">
        <v>261</v>
      </c>
      <c r="D343" s="315" t="s">
        <v>262</v>
      </c>
      <c r="E343" s="317" t="s">
        <v>263</v>
      </c>
      <c r="F343" s="315" t="s">
        <v>264</v>
      </c>
      <c r="G343" s="280" t="s">
        <v>265</v>
      </c>
      <c r="H343" s="280" t="s">
        <v>266</v>
      </c>
      <c r="I343" s="280" t="s">
        <v>267</v>
      </c>
      <c r="J343" s="319" t="s">
        <v>268</v>
      </c>
      <c r="K343" s="315" t="s">
        <v>269</v>
      </c>
      <c r="L343" s="321" t="s">
        <v>270</v>
      </c>
      <c r="M343" s="323" t="s">
        <v>271</v>
      </c>
      <c r="N343" s="323"/>
      <c r="O343" s="323"/>
      <c r="P343" s="323"/>
      <c r="Q343" s="323"/>
      <c r="R343" s="323"/>
      <c r="S343" s="323"/>
      <c r="T343" s="323"/>
      <c r="U343" s="324"/>
      <c r="V343" s="107"/>
      <c r="W343" s="72"/>
      <c r="X343" s="72"/>
      <c r="Y343" s="72"/>
      <c r="Z343" s="45">
        <v>7</v>
      </c>
      <c r="AA343" s="65">
        <v>73</v>
      </c>
      <c r="AB343" s="65">
        <v>84</v>
      </c>
      <c r="AC343" s="25"/>
      <c r="AD343" s="25"/>
      <c r="BA343" s="228"/>
    </row>
    <row r="344" spans="1:53" ht="15.75" thickBot="1" x14ac:dyDescent="0.3">
      <c r="A344" s="88"/>
      <c r="B344" s="279"/>
      <c r="C344" s="316"/>
      <c r="D344" s="316"/>
      <c r="E344" s="318"/>
      <c r="F344" s="316"/>
      <c r="G344" s="281"/>
      <c r="H344" s="281"/>
      <c r="I344" s="281"/>
      <c r="J344" s="320"/>
      <c r="K344" s="316"/>
      <c r="L344" s="322"/>
      <c r="M344" s="325"/>
      <c r="N344" s="325"/>
      <c r="O344" s="325"/>
      <c r="P344" s="325"/>
      <c r="Q344" s="325"/>
      <c r="R344" s="325"/>
      <c r="S344" s="325"/>
      <c r="T344" s="325"/>
      <c r="U344" s="326"/>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785</v>
      </c>
      <c r="E345" s="32">
        <v>4</v>
      </c>
      <c r="F345" s="32" t="s">
        <v>483</v>
      </c>
      <c r="G345" s="68" t="s">
        <v>277</v>
      </c>
      <c r="H345" s="69">
        <f>IF(I345=0,0,I345-(E345-1))</f>
        <v>621</v>
      </c>
      <c r="I345" s="70">
        <f>IF(E345=0,0,I340)</f>
        <v>624</v>
      </c>
      <c r="J345" s="71" t="s">
        <v>278</v>
      </c>
      <c r="K345" s="32"/>
      <c r="L345" s="233"/>
      <c r="M345" s="296"/>
      <c r="N345" s="296"/>
      <c r="O345" s="296"/>
      <c r="P345" s="296"/>
      <c r="Q345" s="296"/>
      <c r="R345" s="296"/>
      <c r="S345" s="296"/>
      <c r="T345" s="296"/>
      <c r="U345" s="297"/>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621-624</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786</v>
      </c>
      <c r="E346" s="32">
        <v>4</v>
      </c>
      <c r="F346" s="32" t="s">
        <v>483</v>
      </c>
      <c r="G346" s="68" t="s">
        <v>277</v>
      </c>
      <c r="H346" s="69">
        <f t="shared" ref="H346:H369" si="145">IF(E346=0,0,I346-(E346-1))</f>
        <v>617</v>
      </c>
      <c r="I346" s="70">
        <f t="shared" ref="I346:I369" si="146">IF(E346=0,0,H345-1)</f>
        <v>620</v>
      </c>
      <c r="J346" s="73" t="str">
        <f>IF(C346="","--",IF(AND(C346&lt;&gt;"FST",C346&lt;&gt;"TCF",BA345&lt;&gt;0),BA345,"--"))</f>
        <v>--</v>
      </c>
      <c r="K346" s="32"/>
      <c r="L346" s="233"/>
      <c r="M346" s="296"/>
      <c r="N346" s="296"/>
      <c r="O346" s="296"/>
      <c r="P346" s="296"/>
      <c r="Q346" s="296"/>
      <c r="R346" s="296"/>
      <c r="S346" s="296"/>
      <c r="T346" s="296"/>
      <c r="U346" s="297"/>
      <c r="V346" s="103"/>
      <c r="W346" s="72"/>
      <c r="X346" s="72"/>
      <c r="Y346" s="72"/>
      <c r="Z346" s="45">
        <v>10</v>
      </c>
      <c r="AA346" s="46">
        <v>109</v>
      </c>
      <c r="AB346" s="46">
        <v>120</v>
      </c>
      <c r="AC346" s="72">
        <f t="shared" si="136"/>
        <v>1</v>
      </c>
      <c r="AD346" s="72">
        <f t="shared" si="137"/>
        <v>0</v>
      </c>
      <c r="AE346" s="109" t="str">
        <f t="shared" si="138"/>
        <v>617-620</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813</v>
      </c>
      <c r="E347" s="32">
        <v>4</v>
      </c>
      <c r="F347" s="32" t="s">
        <v>483</v>
      </c>
      <c r="G347" s="75" t="s">
        <v>277</v>
      </c>
      <c r="H347" s="69">
        <f t="shared" si="145"/>
        <v>613</v>
      </c>
      <c r="I347" s="70">
        <f t="shared" si="146"/>
        <v>616</v>
      </c>
      <c r="J347" s="73" t="str">
        <f t="shared" ref="J347:J369" si="147">IF(C347="","--",IF(AND(C347&lt;&gt;"FST",C347&lt;&gt;"TCF",BA346&lt;&gt;0),BA346,"--"))</f>
        <v>--</v>
      </c>
      <c r="K347" s="32"/>
      <c r="L347" s="233"/>
      <c r="M347" s="296"/>
      <c r="N347" s="296"/>
      <c r="O347" s="296"/>
      <c r="P347" s="296"/>
      <c r="Q347" s="296"/>
      <c r="R347" s="296"/>
      <c r="S347" s="296"/>
      <c r="T347" s="296"/>
      <c r="U347" s="297"/>
      <c r="V347" s="103"/>
      <c r="W347" s="72"/>
      <c r="X347" s="72"/>
      <c r="Y347" s="72"/>
      <c r="Z347" s="45">
        <v>11</v>
      </c>
      <c r="AA347" s="46">
        <v>121</v>
      </c>
      <c r="AB347" s="46">
        <v>132</v>
      </c>
      <c r="AC347" s="72">
        <f t="shared" si="136"/>
        <v>1</v>
      </c>
      <c r="AD347" s="72">
        <f t="shared" si="137"/>
        <v>0</v>
      </c>
      <c r="AE347" s="109" t="str">
        <f t="shared" si="138"/>
        <v>613-616</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6"/>
      <c r="N348" s="296"/>
      <c r="O348" s="296"/>
      <c r="P348" s="296"/>
      <c r="Q348" s="296"/>
      <c r="R348" s="296"/>
      <c r="S348" s="296"/>
      <c r="T348" s="296"/>
      <c r="U348" s="297"/>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6"/>
      <c r="N349" s="296"/>
      <c r="O349" s="296"/>
      <c r="P349" s="296"/>
      <c r="Q349" s="296"/>
      <c r="R349" s="296"/>
      <c r="S349" s="296"/>
      <c r="T349" s="296"/>
      <c r="U349" s="297"/>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6"/>
      <c r="N350" s="296"/>
      <c r="O350" s="296"/>
      <c r="P350" s="296"/>
      <c r="Q350" s="296"/>
      <c r="R350" s="296"/>
      <c r="S350" s="296"/>
      <c r="T350" s="296"/>
      <c r="U350" s="297"/>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6"/>
      <c r="N351" s="296"/>
      <c r="O351" s="296"/>
      <c r="P351" s="296"/>
      <c r="Q351" s="296"/>
      <c r="R351" s="296"/>
      <c r="S351" s="296"/>
      <c r="T351" s="296"/>
      <c r="U351" s="297"/>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6"/>
      <c r="N352" s="296"/>
      <c r="O352" s="296"/>
      <c r="P352" s="296"/>
      <c r="Q352" s="296"/>
      <c r="R352" s="296"/>
      <c r="S352" s="296"/>
      <c r="T352" s="296"/>
      <c r="U352" s="297"/>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6"/>
      <c r="N353" s="296"/>
      <c r="O353" s="296"/>
      <c r="P353" s="296"/>
      <c r="Q353" s="296"/>
      <c r="R353" s="296"/>
      <c r="S353" s="296"/>
      <c r="T353" s="296"/>
      <c r="U353" s="297"/>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6"/>
      <c r="N354" s="296"/>
      <c r="O354" s="296"/>
      <c r="P354" s="296"/>
      <c r="Q354" s="296"/>
      <c r="R354" s="296"/>
      <c r="S354" s="296"/>
      <c r="T354" s="296"/>
      <c r="U354" s="297"/>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6"/>
      <c r="N355" s="296"/>
      <c r="O355" s="296"/>
      <c r="P355" s="296"/>
      <c r="Q355" s="296"/>
      <c r="R355" s="296"/>
      <c r="S355" s="296"/>
      <c r="T355" s="296"/>
      <c r="U355" s="297"/>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6"/>
      <c r="N356" s="296"/>
      <c r="O356" s="296"/>
      <c r="P356" s="296"/>
      <c r="Q356" s="296"/>
      <c r="R356" s="296"/>
      <c r="S356" s="296"/>
      <c r="T356" s="296"/>
      <c r="U356" s="297"/>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6"/>
      <c r="N357" s="296"/>
      <c r="O357" s="296"/>
      <c r="P357" s="296"/>
      <c r="Q357" s="296"/>
      <c r="R357" s="296"/>
      <c r="S357" s="296"/>
      <c r="T357" s="296"/>
      <c r="U357" s="297"/>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6"/>
      <c r="N358" s="296"/>
      <c r="O358" s="296"/>
      <c r="P358" s="296"/>
      <c r="Q358" s="296"/>
      <c r="R358" s="296"/>
      <c r="S358" s="296"/>
      <c r="T358" s="296"/>
      <c r="U358" s="297"/>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6"/>
      <c r="N359" s="296"/>
      <c r="O359" s="296"/>
      <c r="P359" s="296"/>
      <c r="Q359" s="296"/>
      <c r="R359" s="296"/>
      <c r="S359" s="296"/>
      <c r="T359" s="296"/>
      <c r="U359" s="297"/>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6"/>
      <c r="N360" s="296"/>
      <c r="O360" s="296"/>
      <c r="P360" s="296"/>
      <c r="Q360" s="296"/>
      <c r="R360" s="296"/>
      <c r="S360" s="296"/>
      <c r="T360" s="296"/>
      <c r="U360" s="297"/>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6"/>
      <c r="N361" s="296"/>
      <c r="O361" s="296"/>
      <c r="P361" s="296"/>
      <c r="Q361" s="296"/>
      <c r="R361" s="296"/>
      <c r="S361" s="296"/>
      <c r="T361" s="296"/>
      <c r="U361" s="297"/>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6"/>
      <c r="N362" s="296"/>
      <c r="O362" s="296"/>
      <c r="P362" s="296"/>
      <c r="Q362" s="296"/>
      <c r="R362" s="296"/>
      <c r="S362" s="296"/>
      <c r="T362" s="296"/>
      <c r="U362" s="297"/>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6"/>
      <c r="N363" s="296"/>
      <c r="O363" s="296"/>
      <c r="P363" s="296"/>
      <c r="Q363" s="296"/>
      <c r="R363" s="296"/>
      <c r="S363" s="296"/>
      <c r="T363" s="296"/>
      <c r="U363" s="297"/>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6"/>
      <c r="N364" s="296"/>
      <c r="O364" s="296"/>
      <c r="P364" s="296"/>
      <c r="Q364" s="296"/>
      <c r="R364" s="296"/>
      <c r="S364" s="296"/>
      <c r="T364" s="296"/>
      <c r="U364" s="297"/>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6"/>
      <c r="N365" s="296"/>
      <c r="O365" s="296"/>
      <c r="P365" s="296"/>
      <c r="Q365" s="296"/>
      <c r="R365" s="296"/>
      <c r="S365" s="296"/>
      <c r="T365" s="296"/>
      <c r="U365" s="297"/>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6"/>
      <c r="N366" s="296"/>
      <c r="O366" s="296"/>
      <c r="P366" s="296"/>
      <c r="Q366" s="296"/>
      <c r="R366" s="296"/>
      <c r="S366" s="296"/>
      <c r="T366" s="296"/>
      <c r="U366" s="297"/>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6"/>
      <c r="N367" s="296"/>
      <c r="O367" s="296"/>
      <c r="P367" s="296"/>
      <c r="Q367" s="296"/>
      <c r="R367" s="296"/>
      <c r="S367" s="296"/>
      <c r="T367" s="296"/>
      <c r="U367" s="297"/>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6"/>
      <c r="N368" s="296"/>
      <c r="O368" s="296"/>
      <c r="P368" s="296"/>
      <c r="Q368" s="296"/>
      <c r="R368" s="296"/>
      <c r="S368" s="296"/>
      <c r="T368" s="296"/>
      <c r="U368" s="297"/>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6"/>
      <c r="N369" s="296"/>
      <c r="O369" s="296"/>
      <c r="P369" s="296"/>
      <c r="Q369" s="296"/>
      <c r="R369" s="296"/>
      <c r="S369" s="296"/>
      <c r="T369" s="296"/>
      <c r="U369" s="297"/>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282" t="s">
        <v>321</v>
      </c>
      <c r="C370" s="284"/>
      <c r="D370" s="79"/>
      <c r="E370" s="80"/>
      <c r="F370" s="80"/>
      <c r="G370" s="81"/>
      <c r="H370" s="192"/>
      <c r="I370" s="192"/>
      <c r="J370" s="192"/>
      <c r="K370" s="82"/>
      <c r="L370" s="282" t="s">
        <v>306</v>
      </c>
      <c r="M370" s="283"/>
      <c r="N370" s="283"/>
      <c r="O370" s="283"/>
      <c r="P370" s="283"/>
      <c r="Q370" s="283"/>
      <c r="R370" s="283"/>
      <c r="S370" s="283"/>
      <c r="T370" s="283"/>
      <c r="U370" s="284"/>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2" t="s">
        <v>307</v>
      </c>
      <c r="C371" s="284"/>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5" t="s">
        <v>222</v>
      </c>
      <c r="C375" s="286"/>
      <c r="D375" s="287" t="s">
        <v>223</v>
      </c>
      <c r="E375" s="288"/>
      <c r="F375" s="88"/>
      <c r="G375" s="289" t="s">
        <v>224</v>
      </c>
      <c r="H375" s="290"/>
      <c r="I375" s="28">
        <f>SUM(E386:E410)</f>
        <v>12</v>
      </c>
      <c r="J375" s="291" t="s">
        <v>225</v>
      </c>
      <c r="K375" s="292"/>
      <c r="L375" s="288"/>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8" t="s">
        <v>226</v>
      </c>
      <c r="AA375" s="299"/>
      <c r="AB375" s="300"/>
      <c r="AC375" s="25"/>
      <c r="AD375" s="25"/>
      <c r="AH375" s="109">
        <v>2</v>
      </c>
      <c r="AI375" s="109" t="str">
        <f>IF($E376="SS",COUNTIFS($C386:$C410,"FST",$E386:$E410,"2"),"0")</f>
        <v>0</v>
      </c>
      <c r="AJ375" s="109">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1</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RPX</v>
      </c>
      <c r="F376" s="88"/>
      <c r="G376" s="301" t="s">
        <v>230</v>
      </c>
      <c r="H376" s="288"/>
      <c r="I376" s="33">
        <f>E377-I375</f>
        <v>12</v>
      </c>
      <c r="J376" s="302" t="s">
        <v>231</v>
      </c>
      <c r="K376" s="303"/>
      <c r="L376" s="34">
        <f>I380</f>
        <v>577</v>
      </c>
      <c r="M376" s="196">
        <v>4</v>
      </c>
      <c r="N376" s="35">
        <f>SUM(AI376,AI387)</f>
        <v>0</v>
      </c>
      <c r="O376" s="35">
        <v>0</v>
      </c>
      <c r="P376" s="35">
        <f>SUM(AJ376,AJ387)</f>
        <v>3</v>
      </c>
      <c r="Q376" s="35">
        <v>0</v>
      </c>
      <c r="R376" s="35">
        <f>COUNTIFS($E386:$E410,"4",$F386:$F410,"Pole",$C386:$C410,"FST")</f>
        <v>3</v>
      </c>
      <c r="S376" s="35">
        <f>SUM(AL376,AK387)</f>
        <v>0</v>
      </c>
      <c r="T376" s="35">
        <v>0</v>
      </c>
      <c r="U376" s="35">
        <f>SUM(AK376,AL387)</f>
        <v>0</v>
      </c>
      <c r="V376" s="35">
        <v>0</v>
      </c>
      <c r="W376" s="34">
        <f>COUNTIFS($E386:$E410,"4",$F386:$F410,"HH",$C386:$C410,"FST")</f>
        <v>0</v>
      </c>
      <c r="X376" s="35">
        <f>COUNTIFS($E386:$E410,"4",$F386:$F410,"Ped",$C386:$C410,"FST")</f>
        <v>0</v>
      </c>
      <c r="Y376" s="25"/>
      <c r="Z376" s="304" t="s">
        <v>232</v>
      </c>
      <c r="AA376" s="306" t="s">
        <v>233</v>
      </c>
      <c r="AB376" s="307"/>
      <c r="AC376" s="25"/>
      <c r="AD376" s="25"/>
      <c r="AH376" s="109">
        <v>4</v>
      </c>
      <c r="AI376" s="109" t="str">
        <f>IF($E376="SS",COUNTIFS($C386:$C410,"FST",$E386:$E410,"4"),"0")</f>
        <v>0</v>
      </c>
      <c r="AJ376" s="109">
        <f>IF($E376="RPX",COUNTIFS($C386:$C410,"FST",$E386:$E410,"4"),"0")</f>
        <v>3</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10" t="s">
        <v>237</v>
      </c>
      <c r="H377" s="311"/>
      <c r="I377" s="35">
        <f>IF(E377=0,0,12-(MOD(I375,12)))</f>
        <v>12</v>
      </c>
      <c r="J377" s="302" t="s">
        <v>238</v>
      </c>
      <c r="K377" s="303"/>
      <c r="L377" s="39">
        <f>I381-I375</f>
        <v>576</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5"/>
      <c r="AA377" s="308"/>
      <c r="AB377" s="309"/>
      <c r="AC377" s="25"/>
      <c r="AD377" s="25"/>
      <c r="AH377" s="109">
        <v>6</v>
      </c>
      <c r="AI377" s="109" t="str">
        <f>IF($E376="SS",COUNTIFS($C386:$C410,"FST",$E386:$E410,"6"),"0")</f>
        <v>0</v>
      </c>
      <c r="AJ377" s="109">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278" t="s">
        <v>242</v>
      </c>
      <c r="H378" s="43" t="s">
        <v>243</v>
      </c>
      <c r="I378" s="35">
        <f>IF(E378&lt;&gt;0,1,0)</f>
        <v>1</v>
      </c>
      <c r="J378" s="310" t="s">
        <v>244</v>
      </c>
      <c r="K378" s="311"/>
      <c r="L378" s="44">
        <f>'Cable Calculator'!AW3</f>
        <v>587</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577</v>
      </c>
      <c r="F379" s="88"/>
      <c r="G379" s="279"/>
      <c r="H379" s="47" t="s">
        <v>248</v>
      </c>
      <c r="I379" s="35">
        <f>IF(E378&lt;&gt;0,E378,0)</f>
        <v>12</v>
      </c>
      <c r="J379" s="194"/>
      <c r="K379" s="195"/>
      <c r="L379" s="48"/>
      <c r="M379" s="196">
        <v>12</v>
      </c>
      <c r="N379" s="35" t="str">
        <f>IF($E376="SS",SUM(AI379,AJ390,AM411,AO411,AQ411),"0")</f>
        <v>0</v>
      </c>
      <c r="O379" s="35" t="str">
        <f>IF($E376="SS",SUM(AN411,AP411,AR411),"0")</f>
        <v>0</v>
      </c>
      <c r="P379" s="35">
        <f>IF($E376="RPX",SUM(AJ379,AJ390,AM411,AO411,AQ411),"0")</f>
        <v>0</v>
      </c>
      <c r="Q379" s="35">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78" t="s">
        <v>251</v>
      </c>
      <c r="H380" s="51" t="s">
        <v>252</v>
      </c>
      <c r="I380" s="112">
        <f>E379</f>
        <v>577</v>
      </c>
      <c r="J380" s="312" t="s">
        <v>253</v>
      </c>
      <c r="K380" s="313"/>
      <c r="L380" s="31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279"/>
      <c r="H381" s="47" t="s">
        <v>257</v>
      </c>
      <c r="I381" s="35">
        <f>IF(E379="","0",IF(AND(E376="EUC",E377=432), I380+(203-E378),IF(E379=0,0,(E379+(E377-E378)-1))))</f>
        <v>588</v>
      </c>
      <c r="J381" s="293" t="str">
        <f>IFERROR(IF(OR(E376="EUC",E376="SS"),"---",IF(OR(P375,S375),"NO 2F Tethers for RPX!",IF(OR(P377,S377),"NO 6F Tethers for RPX!","---"))),"---")</f>
        <v>---</v>
      </c>
      <c r="K381" s="294"/>
      <c r="L381" s="295"/>
      <c r="M381" s="293" t="str">
        <f>IF(E378&gt;60,"Dead Count &gt;60: Consider Downsize","---")</f>
        <v>---</v>
      </c>
      <c r="N381" s="294"/>
      <c r="O381" s="294"/>
      <c r="P381" s="294"/>
      <c r="Q381" s="294"/>
      <c r="R381" s="294"/>
      <c r="S381" s="294"/>
      <c r="T381" s="294"/>
      <c r="U381" s="295"/>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93"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4"/>
      <c r="L382" s="295"/>
      <c r="M382" s="293" t="str">
        <f>IF(AND(OR(E376="SS",E376="RPX",E376="EUC",E376="RPX-T"),(OR(C386="",C386="Field SPL"))),"Cannot have FlexNap cables without tethers","---")</f>
        <v>---</v>
      </c>
      <c r="N382" s="294"/>
      <c r="O382" s="294"/>
      <c r="P382" s="294"/>
      <c r="Q382" s="294"/>
      <c r="R382" s="294"/>
      <c r="S382" s="294"/>
      <c r="T382" s="294"/>
      <c r="U382" s="295"/>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3" t="str">
        <f>IF(AND(OR(E376="RPX", E376="RPX-T", E376="SS"),E377=216),"NO 216 For RPX, RPX-T, OR SS CABLE","---")</f>
        <v>---</v>
      </c>
      <c r="K383" s="294"/>
      <c r="L383" s="295"/>
      <c r="M383" s="293" t="str" cm="1">
        <f t="array" ref="M383">IF(AND(E376="",OR(C386:C410="FST",C386:C410="REV T",C386:C410="DBL REV",C386:C410="TPL REV", C386:C410="QD REV")),"Non-FlexNap cables cannot have tethers","---")</f>
        <v>---</v>
      </c>
      <c r="N383" s="294"/>
      <c r="O383" s="294"/>
      <c r="P383" s="294"/>
      <c r="Q383" s="294"/>
      <c r="R383" s="294"/>
      <c r="S383" s="294"/>
      <c r="T383" s="294"/>
      <c r="U383" s="295"/>
      <c r="V383" s="25"/>
      <c r="W383" s="58"/>
      <c r="X383" s="58"/>
      <c r="Y383" s="25"/>
      <c r="Z383" s="45">
        <v>6</v>
      </c>
      <c r="AA383" s="65">
        <v>61</v>
      </c>
      <c r="AB383" s="65">
        <v>72</v>
      </c>
      <c r="AC383" s="25"/>
      <c r="AD383" s="25"/>
      <c r="BA383" s="226"/>
    </row>
    <row r="384" spans="1:53" ht="15.75" customHeight="1" thickBot="1" x14ac:dyDescent="0.3">
      <c r="A384" s="88"/>
      <c r="B384" s="278" t="s">
        <v>260</v>
      </c>
      <c r="C384" s="315" t="s">
        <v>261</v>
      </c>
      <c r="D384" s="315" t="s">
        <v>262</v>
      </c>
      <c r="E384" s="317" t="s">
        <v>263</v>
      </c>
      <c r="F384" s="315" t="s">
        <v>264</v>
      </c>
      <c r="G384" s="280" t="s">
        <v>265</v>
      </c>
      <c r="H384" s="280" t="s">
        <v>266</v>
      </c>
      <c r="I384" s="280" t="s">
        <v>267</v>
      </c>
      <c r="J384" s="319" t="s">
        <v>268</v>
      </c>
      <c r="K384" s="315" t="s">
        <v>269</v>
      </c>
      <c r="L384" s="321" t="s">
        <v>270</v>
      </c>
      <c r="M384" s="323" t="s">
        <v>271</v>
      </c>
      <c r="N384" s="323"/>
      <c r="O384" s="323"/>
      <c r="P384" s="323"/>
      <c r="Q384" s="323"/>
      <c r="R384" s="323"/>
      <c r="S384" s="323"/>
      <c r="T384" s="323"/>
      <c r="U384" s="324"/>
      <c r="V384" s="107"/>
      <c r="W384" s="72"/>
      <c r="X384" s="72"/>
      <c r="Y384" s="72"/>
      <c r="Z384" s="45">
        <v>7</v>
      </c>
      <c r="AA384" s="65">
        <v>73</v>
      </c>
      <c r="AB384" s="65">
        <v>84</v>
      </c>
      <c r="AC384" s="25"/>
      <c r="AD384" s="25"/>
      <c r="BA384" s="228"/>
    </row>
    <row r="385" spans="1:53" ht="15.75" thickBot="1" x14ac:dyDescent="0.3">
      <c r="A385" s="88"/>
      <c r="B385" s="279"/>
      <c r="C385" s="316"/>
      <c r="D385" s="316"/>
      <c r="E385" s="318"/>
      <c r="F385" s="316"/>
      <c r="G385" s="281"/>
      <c r="H385" s="281"/>
      <c r="I385" s="281"/>
      <c r="J385" s="320"/>
      <c r="K385" s="316"/>
      <c r="L385" s="322"/>
      <c r="M385" s="325"/>
      <c r="N385" s="325"/>
      <c r="O385" s="325"/>
      <c r="P385" s="325"/>
      <c r="Q385" s="325"/>
      <c r="R385" s="325"/>
      <c r="S385" s="325"/>
      <c r="T385" s="325"/>
      <c r="U385" s="326"/>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787</v>
      </c>
      <c r="E386" s="32">
        <v>4</v>
      </c>
      <c r="F386" s="32" t="s">
        <v>483</v>
      </c>
      <c r="G386" s="68" t="s">
        <v>277</v>
      </c>
      <c r="H386" s="69">
        <f>IF(I386=0,0,I386-(E386-1))</f>
        <v>585</v>
      </c>
      <c r="I386" s="70">
        <f>IF(E386=0,0,I381)</f>
        <v>588</v>
      </c>
      <c r="J386" s="71" t="s">
        <v>278</v>
      </c>
      <c r="K386" s="32"/>
      <c r="L386" s="233"/>
      <c r="M386" s="296"/>
      <c r="N386" s="296"/>
      <c r="O386" s="296"/>
      <c r="P386" s="296"/>
      <c r="Q386" s="296"/>
      <c r="R386" s="296"/>
      <c r="S386" s="296"/>
      <c r="T386" s="296"/>
      <c r="U386" s="297"/>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585-588</v>
      </c>
      <c r="AF386" s="109" t="str">
        <f t="shared" ref="AF386:AF410" si="156">IF(C386="Field SPL","N","Y")</f>
        <v>Y</v>
      </c>
      <c r="AG386" s="109" t="str">
        <f t="shared" ref="AG386:AG410" si="157">IF(OR(E$376="RPX",E$376="SS"),"A","B")</f>
        <v>A</v>
      </c>
      <c r="AH386" s="109">
        <v>2</v>
      </c>
      <c r="AI386" s="109" t="str">
        <f>IF(E376="SS",COUNTIFS(C386:C410,"TCF",E386:E410,"2"),"")</f>
        <v/>
      </c>
      <c r="AJ386" s="109">
        <f>IF(E376="RPX",COUNTIFS(C386:C410,"TCF",E386:E410,"2"),"")</f>
        <v>0</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788</v>
      </c>
      <c r="E387" s="32">
        <v>4</v>
      </c>
      <c r="F387" s="32" t="s">
        <v>483</v>
      </c>
      <c r="G387" s="68" t="s">
        <v>277</v>
      </c>
      <c r="H387" s="69">
        <f t="shared" ref="H387:H410" si="162">IF(E387=0,0,I387-(E387-1))</f>
        <v>581</v>
      </c>
      <c r="I387" s="70">
        <f t="shared" ref="I387:I410" si="163">IF(E387=0,0,H386-1)</f>
        <v>584</v>
      </c>
      <c r="J387" s="73" t="str">
        <f>IF(C387="","--",IF(AND(C387&lt;&gt;"FST",C387&lt;&gt;"TCF",BA386&lt;&gt;0),BA386,"--"))</f>
        <v>--</v>
      </c>
      <c r="K387" s="32"/>
      <c r="L387" s="233"/>
      <c r="M387" s="296"/>
      <c r="N387" s="296"/>
      <c r="O387" s="296"/>
      <c r="P387" s="296"/>
      <c r="Q387" s="296"/>
      <c r="R387" s="296"/>
      <c r="S387" s="296"/>
      <c r="T387" s="296"/>
      <c r="U387" s="297"/>
      <c r="V387" s="103"/>
      <c r="W387" s="72"/>
      <c r="X387" s="72"/>
      <c r="Y387" s="72"/>
      <c r="Z387" s="45">
        <v>10</v>
      </c>
      <c r="AA387" s="46">
        <v>109</v>
      </c>
      <c r="AB387" s="46">
        <v>120</v>
      </c>
      <c r="AC387" s="72">
        <f t="shared" si="153"/>
        <v>1</v>
      </c>
      <c r="AD387" s="72">
        <f t="shared" si="154"/>
        <v>0</v>
      </c>
      <c r="AE387" s="109" t="str">
        <f t="shared" si="155"/>
        <v>581-584</v>
      </c>
      <c r="AF387" s="109" t="str">
        <f t="shared" si="156"/>
        <v>Y</v>
      </c>
      <c r="AG387" s="109" t="str">
        <f t="shared" si="157"/>
        <v>A</v>
      </c>
      <c r="AH387" s="109">
        <v>4</v>
      </c>
      <c r="AI387" s="109" t="str">
        <f>IF(E376="SS",COUNTIFS(C386:C410,"TCF",E386:E410,"4"),"")</f>
        <v/>
      </c>
      <c r="AJ387" s="109">
        <f>IF(E376="RPX",COUNTIFS(C386:C410,"TCF",E386:E410,"4"),"")</f>
        <v>0</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8</v>
      </c>
    </row>
    <row r="388" spans="1:53" ht="15.75" thickBot="1" x14ac:dyDescent="0.3">
      <c r="A388" s="88"/>
      <c r="B388" s="74" t="s">
        <v>280</v>
      </c>
      <c r="C388" s="67" t="s">
        <v>484</v>
      </c>
      <c r="D388" s="102" t="s">
        <v>736</v>
      </c>
      <c r="E388" s="32">
        <v>4</v>
      </c>
      <c r="F388" s="32" t="s">
        <v>483</v>
      </c>
      <c r="G388" s="75" t="s">
        <v>277</v>
      </c>
      <c r="H388" s="69">
        <f t="shared" si="162"/>
        <v>577</v>
      </c>
      <c r="I388" s="70">
        <f t="shared" si="163"/>
        <v>580</v>
      </c>
      <c r="J388" s="73" t="str">
        <f t="shared" ref="J388:J410" si="164">IF(C388="","--",IF(AND(C388&lt;&gt;"FST",C388&lt;&gt;"TCF",BA387&lt;&gt;0),BA387,"--"))</f>
        <v>--</v>
      </c>
      <c r="K388" s="32"/>
      <c r="L388" s="233"/>
      <c r="M388" s="296"/>
      <c r="N388" s="296"/>
      <c r="O388" s="296"/>
      <c r="P388" s="296"/>
      <c r="Q388" s="296"/>
      <c r="R388" s="296"/>
      <c r="S388" s="296"/>
      <c r="T388" s="296"/>
      <c r="U388" s="297"/>
      <c r="V388" s="103"/>
      <c r="W388" s="72"/>
      <c r="X388" s="72"/>
      <c r="Y388" s="72"/>
      <c r="Z388" s="45">
        <v>11</v>
      </c>
      <c r="AA388" s="46">
        <v>121</v>
      </c>
      <c r="AB388" s="46">
        <v>132</v>
      </c>
      <c r="AC388" s="72">
        <f t="shared" si="153"/>
        <v>1</v>
      </c>
      <c r="AD388" s="72">
        <f t="shared" si="154"/>
        <v>0</v>
      </c>
      <c r="AE388" s="109" t="str">
        <f t="shared" si="155"/>
        <v>577-580</v>
      </c>
      <c r="AF388" s="109" t="str">
        <f t="shared" si="156"/>
        <v>Y</v>
      </c>
      <c r="AG388" s="109" t="str">
        <f t="shared" si="157"/>
        <v>A</v>
      </c>
      <c r="AH388" s="109">
        <v>6</v>
      </c>
      <c r="AI388" s="109" t="str">
        <f>IF(E376="SS",COUNTIFS(C386:C410,"TCF",E386:E410,"6"),"")</f>
        <v/>
      </c>
      <c r="AJ388" s="109">
        <f>IF(E376="RPX",COUNTIFS(C386:C410,"TCF",E386:E410,"6"),"")</f>
        <v>0</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6"/>
      <c r="N389" s="296"/>
      <c r="O389" s="296"/>
      <c r="P389" s="296"/>
      <c r="Q389" s="296"/>
      <c r="R389" s="296"/>
      <c r="S389" s="296"/>
      <c r="T389" s="296"/>
      <c r="U389" s="297"/>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A</v>
      </c>
      <c r="AH389" s="109">
        <v>8</v>
      </c>
      <c r="AI389" s="109" t="str">
        <f>IF(E376="SS",COUNTIFS(C386:C410,"TCF",E386:E410,"8"),"")</f>
        <v/>
      </c>
      <c r="AJ389" s="109">
        <f>IF(E376="RPX",COUNTIFS(C386:C410,"TCF",E386:E410,"8"),"")</f>
        <v>0</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6"/>
      <c r="N390" s="296"/>
      <c r="O390" s="296"/>
      <c r="P390" s="296"/>
      <c r="Q390" s="296"/>
      <c r="R390" s="296"/>
      <c r="S390" s="296"/>
      <c r="T390" s="296"/>
      <c r="U390" s="297"/>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A</v>
      </c>
      <c r="AH390" s="109">
        <v>12</v>
      </c>
      <c r="AI390" s="109" t="str">
        <f>IF(E376="SS",COUNTIFS(C386:C410,"TCF",E386:E410,"12"),"")</f>
        <v/>
      </c>
      <c r="AJ390" s="109">
        <f>IF(E376="RPX",COUNTIFS(C386:C410,"TCF",E386:E410,"12"),"")</f>
        <v>0</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6"/>
      <c r="N391" s="296"/>
      <c r="O391" s="296"/>
      <c r="P391" s="296"/>
      <c r="Q391" s="296"/>
      <c r="R391" s="296"/>
      <c r="S391" s="296"/>
      <c r="T391" s="296"/>
      <c r="U391" s="29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A</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6"/>
      <c r="N392" s="296"/>
      <c r="O392" s="296"/>
      <c r="P392" s="296"/>
      <c r="Q392" s="296"/>
      <c r="R392" s="296"/>
      <c r="S392" s="296"/>
      <c r="T392" s="296"/>
      <c r="U392" s="297"/>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A</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6"/>
      <c r="N393" s="296"/>
      <c r="O393" s="296"/>
      <c r="P393" s="296"/>
      <c r="Q393" s="296"/>
      <c r="R393" s="296"/>
      <c r="S393" s="296"/>
      <c r="T393" s="296"/>
      <c r="U393" s="297"/>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A</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6"/>
      <c r="N394" s="296"/>
      <c r="O394" s="296"/>
      <c r="P394" s="296"/>
      <c r="Q394" s="296"/>
      <c r="R394" s="296"/>
      <c r="S394" s="296"/>
      <c r="T394" s="296"/>
      <c r="U394" s="297"/>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A</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6"/>
      <c r="N395" s="296"/>
      <c r="O395" s="296"/>
      <c r="P395" s="296"/>
      <c r="Q395" s="296"/>
      <c r="R395" s="296"/>
      <c r="S395" s="296"/>
      <c r="T395" s="296"/>
      <c r="U395" s="297"/>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A</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6"/>
      <c r="N396" s="296"/>
      <c r="O396" s="296"/>
      <c r="P396" s="296"/>
      <c r="Q396" s="296"/>
      <c r="R396" s="296"/>
      <c r="S396" s="296"/>
      <c r="T396" s="296"/>
      <c r="U396" s="297"/>
      <c r="V396" s="103"/>
      <c r="W396" s="84"/>
      <c r="X396" s="84"/>
      <c r="Y396" s="72"/>
      <c r="Z396" s="72"/>
      <c r="AA396" s="72"/>
      <c r="AB396" s="72"/>
      <c r="AC396" s="72">
        <f t="shared" si="153"/>
        <v>1</v>
      </c>
      <c r="AD396" s="72">
        <f t="shared" si="154"/>
        <v>1</v>
      </c>
      <c r="AE396" s="109" t="str">
        <f t="shared" si="155"/>
        <v>0-0</v>
      </c>
      <c r="AF396" s="109" t="str">
        <f t="shared" si="156"/>
        <v>Y</v>
      </c>
      <c r="AG396" s="109" t="str">
        <f t="shared" si="157"/>
        <v>A</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6"/>
      <c r="N397" s="296"/>
      <c r="O397" s="296"/>
      <c r="P397" s="296"/>
      <c r="Q397" s="296"/>
      <c r="R397" s="296"/>
      <c r="S397" s="296"/>
      <c r="T397" s="296"/>
      <c r="U397" s="297"/>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A</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6"/>
      <c r="N398" s="296"/>
      <c r="O398" s="296"/>
      <c r="P398" s="296"/>
      <c r="Q398" s="296"/>
      <c r="R398" s="296"/>
      <c r="S398" s="296"/>
      <c r="T398" s="296"/>
      <c r="U398" s="297"/>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A</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6"/>
      <c r="N399" s="296"/>
      <c r="O399" s="296"/>
      <c r="P399" s="296"/>
      <c r="Q399" s="296"/>
      <c r="R399" s="296"/>
      <c r="S399" s="296"/>
      <c r="T399" s="296"/>
      <c r="U399" s="297"/>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A</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6"/>
      <c r="N400" s="296"/>
      <c r="O400" s="296"/>
      <c r="P400" s="296"/>
      <c r="Q400" s="296"/>
      <c r="R400" s="296"/>
      <c r="S400" s="296"/>
      <c r="T400" s="296"/>
      <c r="U400" s="297"/>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A</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6"/>
      <c r="N401" s="296"/>
      <c r="O401" s="296"/>
      <c r="P401" s="296"/>
      <c r="Q401" s="296"/>
      <c r="R401" s="296"/>
      <c r="S401" s="296"/>
      <c r="T401" s="296"/>
      <c r="U401" s="297"/>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A</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6"/>
      <c r="N402" s="296"/>
      <c r="O402" s="296"/>
      <c r="P402" s="296"/>
      <c r="Q402" s="296"/>
      <c r="R402" s="296"/>
      <c r="S402" s="296"/>
      <c r="T402" s="296"/>
      <c r="U402" s="297"/>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A</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6"/>
      <c r="N403" s="296"/>
      <c r="O403" s="296"/>
      <c r="P403" s="296"/>
      <c r="Q403" s="296"/>
      <c r="R403" s="296"/>
      <c r="S403" s="296"/>
      <c r="T403" s="296"/>
      <c r="U403" s="297"/>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A</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6"/>
      <c r="N404" s="296"/>
      <c r="O404" s="296"/>
      <c r="P404" s="296"/>
      <c r="Q404" s="296"/>
      <c r="R404" s="296"/>
      <c r="S404" s="296"/>
      <c r="T404" s="296"/>
      <c r="U404" s="297"/>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A</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6"/>
      <c r="N405" s="296"/>
      <c r="O405" s="296"/>
      <c r="P405" s="296"/>
      <c r="Q405" s="296"/>
      <c r="R405" s="296"/>
      <c r="S405" s="296"/>
      <c r="T405" s="296"/>
      <c r="U405" s="297"/>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A</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6"/>
      <c r="N406" s="296"/>
      <c r="O406" s="296"/>
      <c r="P406" s="296"/>
      <c r="Q406" s="296"/>
      <c r="R406" s="296"/>
      <c r="S406" s="296"/>
      <c r="T406" s="296"/>
      <c r="U406" s="297"/>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A</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6"/>
      <c r="N407" s="296"/>
      <c r="O407" s="296"/>
      <c r="P407" s="296"/>
      <c r="Q407" s="296"/>
      <c r="R407" s="296"/>
      <c r="S407" s="296"/>
      <c r="T407" s="296"/>
      <c r="U407" s="297"/>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A</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6"/>
      <c r="N408" s="296"/>
      <c r="O408" s="296"/>
      <c r="P408" s="296"/>
      <c r="Q408" s="296"/>
      <c r="R408" s="296"/>
      <c r="S408" s="296"/>
      <c r="T408" s="296"/>
      <c r="U408" s="297"/>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A</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6"/>
      <c r="N409" s="296"/>
      <c r="O409" s="296"/>
      <c r="P409" s="296"/>
      <c r="Q409" s="296"/>
      <c r="R409" s="296"/>
      <c r="S409" s="296"/>
      <c r="T409" s="296"/>
      <c r="U409" s="297"/>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A</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6"/>
      <c r="N410" s="296"/>
      <c r="O410" s="296"/>
      <c r="P410" s="296"/>
      <c r="Q410" s="296"/>
      <c r="R410" s="296"/>
      <c r="S410" s="296"/>
      <c r="T410" s="296"/>
      <c r="U410" s="297"/>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A</v>
      </c>
      <c r="AM410" s="109">
        <f t="shared" si="158"/>
        <v>0</v>
      </c>
      <c r="AN410" s="109">
        <f t="shared" si="159"/>
        <v>0</v>
      </c>
      <c r="AO410" s="109" t="str">
        <f t="shared" si="160"/>
        <v/>
      </c>
      <c r="AQ410" s="109" t="str">
        <f t="shared" si="161"/>
        <v/>
      </c>
      <c r="BA410" s="228"/>
    </row>
    <row r="411" spans="1:53" ht="16.5" thickBot="1" x14ac:dyDescent="0.3">
      <c r="A411" s="88"/>
      <c r="B411" s="282" t="s">
        <v>323</v>
      </c>
      <c r="C411" s="284"/>
      <c r="D411" s="79"/>
      <c r="E411" s="80"/>
      <c r="F411" s="80"/>
      <c r="G411" s="81"/>
      <c r="H411" s="192"/>
      <c r="I411" s="192"/>
      <c r="J411" s="192"/>
      <c r="K411" s="82"/>
      <c r="L411" s="282" t="s">
        <v>306</v>
      </c>
      <c r="M411" s="283"/>
      <c r="N411" s="283"/>
      <c r="O411" s="283"/>
      <c r="P411" s="283"/>
      <c r="Q411" s="283"/>
      <c r="R411" s="283"/>
      <c r="S411" s="283"/>
      <c r="T411" s="283"/>
      <c r="U411" s="284"/>
      <c r="V411" s="104"/>
      <c r="W411" s="72"/>
      <c r="X411" s="72"/>
      <c r="Y411" s="72"/>
      <c r="Z411" s="72"/>
      <c r="AA411" s="72" t="str">
        <f t="shared" si="168"/>
        <v/>
      </c>
      <c r="AB411" s="72"/>
      <c r="AC411" s="72">
        <f>SUM(AC386:AC410)</f>
        <v>25</v>
      </c>
      <c r="AD411" s="72">
        <f>SUM(AD386:AD410)</f>
        <v>22</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2" t="s">
        <v>307</v>
      </c>
      <c r="C412" s="284"/>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5" t="s">
        <v>222</v>
      </c>
      <c r="C416" s="286"/>
      <c r="D416" s="287" t="s">
        <v>223</v>
      </c>
      <c r="E416" s="288"/>
      <c r="F416" s="88"/>
      <c r="G416" s="289" t="s">
        <v>224</v>
      </c>
      <c r="H416" s="290"/>
      <c r="I416" s="28">
        <f>SUM(E427:E451)</f>
        <v>72</v>
      </c>
      <c r="J416" s="291" t="s">
        <v>225</v>
      </c>
      <c r="K416" s="292"/>
      <c r="L416" s="288"/>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8" t="s">
        <v>226</v>
      </c>
      <c r="AA416" s="299"/>
      <c r="AB416" s="300"/>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RPX</v>
      </c>
      <c r="F417" s="88"/>
      <c r="G417" s="301" t="s">
        <v>230</v>
      </c>
      <c r="H417" s="288"/>
      <c r="I417" s="33">
        <f>E418-I416</f>
        <v>0</v>
      </c>
      <c r="J417" s="302" t="s">
        <v>231</v>
      </c>
      <c r="K417" s="303"/>
      <c r="L417" s="34">
        <f>I421</f>
        <v>601</v>
      </c>
      <c r="M417" s="196">
        <v>4</v>
      </c>
      <c r="N417" s="35">
        <f>SUM(AI417,AI428)</f>
        <v>0</v>
      </c>
      <c r="O417" s="35">
        <v>0</v>
      </c>
      <c r="P417" s="35">
        <f>SUM(AJ417,AJ428)</f>
        <v>5</v>
      </c>
      <c r="Q417" s="35">
        <v>0</v>
      </c>
      <c r="R417" s="35">
        <f>COUNTIFS($E427:$E451,"4",$F427:$F451,"Pole",$C427:$C451,"FST")</f>
        <v>5</v>
      </c>
      <c r="S417" s="35">
        <f>SUM(AL417,AK428)</f>
        <v>0</v>
      </c>
      <c r="T417" s="35">
        <v>0</v>
      </c>
      <c r="U417" s="35">
        <f>SUM(AK417,AL428)</f>
        <v>0</v>
      </c>
      <c r="V417" s="35">
        <v>0</v>
      </c>
      <c r="W417" s="34">
        <f>COUNTIFS($E427:$E451,"4",$F427:$F451,"HH",$C427:$C451,"FST")</f>
        <v>0</v>
      </c>
      <c r="X417" s="35">
        <f>COUNTIFS($E427:$E451,"4",$F427:$F451,"Ped",$C427:$C451,"FST")</f>
        <v>0</v>
      </c>
      <c r="Y417" s="25"/>
      <c r="Z417" s="304" t="s">
        <v>232</v>
      </c>
      <c r="AA417" s="306" t="s">
        <v>233</v>
      </c>
      <c r="AB417" s="307"/>
      <c r="AC417" s="25"/>
      <c r="AD417" s="25"/>
      <c r="AH417" s="109">
        <v>4</v>
      </c>
      <c r="AI417" s="109" t="str">
        <f>IF($E417="SS",COUNTIFS($C427:$C451,"FST",$E427:$E451,"4"),"0")</f>
        <v>0</v>
      </c>
      <c r="AJ417" s="109">
        <f>IF($E417="RPX",COUNTIFS($C427:$C451,"FST",$E427:$E451,"4"),"0")</f>
        <v>5</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72</v>
      </c>
      <c r="F418" s="88"/>
      <c r="G418" s="310" t="s">
        <v>237</v>
      </c>
      <c r="H418" s="311"/>
      <c r="I418" s="35">
        <f>IF(E418=0,0,12-(MOD(I416,12)))</f>
        <v>12</v>
      </c>
      <c r="J418" s="302" t="s">
        <v>238</v>
      </c>
      <c r="K418" s="303"/>
      <c r="L418" s="39">
        <f>I422-I416</f>
        <v>600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5"/>
      <c r="AA418" s="308"/>
      <c r="AB418" s="309"/>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78" t="s">
        <v>242</v>
      </c>
      <c r="H419" s="43" t="s">
        <v>243</v>
      </c>
      <c r="I419" s="35">
        <f>IF(E419&lt;&gt;0,1,0)</f>
        <v>0</v>
      </c>
      <c r="J419" s="310" t="s">
        <v>244</v>
      </c>
      <c r="K419" s="311"/>
      <c r="L419" s="44">
        <f>'Cable Calculator'!BB3</f>
        <v>1834</v>
      </c>
      <c r="M419" s="196">
        <v>8</v>
      </c>
      <c r="N419" s="35">
        <f>SUM(AI419,AI430)</f>
        <v>0</v>
      </c>
      <c r="O419" s="35">
        <v>0</v>
      </c>
      <c r="P419" s="35">
        <f>SUM(AJ419,AJ430)</f>
        <v>2</v>
      </c>
      <c r="Q419" s="35">
        <v>0</v>
      </c>
      <c r="R419" s="35">
        <f>COUNTIFS($E427:$E451,"8",$F427:$F451,"Pole",$C427:$C451,"FST")</f>
        <v>2</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2</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601</v>
      </c>
      <c r="F420" s="88"/>
      <c r="G420" s="279"/>
      <c r="H420" s="47" t="s">
        <v>248</v>
      </c>
      <c r="I420" s="35">
        <f>IF(E419&lt;&gt;0,E419,0)</f>
        <v>0</v>
      </c>
      <c r="J420" s="194"/>
      <c r="K420" s="195"/>
      <c r="L420" s="48"/>
      <c r="M420" s="196">
        <v>12</v>
      </c>
      <c r="N420" s="35" t="str">
        <f>IF($E417="SS",SUM(AI420,AJ431,AM452,AO452,AQ452),"0")</f>
        <v>0</v>
      </c>
      <c r="O420" s="35" t="str">
        <f>IF($E417="SS",SUM(AN452,AP452,AR452),"0")</f>
        <v>0</v>
      </c>
      <c r="P420" s="35">
        <f>IF($E417="RPX",SUM(AJ420,AJ431,AM452,AO452,AQ452),"0")</f>
        <v>3</v>
      </c>
      <c r="Q420" s="35">
        <f>IF($E417="RPX",SUM(AN452,AP452,AR452),"0")</f>
        <v>0</v>
      </c>
      <c r="R420" s="35">
        <f>COUNTIFS($E427:$E451,"12",$F427:$F451,"Pole",$C427:$C451,"FST")</f>
        <v>1</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1</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6</v>
      </c>
      <c r="F421" s="88"/>
      <c r="G421" s="278" t="s">
        <v>251</v>
      </c>
      <c r="H421" s="51" t="s">
        <v>252</v>
      </c>
      <c r="I421" s="112">
        <f>E420</f>
        <v>601</v>
      </c>
      <c r="J421" s="312" t="s">
        <v>253</v>
      </c>
      <c r="K421" s="313"/>
      <c r="L421" s="31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79"/>
      <c r="H422" s="47" t="s">
        <v>257</v>
      </c>
      <c r="I422" s="35">
        <f>IF(E420="","0",IF(AND(E417="EUC",E418=432), I421+(203-E419),IF(E420=0,0,(E420+(E418-E419)-1))))</f>
        <v>672</v>
      </c>
      <c r="J422" s="293" t="str">
        <f>IFERROR(IF(OR(E417="EUC",E417="SS"),"---",IF(OR(P416,S416),"NO 2F Tethers for RPX!",IF(OR(P418,S418),"NO 6F Tethers for RPX!","---"))),"---")</f>
        <v>---</v>
      </c>
      <c r="K422" s="294"/>
      <c r="L422" s="295"/>
      <c r="M422" s="293" t="str">
        <f>IF(E419&gt;60,"Dead Count &gt;60: Consider Downsize","---")</f>
        <v>---</v>
      </c>
      <c r="N422" s="294"/>
      <c r="O422" s="294"/>
      <c r="P422" s="294"/>
      <c r="Q422" s="294"/>
      <c r="R422" s="294"/>
      <c r="S422" s="294"/>
      <c r="T422" s="294"/>
      <c r="U422" s="295"/>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72</v>
      </c>
      <c r="D423" s="31" t="s">
        <v>259</v>
      </c>
      <c r="E423" s="101" t="str">
        <f>IF(AS417="Y","DBL",IF(AS418="Y","TRPL",IF(AS419="Y","QUAD","")))</f>
        <v/>
      </c>
      <c r="F423" s="88"/>
      <c r="G423" s="192"/>
      <c r="H423" s="57"/>
      <c r="I423" s="192"/>
      <c r="J423" s="293"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4"/>
      <c r="L423" s="295"/>
      <c r="M423" s="293" t="str">
        <f>IF(AND(OR(E417="SS",E417="RPX",E417="EUC",E417="RPX-T"),(OR(C427="",C427="Field SPL"))),"Cannot have FlexNap cables without tethers","---")</f>
        <v>---</v>
      </c>
      <c r="N423" s="294"/>
      <c r="O423" s="294"/>
      <c r="P423" s="294"/>
      <c r="Q423" s="294"/>
      <c r="R423" s="294"/>
      <c r="S423" s="294"/>
      <c r="T423" s="294"/>
      <c r="U423" s="295"/>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3" t="str">
        <f>IF(AND(OR(E417="RPX", E417="RPX-T", E417="SS"),E418=216),"NO 216 For RPX, RPX-T, OR SS CABLE","---")</f>
        <v>---</v>
      </c>
      <c r="K424" s="294"/>
      <c r="L424" s="295"/>
      <c r="M424" s="293" t="str" cm="1">
        <f t="array" ref="M424">IF(AND(E417="",OR(C427:C451="FST",C427:C451="REV T",C427:C451="DBL REV",C427:C451="TPL REV", C427:C451="QD REV")),"Non-FlexNap cables cannot have tethers","---")</f>
        <v>---</v>
      </c>
      <c r="N424" s="294"/>
      <c r="O424" s="294"/>
      <c r="P424" s="294"/>
      <c r="Q424" s="294"/>
      <c r="R424" s="294"/>
      <c r="S424" s="294"/>
      <c r="T424" s="294"/>
      <c r="U424" s="295"/>
      <c r="V424" s="25"/>
      <c r="W424" s="58"/>
      <c r="X424" s="58"/>
      <c r="Y424" s="25"/>
      <c r="Z424" s="45">
        <v>6</v>
      </c>
      <c r="AA424" s="65">
        <v>61</v>
      </c>
      <c r="AB424" s="65">
        <v>72</v>
      </c>
      <c r="AC424" s="25"/>
      <c r="AD424" s="25"/>
      <c r="BA424" s="226"/>
    </row>
    <row r="425" spans="1:53" ht="15.75" customHeight="1" thickBot="1" x14ac:dyDescent="0.3">
      <c r="A425" s="88"/>
      <c r="B425" s="278" t="s">
        <v>260</v>
      </c>
      <c r="C425" s="315" t="s">
        <v>261</v>
      </c>
      <c r="D425" s="315" t="s">
        <v>262</v>
      </c>
      <c r="E425" s="317" t="s">
        <v>263</v>
      </c>
      <c r="F425" s="315" t="s">
        <v>264</v>
      </c>
      <c r="G425" s="280" t="s">
        <v>265</v>
      </c>
      <c r="H425" s="280" t="s">
        <v>266</v>
      </c>
      <c r="I425" s="280" t="s">
        <v>267</v>
      </c>
      <c r="J425" s="319" t="s">
        <v>268</v>
      </c>
      <c r="K425" s="315" t="s">
        <v>269</v>
      </c>
      <c r="L425" s="321" t="s">
        <v>270</v>
      </c>
      <c r="M425" s="323" t="s">
        <v>271</v>
      </c>
      <c r="N425" s="323"/>
      <c r="O425" s="323"/>
      <c r="P425" s="323"/>
      <c r="Q425" s="323"/>
      <c r="R425" s="323"/>
      <c r="S425" s="323"/>
      <c r="T425" s="323"/>
      <c r="U425" s="324"/>
      <c r="V425" s="107"/>
      <c r="W425" s="72"/>
      <c r="X425" s="72"/>
      <c r="Y425" s="72"/>
      <c r="Z425" s="45">
        <v>7</v>
      </c>
      <c r="AA425" s="65">
        <v>73</v>
      </c>
      <c r="AB425" s="65">
        <v>84</v>
      </c>
      <c r="AC425" s="25"/>
      <c r="AD425" s="25"/>
      <c r="BA425" s="228"/>
    </row>
    <row r="426" spans="1:53" ht="15.75" thickBot="1" x14ac:dyDescent="0.3">
      <c r="A426" s="88"/>
      <c r="B426" s="279"/>
      <c r="C426" s="316"/>
      <c r="D426" s="316"/>
      <c r="E426" s="318"/>
      <c r="F426" s="316"/>
      <c r="G426" s="281"/>
      <c r="H426" s="281"/>
      <c r="I426" s="281"/>
      <c r="J426" s="320"/>
      <c r="K426" s="316"/>
      <c r="L426" s="322"/>
      <c r="M426" s="325"/>
      <c r="N426" s="325"/>
      <c r="O426" s="325"/>
      <c r="P426" s="325"/>
      <c r="Q426" s="325"/>
      <c r="R426" s="325"/>
      <c r="S426" s="325"/>
      <c r="T426" s="325"/>
      <c r="U426" s="326"/>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773</v>
      </c>
      <c r="E427" s="32">
        <v>8</v>
      </c>
      <c r="F427" s="32" t="s">
        <v>483</v>
      </c>
      <c r="G427" s="68" t="s">
        <v>277</v>
      </c>
      <c r="H427" s="69">
        <f>IF(I427=0,0,I427-(E427-1))</f>
        <v>665</v>
      </c>
      <c r="I427" s="70">
        <f>IF(E427=0,0,I422)</f>
        <v>672</v>
      </c>
      <c r="J427" s="71" t="s">
        <v>278</v>
      </c>
      <c r="K427" s="32"/>
      <c r="L427" s="233"/>
      <c r="M427" s="296"/>
      <c r="N427" s="296"/>
      <c r="O427" s="296"/>
      <c r="P427" s="296"/>
      <c r="Q427" s="296"/>
      <c r="R427" s="296"/>
      <c r="S427" s="296"/>
      <c r="T427" s="296"/>
      <c r="U427" s="297"/>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665-672</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8</v>
      </c>
    </row>
    <row r="428" spans="1:53" ht="15.75" thickBot="1" x14ac:dyDescent="0.3">
      <c r="A428" s="88"/>
      <c r="B428" s="66" t="s">
        <v>279</v>
      </c>
      <c r="C428" s="67" t="s">
        <v>484</v>
      </c>
      <c r="D428" s="102" t="s">
        <v>774</v>
      </c>
      <c r="E428" s="32">
        <v>4</v>
      </c>
      <c r="F428" s="32" t="s">
        <v>483</v>
      </c>
      <c r="G428" s="68" t="s">
        <v>277</v>
      </c>
      <c r="H428" s="69">
        <f t="shared" ref="H428:H451" si="179">IF(E428=0,0,I428-(E428-1))</f>
        <v>661</v>
      </c>
      <c r="I428" s="70">
        <f t="shared" ref="I428:I451" si="180">IF(E428=0,0,H427-1)</f>
        <v>664</v>
      </c>
      <c r="J428" s="73" t="str">
        <f>IF(C428="","--",IF(AND(C428&lt;&gt;"FST",C428&lt;&gt;"TCF",BA427&lt;&gt;0),BA427,"--"))</f>
        <v>--</v>
      </c>
      <c r="K428" s="32"/>
      <c r="L428" s="233"/>
      <c r="M428" s="296"/>
      <c r="N428" s="296"/>
      <c r="O428" s="296"/>
      <c r="P428" s="296"/>
      <c r="Q428" s="296"/>
      <c r="R428" s="296"/>
      <c r="S428" s="296"/>
      <c r="T428" s="296"/>
      <c r="U428" s="297"/>
      <c r="V428" s="103"/>
      <c r="W428" s="72"/>
      <c r="X428" s="72"/>
      <c r="Y428" s="72"/>
      <c r="Z428" s="45">
        <v>10</v>
      </c>
      <c r="AA428" s="46">
        <v>109</v>
      </c>
      <c r="AB428" s="46">
        <v>120</v>
      </c>
      <c r="AC428" s="72">
        <f t="shared" si="170"/>
        <v>1</v>
      </c>
      <c r="AD428" s="72">
        <f t="shared" si="171"/>
        <v>0</v>
      </c>
      <c r="AE428" s="109" t="str">
        <f t="shared" si="172"/>
        <v>661-664</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484</v>
      </c>
      <c r="D429" s="102" t="s">
        <v>775</v>
      </c>
      <c r="E429" s="32">
        <v>4</v>
      </c>
      <c r="F429" s="32" t="s">
        <v>483</v>
      </c>
      <c r="G429" s="75" t="s">
        <v>277</v>
      </c>
      <c r="H429" s="69">
        <f t="shared" si="179"/>
        <v>657</v>
      </c>
      <c r="I429" s="70">
        <f t="shared" si="180"/>
        <v>660</v>
      </c>
      <c r="J429" s="73" t="str">
        <f t="shared" ref="J429:J451" si="181">IF(C429="","--",IF(AND(C429&lt;&gt;"FST",C429&lt;&gt;"TCF",BA428&lt;&gt;0),BA428,"--"))</f>
        <v>--</v>
      </c>
      <c r="K429" s="32"/>
      <c r="L429" s="233"/>
      <c r="M429" s="296"/>
      <c r="N429" s="296"/>
      <c r="O429" s="296"/>
      <c r="P429" s="296"/>
      <c r="Q429" s="296"/>
      <c r="R429" s="296"/>
      <c r="S429" s="296"/>
      <c r="T429" s="296"/>
      <c r="U429" s="297"/>
      <c r="V429" s="103"/>
      <c r="W429" s="72"/>
      <c r="X429" s="72"/>
      <c r="Y429" s="72"/>
      <c r="Z429" s="45">
        <v>11</v>
      </c>
      <c r="AA429" s="46">
        <v>121</v>
      </c>
      <c r="AB429" s="46">
        <v>132</v>
      </c>
      <c r="AC429" s="72">
        <f t="shared" si="170"/>
        <v>1</v>
      </c>
      <c r="AD429" s="72">
        <f t="shared" si="171"/>
        <v>0</v>
      </c>
      <c r="AE429" s="109" t="str">
        <f t="shared" si="172"/>
        <v>657-660</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8</v>
      </c>
    </row>
    <row r="430" spans="1:53" ht="15.75" thickBot="1" x14ac:dyDescent="0.3">
      <c r="A430" s="88"/>
      <c r="B430" s="66" t="s">
        <v>281</v>
      </c>
      <c r="C430" s="67" t="s">
        <v>484</v>
      </c>
      <c r="D430" s="102" t="s">
        <v>776</v>
      </c>
      <c r="E430" s="32">
        <v>4</v>
      </c>
      <c r="F430" s="32" t="s">
        <v>483</v>
      </c>
      <c r="G430" s="68" t="s">
        <v>277</v>
      </c>
      <c r="H430" s="69">
        <f t="shared" si="179"/>
        <v>653</v>
      </c>
      <c r="I430" s="70">
        <f t="shared" si="180"/>
        <v>656</v>
      </c>
      <c r="J430" s="73" t="str">
        <f t="shared" si="181"/>
        <v>--</v>
      </c>
      <c r="K430" s="32"/>
      <c r="L430" s="233"/>
      <c r="M430" s="296"/>
      <c r="N430" s="296"/>
      <c r="O430" s="296"/>
      <c r="P430" s="296"/>
      <c r="Q430" s="296"/>
      <c r="R430" s="296"/>
      <c r="S430" s="296"/>
      <c r="T430" s="296"/>
      <c r="U430" s="297"/>
      <c r="V430" s="103"/>
      <c r="W430" s="72"/>
      <c r="X430" s="72"/>
      <c r="Y430" s="72"/>
      <c r="Z430" s="45">
        <v>12</v>
      </c>
      <c r="AA430" s="76">
        <v>133</v>
      </c>
      <c r="AB430" s="76">
        <v>144</v>
      </c>
      <c r="AC430" s="72">
        <f t="shared" si="170"/>
        <v>1</v>
      </c>
      <c r="AD430" s="72">
        <f t="shared" si="171"/>
        <v>0</v>
      </c>
      <c r="AE430" s="109" t="str">
        <f t="shared" si="172"/>
        <v>653-656</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t="s">
        <v>484</v>
      </c>
      <c r="D431" s="102" t="s">
        <v>777</v>
      </c>
      <c r="E431" s="32">
        <v>4</v>
      </c>
      <c r="F431" s="32" t="s">
        <v>483</v>
      </c>
      <c r="G431" s="68" t="s">
        <v>277</v>
      </c>
      <c r="H431" s="69">
        <f t="shared" si="179"/>
        <v>649</v>
      </c>
      <c r="I431" s="70">
        <f t="shared" si="180"/>
        <v>652</v>
      </c>
      <c r="J431" s="73" t="str">
        <f t="shared" si="181"/>
        <v>--</v>
      </c>
      <c r="K431" s="32"/>
      <c r="L431" s="233"/>
      <c r="M431" s="296"/>
      <c r="N431" s="296"/>
      <c r="O431" s="296"/>
      <c r="P431" s="296"/>
      <c r="Q431" s="296"/>
      <c r="R431" s="296"/>
      <c r="S431" s="296"/>
      <c r="T431" s="296"/>
      <c r="U431" s="297"/>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649-652</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t="s">
        <v>494</v>
      </c>
      <c r="D432" s="102"/>
      <c r="E432" s="32">
        <v>12</v>
      </c>
      <c r="F432" s="32"/>
      <c r="G432" s="68" t="s">
        <v>277</v>
      </c>
      <c r="H432" s="69">
        <f t="shared" si="179"/>
        <v>637</v>
      </c>
      <c r="I432" s="70">
        <f t="shared" si="180"/>
        <v>648</v>
      </c>
      <c r="J432" s="73" t="str">
        <f t="shared" si="181"/>
        <v>--</v>
      </c>
      <c r="K432" s="32"/>
      <c r="L432" s="233"/>
      <c r="M432" s="296" t="s">
        <v>414</v>
      </c>
      <c r="N432" s="296"/>
      <c r="O432" s="296"/>
      <c r="P432" s="296"/>
      <c r="Q432" s="296"/>
      <c r="R432" s="296"/>
      <c r="S432" s="296"/>
      <c r="T432" s="296"/>
      <c r="U432" s="297"/>
      <c r="V432" s="103"/>
      <c r="W432" s="72"/>
      <c r="X432" s="72"/>
      <c r="Y432" s="72"/>
      <c r="Z432" s="45">
        <v>14</v>
      </c>
      <c r="AA432" s="77">
        <f t="shared" si="182"/>
        <v>157</v>
      </c>
      <c r="AB432" s="77">
        <f t="shared" si="183"/>
        <v>168</v>
      </c>
      <c r="AC432" s="72">
        <f t="shared" si="170"/>
        <v>1</v>
      </c>
      <c r="AD432" s="72">
        <f t="shared" si="171"/>
        <v>1</v>
      </c>
      <c r="AE432" s="109" t="str">
        <f t="shared" si="172"/>
        <v>637-648</v>
      </c>
      <c r="AF432" s="109" t="str">
        <f t="shared" si="173"/>
        <v>Y</v>
      </c>
      <c r="AG432" s="109" t="str">
        <f t="shared" si="174"/>
        <v>A</v>
      </c>
      <c r="AM432" s="109">
        <f t="shared" si="175"/>
        <v>1</v>
      </c>
      <c r="AN432" s="109">
        <f t="shared" si="176"/>
        <v>0</v>
      </c>
      <c r="AO432" s="109" t="str">
        <f t="shared" si="177"/>
        <v/>
      </c>
      <c r="AQ432" s="109" t="str">
        <f t="shared" si="178"/>
        <v/>
      </c>
      <c r="BA432" s="229">
        <f>MOD(SUM(E427:E433),12)</f>
        <v>4</v>
      </c>
    </row>
    <row r="433" spans="1:53" ht="15.75" thickBot="1" x14ac:dyDescent="0.3">
      <c r="A433" s="88"/>
      <c r="B433" s="66" t="s">
        <v>284</v>
      </c>
      <c r="C433" s="67" t="s">
        <v>484</v>
      </c>
      <c r="D433" s="102" t="s">
        <v>778</v>
      </c>
      <c r="E433" s="32">
        <v>4</v>
      </c>
      <c r="F433" s="32" t="s">
        <v>483</v>
      </c>
      <c r="G433" s="68" t="s">
        <v>277</v>
      </c>
      <c r="H433" s="69">
        <f t="shared" si="179"/>
        <v>633</v>
      </c>
      <c r="I433" s="70">
        <f t="shared" si="180"/>
        <v>636</v>
      </c>
      <c r="J433" s="73" t="str">
        <f t="shared" si="181"/>
        <v>--</v>
      </c>
      <c r="K433" s="32"/>
      <c r="L433" s="233"/>
      <c r="M433" s="296"/>
      <c r="N433" s="296"/>
      <c r="O433" s="296"/>
      <c r="P433" s="296"/>
      <c r="Q433" s="296"/>
      <c r="R433" s="296"/>
      <c r="S433" s="296"/>
      <c r="T433" s="296"/>
      <c r="U433" s="297"/>
      <c r="V433" s="103"/>
      <c r="W433" s="72"/>
      <c r="X433" s="72"/>
      <c r="Y433" s="72"/>
      <c r="Z433" s="45">
        <v>15</v>
      </c>
      <c r="AA433" s="77">
        <f t="shared" si="182"/>
        <v>169</v>
      </c>
      <c r="AB433" s="77">
        <f t="shared" si="183"/>
        <v>180</v>
      </c>
      <c r="AC433" s="72">
        <f t="shared" si="170"/>
        <v>1</v>
      </c>
      <c r="AD433" s="72">
        <f t="shared" si="171"/>
        <v>0</v>
      </c>
      <c r="AE433" s="109" t="str">
        <f t="shared" si="172"/>
        <v>633-636</v>
      </c>
      <c r="AF433" s="109" t="str">
        <f t="shared" si="173"/>
        <v>Y</v>
      </c>
      <c r="AG433" s="109" t="str">
        <f t="shared" si="174"/>
        <v>A</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t="s">
        <v>484</v>
      </c>
      <c r="D434" s="102" t="s">
        <v>779</v>
      </c>
      <c r="E434" s="32">
        <v>8</v>
      </c>
      <c r="F434" s="32" t="s">
        <v>483</v>
      </c>
      <c r="G434" s="68" t="s">
        <v>277</v>
      </c>
      <c r="H434" s="69">
        <f t="shared" si="179"/>
        <v>625</v>
      </c>
      <c r="I434" s="70">
        <f t="shared" si="180"/>
        <v>632</v>
      </c>
      <c r="J434" s="73" t="str">
        <f t="shared" si="181"/>
        <v>--</v>
      </c>
      <c r="K434" s="32"/>
      <c r="L434" s="233"/>
      <c r="M434" s="296"/>
      <c r="N434" s="296"/>
      <c r="O434" s="296"/>
      <c r="P434" s="296"/>
      <c r="Q434" s="296"/>
      <c r="R434" s="296"/>
      <c r="S434" s="296"/>
      <c r="T434" s="296"/>
      <c r="U434" s="297"/>
      <c r="V434" s="103"/>
      <c r="W434" s="72"/>
      <c r="X434" s="72"/>
      <c r="Y434" s="72"/>
      <c r="Z434" s="45">
        <f>Z433+1</f>
        <v>16</v>
      </c>
      <c r="AA434" s="77">
        <f t="shared" si="182"/>
        <v>181</v>
      </c>
      <c r="AB434" s="77">
        <f t="shared" si="183"/>
        <v>192</v>
      </c>
      <c r="AC434" s="72">
        <f t="shared" si="170"/>
        <v>1</v>
      </c>
      <c r="AD434" s="72">
        <f t="shared" si="171"/>
        <v>0</v>
      </c>
      <c r="AE434" s="109" t="str">
        <f t="shared" si="172"/>
        <v>625-632</v>
      </c>
      <c r="AF434" s="109" t="str">
        <f t="shared" si="173"/>
        <v>Y</v>
      </c>
      <c r="AG434" s="109" t="str">
        <f t="shared" si="174"/>
        <v>A</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t="s">
        <v>494</v>
      </c>
      <c r="D435" s="102"/>
      <c r="E435" s="32">
        <v>12</v>
      </c>
      <c r="F435" s="32"/>
      <c r="G435" s="68" t="s">
        <v>277</v>
      </c>
      <c r="H435" s="69">
        <f t="shared" si="179"/>
        <v>613</v>
      </c>
      <c r="I435" s="70">
        <f t="shared" si="180"/>
        <v>624</v>
      </c>
      <c r="J435" s="73" t="str">
        <f t="shared" si="181"/>
        <v>--</v>
      </c>
      <c r="K435" s="32"/>
      <c r="L435" s="233"/>
      <c r="M435" s="296" t="s">
        <v>411</v>
      </c>
      <c r="N435" s="296"/>
      <c r="O435" s="296"/>
      <c r="P435" s="296"/>
      <c r="Q435" s="296"/>
      <c r="R435" s="296"/>
      <c r="S435" s="296"/>
      <c r="T435" s="296"/>
      <c r="U435" s="297"/>
      <c r="V435" s="103"/>
      <c r="W435" s="72"/>
      <c r="X435" s="72"/>
      <c r="Y435" s="72"/>
      <c r="Z435" s="45">
        <f>Z434+1</f>
        <v>17</v>
      </c>
      <c r="AA435" s="77">
        <f t="shared" si="182"/>
        <v>193</v>
      </c>
      <c r="AB435" s="77">
        <f t="shared" si="183"/>
        <v>204</v>
      </c>
      <c r="AC435" s="72">
        <f t="shared" si="170"/>
        <v>1</v>
      </c>
      <c r="AD435" s="72">
        <f t="shared" si="171"/>
        <v>1</v>
      </c>
      <c r="AE435" s="109" t="str">
        <f t="shared" si="172"/>
        <v>613-624</v>
      </c>
      <c r="AF435" s="109" t="str">
        <f t="shared" si="173"/>
        <v>Y</v>
      </c>
      <c r="AG435" s="109" t="str">
        <f t="shared" si="174"/>
        <v>A</v>
      </c>
      <c r="AM435" s="109">
        <f t="shared" si="175"/>
        <v>1</v>
      </c>
      <c r="AN435" s="109">
        <f t="shared" si="176"/>
        <v>0</v>
      </c>
      <c r="AO435" s="109" t="str">
        <f t="shared" si="177"/>
        <v/>
      </c>
      <c r="AQ435" s="109" t="str">
        <f t="shared" si="178"/>
        <v/>
      </c>
      <c r="BA435" s="229">
        <f>MOD(SUM(E427:E436),12)</f>
        <v>0</v>
      </c>
    </row>
    <row r="436" spans="1:53" ht="15.75" thickBot="1" x14ac:dyDescent="0.3">
      <c r="A436" s="88"/>
      <c r="B436" s="66" t="s">
        <v>287</v>
      </c>
      <c r="C436" s="67" t="s">
        <v>484</v>
      </c>
      <c r="D436" s="102" t="s">
        <v>780</v>
      </c>
      <c r="E436" s="32">
        <v>12</v>
      </c>
      <c r="F436" s="32" t="s">
        <v>483</v>
      </c>
      <c r="G436" s="68" t="s">
        <v>277</v>
      </c>
      <c r="H436" s="69">
        <f t="shared" si="179"/>
        <v>601</v>
      </c>
      <c r="I436" s="70">
        <f t="shared" si="180"/>
        <v>612</v>
      </c>
      <c r="J436" s="73" t="str">
        <f t="shared" si="181"/>
        <v>--</v>
      </c>
      <c r="K436" s="32"/>
      <c r="L436" s="233"/>
      <c r="M436" s="296"/>
      <c r="N436" s="296"/>
      <c r="O436" s="296"/>
      <c r="P436" s="296"/>
      <c r="Q436" s="296"/>
      <c r="R436" s="296"/>
      <c r="S436" s="296"/>
      <c r="T436" s="296"/>
      <c r="U436" s="297"/>
      <c r="V436" s="103"/>
      <c r="W436" s="72"/>
      <c r="X436" s="72"/>
      <c r="Y436" s="72"/>
      <c r="Z436" s="45">
        <f>Z435+1</f>
        <v>18</v>
      </c>
      <c r="AA436" s="77">
        <f t="shared" si="182"/>
        <v>205</v>
      </c>
      <c r="AB436" s="77">
        <f t="shared" si="183"/>
        <v>216</v>
      </c>
      <c r="AC436" s="72">
        <f t="shared" si="170"/>
        <v>1</v>
      </c>
      <c r="AD436" s="72">
        <f t="shared" si="171"/>
        <v>0</v>
      </c>
      <c r="AE436" s="109" t="str">
        <f t="shared" si="172"/>
        <v>601-612</v>
      </c>
      <c r="AF436" s="109" t="str">
        <f t="shared" si="173"/>
        <v>Y</v>
      </c>
      <c r="AG436" s="109" t="str">
        <f t="shared" si="174"/>
        <v>A</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6"/>
      <c r="N437" s="296"/>
      <c r="O437" s="296"/>
      <c r="P437" s="296"/>
      <c r="Q437" s="296"/>
      <c r="R437" s="296"/>
      <c r="S437" s="296"/>
      <c r="T437" s="296"/>
      <c r="U437" s="297"/>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6"/>
      <c r="N438" s="296"/>
      <c r="O438" s="296"/>
      <c r="P438" s="296"/>
      <c r="Q438" s="296"/>
      <c r="R438" s="296"/>
      <c r="S438" s="296"/>
      <c r="T438" s="296"/>
      <c r="U438" s="297"/>
      <c r="V438" s="103"/>
      <c r="W438" s="84">
        <f>Y438+1</f>
        <v>73</v>
      </c>
      <c r="X438" s="84"/>
      <c r="Y438" s="78">
        <f>SUM(E427:E438)</f>
        <v>72</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6"/>
      <c r="N439" s="296"/>
      <c r="O439" s="296"/>
      <c r="P439" s="296"/>
      <c r="Q439" s="296"/>
      <c r="R439" s="296"/>
      <c r="S439" s="296"/>
      <c r="T439" s="296"/>
      <c r="U439" s="297"/>
      <c r="V439" s="103"/>
      <c r="W439" s="84">
        <f>Y439+1</f>
        <v>73</v>
      </c>
      <c r="X439" s="84"/>
      <c r="Y439" s="78">
        <f>SUM(E427:E439)</f>
        <v>72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6"/>
      <c r="N440" s="296"/>
      <c r="O440" s="296"/>
      <c r="P440" s="296"/>
      <c r="Q440" s="296"/>
      <c r="R440" s="296"/>
      <c r="S440" s="296"/>
      <c r="T440" s="296"/>
      <c r="U440" s="297"/>
      <c r="V440" s="103"/>
      <c r="W440" s="84">
        <f>Y440+1</f>
        <v>73</v>
      </c>
      <c r="X440" s="84"/>
      <c r="Y440" s="78">
        <f>SUM(E427:E440)</f>
        <v>72</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t="s">
        <v>770</v>
      </c>
      <c r="E441" s="32"/>
      <c r="F441" s="32"/>
      <c r="G441" s="68" t="s">
        <v>277</v>
      </c>
      <c r="H441" s="69">
        <f t="shared" si="179"/>
        <v>0</v>
      </c>
      <c r="I441" s="70">
        <f t="shared" si="180"/>
        <v>0</v>
      </c>
      <c r="J441" s="73" t="str">
        <f t="shared" si="181"/>
        <v>--</v>
      </c>
      <c r="K441" s="32"/>
      <c r="L441" s="233"/>
      <c r="M441" s="296"/>
      <c r="N441" s="296"/>
      <c r="O441" s="296"/>
      <c r="P441" s="296"/>
      <c r="Q441" s="296"/>
      <c r="R441" s="296"/>
      <c r="S441" s="296"/>
      <c r="T441" s="296"/>
      <c r="U441" s="297"/>
      <c r="V441" s="103"/>
      <c r="W441" s="84">
        <f>Y441+1</f>
        <v>73</v>
      </c>
      <c r="X441" s="84"/>
      <c r="Y441" s="78">
        <f>SUM(E427:E441)</f>
        <v>72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6"/>
      <c r="N442" s="296"/>
      <c r="O442" s="296"/>
      <c r="P442" s="296"/>
      <c r="Q442" s="296"/>
      <c r="R442" s="296"/>
      <c r="S442" s="296"/>
      <c r="T442" s="296"/>
      <c r="U442" s="297"/>
      <c r="V442" s="103"/>
      <c r="W442" s="84">
        <f t="shared" ref="W442:W450" si="186">Y442+1</f>
        <v>73</v>
      </c>
      <c r="X442" s="84"/>
      <c r="Y442" s="78">
        <f>SUM(E427:E442)</f>
        <v>72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6"/>
      <c r="N443" s="296"/>
      <c r="O443" s="296"/>
      <c r="P443" s="296"/>
      <c r="Q443" s="296"/>
      <c r="R443" s="296"/>
      <c r="S443" s="296"/>
      <c r="T443" s="296"/>
      <c r="U443" s="297"/>
      <c r="V443" s="103"/>
      <c r="W443" s="84">
        <f t="shared" si="186"/>
        <v>73</v>
      </c>
      <c r="X443" s="84"/>
      <c r="Y443" s="78">
        <f>SUM(E427:E443)</f>
        <v>72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6"/>
      <c r="N444" s="296"/>
      <c r="O444" s="296"/>
      <c r="P444" s="296"/>
      <c r="Q444" s="296"/>
      <c r="R444" s="296"/>
      <c r="S444" s="296"/>
      <c r="T444" s="296"/>
      <c r="U444" s="297"/>
      <c r="V444" s="103"/>
      <c r="W444" s="84">
        <f t="shared" si="186"/>
        <v>73</v>
      </c>
      <c r="X444" s="84"/>
      <c r="Y444" s="78">
        <f>SUM(E427:E444)</f>
        <v>72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6"/>
      <c r="N445" s="296"/>
      <c r="O445" s="296"/>
      <c r="P445" s="296"/>
      <c r="Q445" s="296"/>
      <c r="R445" s="296"/>
      <c r="S445" s="296"/>
      <c r="T445" s="296"/>
      <c r="U445" s="297"/>
      <c r="V445" s="103"/>
      <c r="W445" s="84">
        <f t="shared" si="186"/>
        <v>73</v>
      </c>
      <c r="X445" s="84"/>
      <c r="Y445" s="78">
        <f>SUM(E427:E445)</f>
        <v>72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6"/>
      <c r="N446" s="296"/>
      <c r="O446" s="296"/>
      <c r="P446" s="296"/>
      <c r="Q446" s="296"/>
      <c r="R446" s="296"/>
      <c r="S446" s="296"/>
      <c r="T446" s="296"/>
      <c r="U446" s="297"/>
      <c r="V446" s="103"/>
      <c r="W446" s="84">
        <f t="shared" si="186"/>
        <v>73</v>
      </c>
      <c r="X446" s="84"/>
      <c r="Y446" s="78">
        <f>SUM(E427:E446)</f>
        <v>72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6"/>
      <c r="N447" s="296"/>
      <c r="O447" s="296"/>
      <c r="P447" s="296"/>
      <c r="Q447" s="296"/>
      <c r="R447" s="296"/>
      <c r="S447" s="296"/>
      <c r="T447" s="296"/>
      <c r="U447" s="297"/>
      <c r="V447" s="103"/>
      <c r="W447" s="84">
        <f t="shared" si="186"/>
        <v>73</v>
      </c>
      <c r="X447" s="84"/>
      <c r="Y447" s="78">
        <f>SUM(E427:E447)</f>
        <v>72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6"/>
      <c r="N448" s="296"/>
      <c r="O448" s="296"/>
      <c r="P448" s="296"/>
      <c r="Q448" s="296"/>
      <c r="R448" s="296"/>
      <c r="S448" s="296"/>
      <c r="T448" s="296"/>
      <c r="U448" s="297"/>
      <c r="V448" s="103"/>
      <c r="W448" s="84">
        <f t="shared" si="186"/>
        <v>73</v>
      </c>
      <c r="X448" s="84"/>
      <c r="Y448" s="78">
        <f>SUM(E427:E448)</f>
        <v>72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6"/>
      <c r="N449" s="296"/>
      <c r="O449" s="296"/>
      <c r="P449" s="296"/>
      <c r="Q449" s="296"/>
      <c r="R449" s="296"/>
      <c r="S449" s="296"/>
      <c r="T449" s="296"/>
      <c r="U449" s="297"/>
      <c r="V449" s="103"/>
      <c r="W449" s="84">
        <f t="shared" si="186"/>
        <v>73</v>
      </c>
      <c r="X449" s="84"/>
      <c r="Y449" s="78">
        <f>SUM(E427:E449)</f>
        <v>72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6"/>
      <c r="N450" s="296"/>
      <c r="O450" s="296"/>
      <c r="P450" s="296"/>
      <c r="Q450" s="296"/>
      <c r="R450" s="296"/>
      <c r="S450" s="296"/>
      <c r="T450" s="296"/>
      <c r="U450" s="297"/>
      <c r="V450" s="103"/>
      <c r="W450" s="84">
        <f t="shared" si="186"/>
        <v>73</v>
      </c>
      <c r="X450" s="84"/>
      <c r="Y450" s="78">
        <f>SUM(E427:E450)</f>
        <v>72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6"/>
      <c r="N451" s="296"/>
      <c r="O451" s="296"/>
      <c r="P451" s="296"/>
      <c r="Q451" s="296"/>
      <c r="R451" s="296"/>
      <c r="S451" s="296"/>
      <c r="T451" s="296"/>
      <c r="U451" s="297"/>
      <c r="V451" s="103"/>
      <c r="W451" s="72"/>
      <c r="X451" s="72"/>
      <c r="Y451" s="78">
        <f>SUM(E427:E451)</f>
        <v>72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8"/>
    </row>
    <row r="452" spans="1:53" ht="16.5" thickBot="1" x14ac:dyDescent="0.3">
      <c r="A452" s="88"/>
      <c r="B452" s="282" t="s">
        <v>325</v>
      </c>
      <c r="C452" s="284"/>
      <c r="D452" s="79"/>
      <c r="E452" s="80"/>
      <c r="F452" s="80"/>
      <c r="G452" s="81"/>
      <c r="H452" s="192"/>
      <c r="I452" s="192"/>
      <c r="J452" s="192"/>
      <c r="K452" s="82"/>
      <c r="L452" s="282" t="s">
        <v>306</v>
      </c>
      <c r="M452" s="283"/>
      <c r="N452" s="283"/>
      <c r="O452" s="283"/>
      <c r="P452" s="283"/>
      <c r="Q452" s="283"/>
      <c r="R452" s="283"/>
      <c r="S452" s="283"/>
      <c r="T452" s="283"/>
      <c r="U452" s="284"/>
      <c r="V452" s="104"/>
      <c r="W452" s="72"/>
      <c r="X452" s="72"/>
      <c r="Y452" s="72"/>
      <c r="Z452" s="72"/>
      <c r="AA452" s="72" t="str">
        <f t="shared" si="185"/>
        <v/>
      </c>
      <c r="AB452" s="72"/>
      <c r="AC452" s="72">
        <f>SUM(AC427:AC451)</f>
        <v>25</v>
      </c>
      <c r="AD452" s="72">
        <f>SUM(AD427:AD451)</f>
        <v>17</v>
      </c>
      <c r="AM452" s="109">
        <f>SUM(AM427:AM451)</f>
        <v>2</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2" t="s">
        <v>307</v>
      </c>
      <c r="C453" s="284"/>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5" t="s">
        <v>222</v>
      </c>
      <c r="C457" s="286"/>
      <c r="D457" s="287" t="s">
        <v>223</v>
      </c>
      <c r="E457" s="288"/>
      <c r="F457" s="88"/>
      <c r="G457" s="289" t="s">
        <v>224</v>
      </c>
      <c r="H457" s="290"/>
      <c r="I457" s="28">
        <f>SUM(E468:E492)</f>
        <v>12</v>
      </c>
      <c r="J457" s="291" t="s">
        <v>225</v>
      </c>
      <c r="K457" s="292"/>
      <c r="L457" s="288"/>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8" t="s">
        <v>226</v>
      </c>
      <c r="AA457" s="299"/>
      <c r="AB457" s="300"/>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1</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RPX</v>
      </c>
      <c r="F458" s="88"/>
      <c r="G458" s="301" t="s">
        <v>230</v>
      </c>
      <c r="H458" s="288"/>
      <c r="I458" s="33">
        <f>E459-I457</f>
        <v>12</v>
      </c>
      <c r="J458" s="302" t="s">
        <v>231</v>
      </c>
      <c r="K458" s="303"/>
      <c r="L458" s="34">
        <f>I462</f>
        <v>637</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4" t="s">
        <v>232</v>
      </c>
      <c r="AA458" s="306" t="s">
        <v>233</v>
      </c>
      <c r="AB458" s="307"/>
      <c r="AC458" s="25"/>
      <c r="AD458" s="25"/>
      <c r="AH458" s="109">
        <v>4</v>
      </c>
      <c r="AI458" s="109" t="str">
        <f>IF($E458="SS",COUNTIFS($C468:$C492,"FST",$E468:$E492,"4"),"0")</f>
        <v>0</v>
      </c>
      <c r="AJ458" s="109">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310" t="s">
        <v>237</v>
      </c>
      <c r="H459" s="311"/>
      <c r="I459" s="35">
        <f>IF(E459=0,0,12-(MOD(I457,12)))</f>
        <v>12</v>
      </c>
      <c r="J459" s="302" t="s">
        <v>238</v>
      </c>
      <c r="K459" s="303"/>
      <c r="L459" s="39">
        <f>I463-I457</f>
        <v>636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5"/>
      <c r="AA459" s="308"/>
      <c r="AB459" s="309"/>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278" t="s">
        <v>242</v>
      </c>
      <c r="H460" s="43" t="s">
        <v>243</v>
      </c>
      <c r="I460" s="35">
        <f>IF(E460&lt;&gt;0,1,0)</f>
        <v>1</v>
      </c>
      <c r="J460" s="310" t="s">
        <v>244</v>
      </c>
      <c r="K460" s="311"/>
      <c r="L460" s="44">
        <f>'Cable Calculator'!BG3</f>
        <v>255</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637</v>
      </c>
      <c r="F461" s="88"/>
      <c r="G461" s="279"/>
      <c r="H461" s="47" t="s">
        <v>248</v>
      </c>
      <c r="I461" s="35">
        <f>IF(E460&lt;&gt;0,E460,0)</f>
        <v>12</v>
      </c>
      <c r="J461" s="194"/>
      <c r="K461" s="195"/>
      <c r="L461" s="48"/>
      <c r="M461" s="196">
        <v>12</v>
      </c>
      <c r="N461" s="35" t="str">
        <f>IF($E458="SS",SUM(AI461,AJ472,AM493,AO493,AQ493),"0")</f>
        <v>0</v>
      </c>
      <c r="O461" s="35" t="str">
        <f>IF($E458="SS",SUM(AN493,AP493,AR493),"0")</f>
        <v>0</v>
      </c>
      <c r="P461" s="35">
        <f>IF($E458="RPX",SUM(AJ461,AJ472,AM493,AO493,AQ493),"0")</f>
        <v>1</v>
      </c>
      <c r="Q461" s="35">
        <f>IF($E458="RPX",SUM(AN493,AP493,AR493),"0")</f>
        <v>0</v>
      </c>
      <c r="R461" s="35">
        <f>COUNTIFS($E468:$E492,"12",$F468:$F492,"Pole",$C468:$C492,"FST")</f>
        <v>1</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1</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78" t="s">
        <v>251</v>
      </c>
      <c r="H462" s="51" t="s">
        <v>252</v>
      </c>
      <c r="I462" s="112">
        <f>E461</f>
        <v>637</v>
      </c>
      <c r="J462" s="312" t="s">
        <v>253</v>
      </c>
      <c r="K462" s="313"/>
      <c r="L462" s="31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79"/>
      <c r="H463" s="47" t="s">
        <v>257</v>
      </c>
      <c r="I463" s="35">
        <f>IF(E461="","0",IF(AND(E458="EUC",E459=432), I462+(203-E460),IF(E461=0,0,(E461+(E459-E460)-1))))</f>
        <v>648</v>
      </c>
      <c r="J463" s="293" t="str">
        <f>IFERROR(IF(OR(E458="EUC",E458="SS"),"---",IF(OR(P457,S457),"NO 2F Tethers for RPX!",IF(OR(P459,S459),"NO 6F Tethers for RPX!","---"))),"---")</f>
        <v>---</v>
      </c>
      <c r="K463" s="294"/>
      <c r="L463" s="295"/>
      <c r="M463" s="293" t="str">
        <f>IF(E460&gt;60,"Dead Count &gt;60: Consider Downsize","---")</f>
        <v>---</v>
      </c>
      <c r="N463" s="294"/>
      <c r="O463" s="294"/>
      <c r="P463" s="294"/>
      <c r="Q463" s="294"/>
      <c r="R463" s="294"/>
      <c r="S463" s="294"/>
      <c r="T463" s="294"/>
      <c r="U463" s="295"/>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12</v>
      </c>
      <c r="D464" s="31" t="s">
        <v>259</v>
      </c>
      <c r="E464" s="101" t="str">
        <f>IF(AS458="Y","DBL",IF(AS459="Y","TRPL",IF(AS460="Y","QUAD","")))</f>
        <v/>
      </c>
      <c r="F464" s="88"/>
      <c r="G464" s="192"/>
      <c r="H464" s="57"/>
      <c r="I464" s="192"/>
      <c r="J464" s="293"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4"/>
      <c r="L464" s="295"/>
      <c r="M464" s="293" t="str">
        <f>IF(AND(OR(E458="SS",E458="RPX",E458="EUC",E458="RPX-T"),(OR(C468="",C468="Field SPL"))),"Cannot have FlexNap cables without tethers","---")</f>
        <v>---</v>
      </c>
      <c r="N464" s="294"/>
      <c r="O464" s="294"/>
      <c r="P464" s="294"/>
      <c r="Q464" s="294"/>
      <c r="R464" s="294"/>
      <c r="S464" s="294"/>
      <c r="T464" s="294"/>
      <c r="U464" s="295"/>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3" t="str">
        <f>IF(AND(OR(E458="RPX", E458="RPX-T", E458="SS"),E459=216),"NO 216 For RPX, RPX-T, OR SS CABLE","---")</f>
        <v>---</v>
      </c>
      <c r="K465" s="294"/>
      <c r="L465" s="295"/>
      <c r="M465" s="293" t="str" cm="1">
        <f t="array" ref="M465">IF(AND(E458="",OR(C468:C492="FST",C468:C492="REV T",C468:C492="DBL REV",C468:C492="TPL REV", C468:C492="QD REV")),"Non-FlexNap cables cannot have tethers","---")</f>
        <v>---</v>
      </c>
      <c r="N465" s="294"/>
      <c r="O465" s="294"/>
      <c r="P465" s="294"/>
      <c r="Q465" s="294"/>
      <c r="R465" s="294"/>
      <c r="S465" s="294"/>
      <c r="T465" s="294"/>
      <c r="U465" s="295"/>
      <c r="V465" s="25"/>
      <c r="W465" s="58"/>
      <c r="X465" s="58"/>
      <c r="Y465" s="25"/>
      <c r="Z465" s="45">
        <v>6</v>
      </c>
      <c r="AA465" s="65">
        <v>61</v>
      </c>
      <c r="AB465" s="65">
        <v>72</v>
      </c>
      <c r="AC465" s="25"/>
      <c r="AD465" s="25"/>
      <c r="BA465" s="226"/>
    </row>
    <row r="466" spans="1:53" ht="15.75" customHeight="1" thickBot="1" x14ac:dyDescent="0.3">
      <c r="A466" s="88"/>
      <c r="B466" s="278" t="s">
        <v>260</v>
      </c>
      <c r="C466" s="315" t="s">
        <v>261</v>
      </c>
      <c r="D466" s="315" t="s">
        <v>262</v>
      </c>
      <c r="E466" s="317" t="s">
        <v>263</v>
      </c>
      <c r="F466" s="315" t="s">
        <v>264</v>
      </c>
      <c r="G466" s="280" t="s">
        <v>265</v>
      </c>
      <c r="H466" s="280" t="s">
        <v>266</v>
      </c>
      <c r="I466" s="280" t="s">
        <v>267</v>
      </c>
      <c r="J466" s="319" t="s">
        <v>268</v>
      </c>
      <c r="K466" s="315" t="s">
        <v>269</v>
      </c>
      <c r="L466" s="321" t="s">
        <v>270</v>
      </c>
      <c r="M466" s="323" t="s">
        <v>271</v>
      </c>
      <c r="N466" s="323"/>
      <c r="O466" s="323"/>
      <c r="P466" s="323"/>
      <c r="Q466" s="323"/>
      <c r="R466" s="323"/>
      <c r="S466" s="323"/>
      <c r="T466" s="323"/>
      <c r="U466" s="324"/>
      <c r="V466" s="107"/>
      <c r="W466" s="72"/>
      <c r="X466" s="72"/>
      <c r="Y466" s="72"/>
      <c r="Z466" s="45">
        <v>7</v>
      </c>
      <c r="AA466" s="65">
        <v>73</v>
      </c>
      <c r="AB466" s="65">
        <v>84</v>
      </c>
      <c r="AC466" s="25"/>
      <c r="AD466" s="25"/>
      <c r="BA466" s="228"/>
    </row>
    <row r="467" spans="1:53" ht="15.75" thickBot="1" x14ac:dyDescent="0.3">
      <c r="A467" s="88"/>
      <c r="B467" s="279"/>
      <c r="C467" s="316"/>
      <c r="D467" s="316"/>
      <c r="E467" s="318"/>
      <c r="F467" s="316"/>
      <c r="G467" s="281"/>
      <c r="H467" s="281"/>
      <c r="I467" s="281"/>
      <c r="J467" s="320"/>
      <c r="K467" s="316"/>
      <c r="L467" s="322"/>
      <c r="M467" s="325"/>
      <c r="N467" s="325"/>
      <c r="O467" s="325"/>
      <c r="P467" s="325"/>
      <c r="Q467" s="325"/>
      <c r="R467" s="325"/>
      <c r="S467" s="325"/>
      <c r="T467" s="325"/>
      <c r="U467" s="326"/>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814</v>
      </c>
      <c r="E468" s="32">
        <v>12</v>
      </c>
      <c r="F468" s="32" t="s">
        <v>483</v>
      </c>
      <c r="G468" s="68" t="s">
        <v>277</v>
      </c>
      <c r="H468" s="69">
        <f>IF(I468=0,0,I468-(E468-1))</f>
        <v>637</v>
      </c>
      <c r="I468" s="70">
        <f>IF(E468=0,0,I463)</f>
        <v>648</v>
      </c>
      <c r="J468" s="71" t="s">
        <v>278</v>
      </c>
      <c r="K468" s="32"/>
      <c r="L468" s="233"/>
      <c r="M468" s="296"/>
      <c r="N468" s="296"/>
      <c r="O468" s="296"/>
      <c r="P468" s="296"/>
      <c r="Q468" s="296"/>
      <c r="R468" s="296"/>
      <c r="S468" s="296"/>
      <c r="T468" s="296"/>
      <c r="U468" s="297"/>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637-648</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96"/>
      <c r="N469" s="296"/>
      <c r="O469" s="296"/>
      <c r="P469" s="296"/>
      <c r="Q469" s="296"/>
      <c r="R469" s="296"/>
      <c r="S469" s="296"/>
      <c r="T469" s="296"/>
      <c r="U469" s="297"/>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6"/>
      <c r="N470" s="296"/>
      <c r="O470" s="296"/>
      <c r="P470" s="296"/>
      <c r="Q470" s="296"/>
      <c r="R470" s="296"/>
      <c r="S470" s="296"/>
      <c r="T470" s="296"/>
      <c r="U470" s="297"/>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6"/>
      <c r="N471" s="296"/>
      <c r="O471" s="296"/>
      <c r="P471" s="296"/>
      <c r="Q471" s="296"/>
      <c r="R471" s="296"/>
      <c r="S471" s="296"/>
      <c r="T471" s="296"/>
      <c r="U471" s="297"/>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6"/>
      <c r="N472" s="296"/>
      <c r="O472" s="296"/>
      <c r="P472" s="296"/>
      <c r="Q472" s="296"/>
      <c r="R472" s="296"/>
      <c r="S472" s="296"/>
      <c r="T472" s="296"/>
      <c r="U472" s="297"/>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6"/>
      <c r="N473" s="296"/>
      <c r="O473" s="296"/>
      <c r="P473" s="296"/>
      <c r="Q473" s="296"/>
      <c r="R473" s="296"/>
      <c r="S473" s="296"/>
      <c r="T473" s="296"/>
      <c r="U473" s="297"/>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6"/>
      <c r="N474" s="296"/>
      <c r="O474" s="296"/>
      <c r="P474" s="296"/>
      <c r="Q474" s="296"/>
      <c r="R474" s="296"/>
      <c r="S474" s="296"/>
      <c r="T474" s="296"/>
      <c r="U474" s="297"/>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6"/>
      <c r="N475" s="296"/>
      <c r="O475" s="296"/>
      <c r="P475" s="296"/>
      <c r="Q475" s="296"/>
      <c r="R475" s="296"/>
      <c r="S475" s="296"/>
      <c r="T475" s="296"/>
      <c r="U475" s="297"/>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6"/>
      <c r="N476" s="296"/>
      <c r="O476" s="296"/>
      <c r="P476" s="296"/>
      <c r="Q476" s="296"/>
      <c r="R476" s="296"/>
      <c r="S476" s="296"/>
      <c r="T476" s="296"/>
      <c r="U476" s="297"/>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6"/>
      <c r="N477" s="296"/>
      <c r="O477" s="296"/>
      <c r="P477" s="296"/>
      <c r="Q477" s="296"/>
      <c r="R477" s="296"/>
      <c r="S477" s="296"/>
      <c r="T477" s="296"/>
      <c r="U477" s="297"/>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6"/>
      <c r="N478" s="296"/>
      <c r="O478" s="296"/>
      <c r="P478" s="296"/>
      <c r="Q478" s="296"/>
      <c r="R478" s="296"/>
      <c r="S478" s="296"/>
      <c r="T478" s="296"/>
      <c r="U478" s="297"/>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6"/>
      <c r="N479" s="296"/>
      <c r="O479" s="296"/>
      <c r="P479" s="296"/>
      <c r="Q479" s="296"/>
      <c r="R479" s="296"/>
      <c r="S479" s="296"/>
      <c r="T479" s="296"/>
      <c r="U479" s="297"/>
      <c r="V479" s="103"/>
      <c r="W479" s="84">
        <f>Y479+1</f>
        <v>13</v>
      </c>
      <c r="X479" s="84"/>
      <c r="Y479" s="78">
        <f>SUM(E468:E479)</f>
        <v>12</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6"/>
      <c r="N480" s="296"/>
      <c r="O480" s="296"/>
      <c r="P480" s="296"/>
      <c r="Q480" s="296"/>
      <c r="R480" s="296"/>
      <c r="S480" s="296"/>
      <c r="T480" s="296"/>
      <c r="U480" s="297"/>
      <c r="V480" s="103"/>
      <c r="W480" s="84">
        <f>Y480+1</f>
        <v>13</v>
      </c>
      <c r="X480" s="84"/>
      <c r="Y480" s="78">
        <f>SUM(E468:E480)</f>
        <v>12</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6"/>
      <c r="N481" s="296"/>
      <c r="O481" s="296"/>
      <c r="P481" s="296"/>
      <c r="Q481" s="296"/>
      <c r="R481" s="296"/>
      <c r="S481" s="296"/>
      <c r="T481" s="296"/>
      <c r="U481" s="297"/>
      <c r="V481" s="103"/>
      <c r="W481" s="84">
        <f>Y481+1</f>
        <v>13</v>
      </c>
      <c r="X481" s="84"/>
      <c r="Y481" s="78">
        <f>SUM(E468:E481)</f>
        <v>12</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6"/>
      <c r="N482" s="296"/>
      <c r="O482" s="296"/>
      <c r="P482" s="296"/>
      <c r="Q482" s="296"/>
      <c r="R482" s="296"/>
      <c r="S482" s="296"/>
      <c r="T482" s="296"/>
      <c r="U482" s="297"/>
      <c r="V482" s="103"/>
      <c r="W482" s="84">
        <f>Y482+1</f>
        <v>13</v>
      </c>
      <c r="X482" s="84"/>
      <c r="Y482" s="78">
        <f>SUM(E468:E482)</f>
        <v>12</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6"/>
      <c r="N483" s="296"/>
      <c r="O483" s="296"/>
      <c r="P483" s="296"/>
      <c r="Q483" s="296"/>
      <c r="R483" s="296"/>
      <c r="S483" s="296"/>
      <c r="T483" s="296"/>
      <c r="U483" s="297"/>
      <c r="V483" s="103"/>
      <c r="W483" s="84">
        <f t="shared" ref="W483:W491" si="203">Y483+1</f>
        <v>13</v>
      </c>
      <c r="X483" s="84"/>
      <c r="Y483" s="78">
        <f>SUM(E468:E483)</f>
        <v>12</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6"/>
      <c r="N484" s="296"/>
      <c r="O484" s="296"/>
      <c r="P484" s="296"/>
      <c r="Q484" s="296"/>
      <c r="R484" s="296"/>
      <c r="S484" s="296"/>
      <c r="T484" s="296"/>
      <c r="U484" s="297"/>
      <c r="V484" s="103"/>
      <c r="W484" s="84">
        <f t="shared" si="203"/>
        <v>13</v>
      </c>
      <c r="X484" s="84"/>
      <c r="Y484" s="78">
        <f>SUM(E468:E484)</f>
        <v>12</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6"/>
      <c r="N485" s="296"/>
      <c r="O485" s="296"/>
      <c r="P485" s="296"/>
      <c r="Q485" s="296"/>
      <c r="R485" s="296"/>
      <c r="S485" s="296"/>
      <c r="T485" s="296"/>
      <c r="U485" s="297"/>
      <c r="V485" s="103"/>
      <c r="W485" s="84">
        <f t="shared" si="203"/>
        <v>13</v>
      </c>
      <c r="X485" s="84"/>
      <c r="Y485" s="78">
        <f>SUM(E468:E485)</f>
        <v>12</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6"/>
      <c r="N486" s="296"/>
      <c r="O486" s="296"/>
      <c r="P486" s="296"/>
      <c r="Q486" s="296"/>
      <c r="R486" s="296"/>
      <c r="S486" s="296"/>
      <c r="T486" s="296"/>
      <c r="U486" s="297"/>
      <c r="V486" s="103"/>
      <c r="W486" s="84">
        <f t="shared" si="203"/>
        <v>13</v>
      </c>
      <c r="X486" s="84"/>
      <c r="Y486" s="78">
        <f>SUM(E468:E486)</f>
        <v>12</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6"/>
      <c r="N487" s="296"/>
      <c r="O487" s="296"/>
      <c r="P487" s="296"/>
      <c r="Q487" s="296"/>
      <c r="R487" s="296"/>
      <c r="S487" s="296"/>
      <c r="T487" s="296"/>
      <c r="U487" s="297"/>
      <c r="V487" s="103"/>
      <c r="W487" s="84">
        <f t="shared" si="203"/>
        <v>13</v>
      </c>
      <c r="X487" s="84"/>
      <c r="Y487" s="78">
        <f>SUM(E468:E487)</f>
        <v>12</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6"/>
      <c r="N488" s="296"/>
      <c r="O488" s="296"/>
      <c r="P488" s="296"/>
      <c r="Q488" s="296"/>
      <c r="R488" s="296"/>
      <c r="S488" s="296"/>
      <c r="T488" s="296"/>
      <c r="U488" s="297"/>
      <c r="V488" s="103"/>
      <c r="W488" s="84">
        <f t="shared" si="203"/>
        <v>13</v>
      </c>
      <c r="X488" s="84"/>
      <c r="Y488" s="78">
        <f>SUM(E468:E488)</f>
        <v>12</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6"/>
      <c r="N489" s="296"/>
      <c r="O489" s="296"/>
      <c r="P489" s="296"/>
      <c r="Q489" s="296"/>
      <c r="R489" s="296"/>
      <c r="S489" s="296"/>
      <c r="T489" s="296"/>
      <c r="U489" s="297"/>
      <c r="V489" s="103"/>
      <c r="W489" s="84">
        <f t="shared" si="203"/>
        <v>13</v>
      </c>
      <c r="X489" s="84"/>
      <c r="Y489" s="78">
        <f>SUM(E468:E489)</f>
        <v>12</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6"/>
      <c r="N490" s="296"/>
      <c r="O490" s="296"/>
      <c r="P490" s="296"/>
      <c r="Q490" s="296"/>
      <c r="R490" s="296"/>
      <c r="S490" s="296"/>
      <c r="T490" s="296"/>
      <c r="U490" s="297"/>
      <c r="V490" s="103"/>
      <c r="W490" s="84">
        <f t="shared" si="203"/>
        <v>13</v>
      </c>
      <c r="X490" s="84"/>
      <c r="Y490" s="78">
        <f>SUM(E468:E490)</f>
        <v>12</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6"/>
      <c r="N491" s="296"/>
      <c r="O491" s="296"/>
      <c r="P491" s="296"/>
      <c r="Q491" s="296"/>
      <c r="R491" s="296"/>
      <c r="S491" s="296"/>
      <c r="T491" s="296"/>
      <c r="U491" s="297"/>
      <c r="V491" s="103"/>
      <c r="W491" s="84">
        <f t="shared" si="203"/>
        <v>13</v>
      </c>
      <c r="X491" s="84"/>
      <c r="Y491" s="78">
        <f>SUM(E468:E491)</f>
        <v>12</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6"/>
      <c r="N492" s="296"/>
      <c r="O492" s="296"/>
      <c r="P492" s="296"/>
      <c r="Q492" s="296"/>
      <c r="R492" s="296"/>
      <c r="S492" s="296"/>
      <c r="T492" s="296"/>
      <c r="U492" s="297"/>
      <c r="V492" s="103"/>
      <c r="W492" s="72"/>
      <c r="X492" s="72"/>
      <c r="Y492" s="78">
        <f>SUM(E468:E492)</f>
        <v>12</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282" t="s">
        <v>327</v>
      </c>
      <c r="C493" s="284"/>
      <c r="D493" s="79"/>
      <c r="E493" s="80"/>
      <c r="F493" s="80"/>
      <c r="G493" s="81"/>
      <c r="H493" s="192"/>
      <c r="I493" s="192"/>
      <c r="J493" s="192"/>
      <c r="K493" s="82"/>
      <c r="L493" s="282" t="s">
        <v>306</v>
      </c>
      <c r="M493" s="283"/>
      <c r="N493" s="283"/>
      <c r="O493" s="283"/>
      <c r="P493" s="283"/>
      <c r="Q493" s="283"/>
      <c r="R493" s="283"/>
      <c r="S493" s="283"/>
      <c r="T493" s="283"/>
      <c r="U493" s="284"/>
      <c r="V493" s="104"/>
      <c r="W493" s="72"/>
      <c r="X493" s="72"/>
      <c r="Y493" s="72"/>
      <c r="Z493" s="72"/>
      <c r="AA493" s="72" t="str">
        <f t="shared" si="202"/>
        <v/>
      </c>
      <c r="AB493" s="72"/>
      <c r="AC493" s="72">
        <f>SUM(AC468:AC492)</f>
        <v>25</v>
      </c>
      <c r="AD493" s="72">
        <f>SUM(AD468:AD492)</f>
        <v>24</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2" t="s">
        <v>307</v>
      </c>
      <c r="C494" s="284"/>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5" t="s">
        <v>222</v>
      </c>
      <c r="C498" s="286"/>
      <c r="D498" s="287" t="s">
        <v>223</v>
      </c>
      <c r="E498" s="288"/>
      <c r="F498" s="88"/>
      <c r="G498" s="289" t="s">
        <v>224</v>
      </c>
      <c r="H498" s="290"/>
      <c r="I498" s="28">
        <f>SUM(E509:E533)</f>
        <v>192</v>
      </c>
      <c r="J498" s="291" t="s">
        <v>225</v>
      </c>
      <c r="K498" s="292"/>
      <c r="L498" s="288"/>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8" t="s">
        <v>226</v>
      </c>
      <c r="AA498" s="299"/>
      <c r="AB498" s="300"/>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1" t="s">
        <v>230</v>
      </c>
      <c r="H499" s="288"/>
      <c r="I499" s="33">
        <f>E500-I498</f>
        <v>24</v>
      </c>
      <c r="J499" s="302" t="s">
        <v>231</v>
      </c>
      <c r="K499" s="303"/>
      <c r="L499" s="34">
        <f>I503</f>
        <v>673</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4" t="s">
        <v>232</v>
      </c>
      <c r="AA499" s="306" t="s">
        <v>233</v>
      </c>
      <c r="AB499" s="307"/>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216</v>
      </c>
      <c r="F500" s="88"/>
      <c r="G500" s="310" t="s">
        <v>237</v>
      </c>
      <c r="H500" s="311"/>
      <c r="I500" s="35">
        <f>IF(E500=0,0,12-(MOD(I498,12)))</f>
        <v>12</v>
      </c>
      <c r="J500" s="302" t="s">
        <v>238</v>
      </c>
      <c r="K500" s="303"/>
      <c r="L500" s="39">
        <f>I504-I498</f>
        <v>672</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5"/>
      <c r="AA500" s="308"/>
      <c r="AB500" s="309"/>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24</v>
      </c>
      <c r="F501" s="88"/>
      <c r="G501" s="278" t="s">
        <v>242</v>
      </c>
      <c r="H501" s="43" t="s">
        <v>243</v>
      </c>
      <c r="I501" s="35">
        <f>IF(E501&lt;&gt;0,1,0)</f>
        <v>1</v>
      </c>
      <c r="J501" s="310" t="s">
        <v>244</v>
      </c>
      <c r="K501" s="311"/>
      <c r="L501" s="44">
        <f>'Cable Calculator'!BL3</f>
        <v>410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673</v>
      </c>
      <c r="F502" s="88"/>
      <c r="G502" s="279"/>
      <c r="H502" s="47" t="s">
        <v>248</v>
      </c>
      <c r="I502" s="35">
        <f>IF(E501&lt;&gt;0,E501,0)</f>
        <v>24</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18</v>
      </c>
      <c r="F503" s="88"/>
      <c r="G503" s="278" t="s">
        <v>251</v>
      </c>
      <c r="H503" s="51" t="s">
        <v>252</v>
      </c>
      <c r="I503" s="112">
        <f>E502</f>
        <v>673</v>
      </c>
      <c r="J503" s="312" t="s">
        <v>253</v>
      </c>
      <c r="K503" s="313"/>
      <c r="L503" s="31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79"/>
      <c r="H504" s="47" t="s">
        <v>257</v>
      </c>
      <c r="I504" s="35">
        <f>IF(E502="","0",IF(AND(E499="EUC",E500=432), I503+(203-E501),IF(E502=0,0,(E502+(E500-E501)-1))))</f>
        <v>864</v>
      </c>
      <c r="J504" s="293" t="str">
        <f>IFERROR(IF(OR(E499="EUC",E499="SS"),"---",IF(OR(P498,S498),"NO 2F Tethers for RPX!",IF(OR(P500,S500),"NO 6F Tethers for RPX!","---"))),"---")</f>
        <v>---</v>
      </c>
      <c r="K504" s="294"/>
      <c r="L504" s="295"/>
      <c r="M504" s="293" t="str">
        <f>IF(E501&gt;60,"Dead Count &gt;60: Consider Downsize","---")</f>
        <v>---</v>
      </c>
      <c r="N504" s="294"/>
      <c r="O504" s="294"/>
      <c r="P504" s="294"/>
      <c r="Q504" s="294"/>
      <c r="R504" s="294"/>
      <c r="S504" s="294"/>
      <c r="T504" s="294"/>
      <c r="U504" s="295"/>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192</v>
      </c>
      <c r="D505" s="31" t="s">
        <v>259</v>
      </c>
      <c r="E505" s="101" t="str">
        <f>IF(AS499="Y","DBL",IF(AS500="Y","TRPL",IF(AS501="Y","QUAD","")))</f>
        <v/>
      </c>
      <c r="F505" s="88"/>
      <c r="G505" s="192"/>
      <c r="H505" s="57"/>
      <c r="I505" s="192"/>
      <c r="J505" s="293"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4"/>
      <c r="L505" s="295"/>
      <c r="M505" s="293" t="str">
        <f>IF(AND(OR(E499="SS",E499="RPX",E499="EUC",E499="RPX-T"),(OR(C509="",C509="Field SPL"))),"Cannot have FlexNap cables without tethers","---")</f>
        <v>---</v>
      </c>
      <c r="N505" s="294"/>
      <c r="O505" s="294"/>
      <c r="P505" s="294"/>
      <c r="Q505" s="294"/>
      <c r="R505" s="294"/>
      <c r="S505" s="294"/>
      <c r="T505" s="294"/>
      <c r="U505" s="295"/>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3" t="str">
        <f>IF(AND(OR(E499="RPX", E499="RPX-T", E499="SS"),E500=216),"NO 216 For RPX, RPX-T, OR SS CABLE","---")</f>
        <v>---</v>
      </c>
      <c r="K506" s="294"/>
      <c r="L506" s="295"/>
      <c r="M506" s="293" t="str" cm="1">
        <f t="array" ref="M506">IF(AND(E499="",OR(C509:C533="FST",C509:C533="REV T",C509:C533="DBL REV",C509:C533="TPL REV", C509:C533="QD REV")),"Non-FlexNap cables cannot have tethers","---")</f>
        <v>---</v>
      </c>
      <c r="N506" s="294"/>
      <c r="O506" s="294"/>
      <c r="P506" s="294"/>
      <c r="Q506" s="294"/>
      <c r="R506" s="294"/>
      <c r="S506" s="294"/>
      <c r="T506" s="294"/>
      <c r="U506" s="295"/>
      <c r="V506" s="25"/>
      <c r="W506" s="58"/>
      <c r="X506" s="58"/>
      <c r="Y506" s="25"/>
      <c r="Z506" s="45">
        <v>6</v>
      </c>
      <c r="AA506" s="65">
        <v>61</v>
      </c>
      <c r="AB506" s="65">
        <v>72</v>
      </c>
      <c r="AC506" s="25"/>
      <c r="AD506" s="25"/>
      <c r="BA506" s="226"/>
    </row>
    <row r="507" spans="1:53" ht="15.75" customHeight="1" thickBot="1" x14ac:dyDescent="0.3">
      <c r="A507" s="88"/>
      <c r="B507" s="278" t="s">
        <v>260</v>
      </c>
      <c r="C507" s="315" t="s">
        <v>261</v>
      </c>
      <c r="D507" s="315" t="s">
        <v>262</v>
      </c>
      <c r="E507" s="317" t="s">
        <v>263</v>
      </c>
      <c r="F507" s="315" t="s">
        <v>264</v>
      </c>
      <c r="G507" s="280" t="s">
        <v>265</v>
      </c>
      <c r="H507" s="280" t="s">
        <v>266</v>
      </c>
      <c r="I507" s="280" t="s">
        <v>267</v>
      </c>
      <c r="J507" s="319" t="s">
        <v>268</v>
      </c>
      <c r="K507" s="315" t="s">
        <v>269</v>
      </c>
      <c r="L507" s="321" t="s">
        <v>270</v>
      </c>
      <c r="M507" s="323" t="s">
        <v>271</v>
      </c>
      <c r="N507" s="323"/>
      <c r="O507" s="323"/>
      <c r="P507" s="323"/>
      <c r="Q507" s="323"/>
      <c r="R507" s="323"/>
      <c r="S507" s="323"/>
      <c r="T507" s="323"/>
      <c r="U507" s="324"/>
      <c r="V507" s="107"/>
      <c r="W507" s="72"/>
      <c r="X507" s="72"/>
      <c r="Y507" s="72"/>
      <c r="Z507" s="45">
        <v>7</v>
      </c>
      <c r="AA507" s="65">
        <v>73</v>
      </c>
      <c r="AB507" s="65">
        <v>84</v>
      </c>
      <c r="AC507" s="25"/>
      <c r="AD507" s="25"/>
      <c r="BA507" s="228"/>
    </row>
    <row r="508" spans="1:53" ht="15.75" thickBot="1" x14ac:dyDescent="0.3">
      <c r="A508" s="88"/>
      <c r="B508" s="279"/>
      <c r="C508" s="316"/>
      <c r="D508" s="316"/>
      <c r="E508" s="318"/>
      <c r="F508" s="316"/>
      <c r="G508" s="281"/>
      <c r="H508" s="281"/>
      <c r="I508" s="281"/>
      <c r="J508" s="320"/>
      <c r="K508" s="316"/>
      <c r="L508" s="322"/>
      <c r="M508" s="325"/>
      <c r="N508" s="325"/>
      <c r="O508" s="325"/>
      <c r="P508" s="325"/>
      <c r="Q508" s="325"/>
      <c r="R508" s="325"/>
      <c r="S508" s="325"/>
      <c r="T508" s="325"/>
      <c r="U508" s="326"/>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502</v>
      </c>
      <c r="D509" s="102"/>
      <c r="E509" s="32">
        <v>84</v>
      </c>
      <c r="F509" s="32"/>
      <c r="G509" s="68" t="s">
        <v>277</v>
      </c>
      <c r="H509" s="69">
        <f>IF(I509=0,0,I509-(E509-1))</f>
        <v>781</v>
      </c>
      <c r="I509" s="70">
        <f>IF(E509=0,0,I504)</f>
        <v>864</v>
      </c>
      <c r="J509" s="71" t="s">
        <v>278</v>
      </c>
      <c r="K509" s="32"/>
      <c r="L509" s="233"/>
      <c r="M509" s="296" t="s">
        <v>416</v>
      </c>
      <c r="N509" s="296"/>
      <c r="O509" s="296"/>
      <c r="P509" s="296"/>
      <c r="Q509" s="296"/>
      <c r="R509" s="296"/>
      <c r="S509" s="296"/>
      <c r="T509" s="296"/>
      <c r="U509" s="297"/>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781-864</v>
      </c>
      <c r="AF509" s="109" t="str">
        <f t="shared" ref="AF509:AF533" si="207">IF(C509="Field SPL","N","Y")</f>
        <v>N</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t="s">
        <v>502</v>
      </c>
      <c r="D510" s="102"/>
      <c r="E510" s="32">
        <v>108</v>
      </c>
      <c r="F510" s="32"/>
      <c r="G510" s="68" t="s">
        <v>277</v>
      </c>
      <c r="H510" s="69">
        <f t="shared" ref="H510:H533" si="213">IF(E510=0,0,I510-(E510-1))</f>
        <v>673</v>
      </c>
      <c r="I510" s="70">
        <f t="shared" ref="I510:I533" si="214">IF(E510=0,0,H509-1)</f>
        <v>780</v>
      </c>
      <c r="J510" s="73" t="str">
        <f>IF(C510="","--",IF(AND(C510&lt;&gt;"FST",C510&lt;&gt;"TCF",BA509&lt;&gt;0),BA509,"--"))</f>
        <v>--</v>
      </c>
      <c r="K510" s="32"/>
      <c r="L510" s="233"/>
      <c r="M510" s="296" t="s">
        <v>735</v>
      </c>
      <c r="N510" s="296"/>
      <c r="O510" s="296"/>
      <c r="P510" s="296"/>
      <c r="Q510" s="296"/>
      <c r="R510" s="296"/>
      <c r="S510" s="296"/>
      <c r="T510" s="296"/>
      <c r="U510" s="297"/>
      <c r="V510" s="103"/>
      <c r="W510" s="72"/>
      <c r="X510" s="72"/>
      <c r="Y510" s="72"/>
      <c r="Z510" s="45">
        <v>10</v>
      </c>
      <c r="AA510" s="46">
        <v>109</v>
      </c>
      <c r="AB510" s="46">
        <v>120</v>
      </c>
      <c r="AC510" s="72">
        <f t="shared" si="204"/>
        <v>1</v>
      </c>
      <c r="AD510" s="72">
        <f t="shared" si="205"/>
        <v>1</v>
      </c>
      <c r="AE510" s="109" t="str">
        <f t="shared" si="206"/>
        <v>673-780</v>
      </c>
      <c r="AF510" s="109" t="str">
        <f t="shared" si="207"/>
        <v>N</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6"/>
      <c r="N511" s="296"/>
      <c r="O511" s="296"/>
      <c r="P511" s="296"/>
      <c r="Q511" s="296"/>
      <c r="R511" s="296"/>
      <c r="S511" s="296"/>
      <c r="T511" s="296"/>
      <c r="U511" s="297"/>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6"/>
      <c r="N512" s="296"/>
      <c r="O512" s="296"/>
      <c r="P512" s="296"/>
      <c r="Q512" s="296"/>
      <c r="R512" s="296"/>
      <c r="S512" s="296"/>
      <c r="T512" s="296"/>
      <c r="U512" s="297"/>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6"/>
      <c r="N513" s="296"/>
      <c r="O513" s="296"/>
      <c r="P513" s="296"/>
      <c r="Q513" s="296"/>
      <c r="R513" s="296"/>
      <c r="S513" s="296"/>
      <c r="T513" s="296"/>
      <c r="U513" s="297"/>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6"/>
      <c r="N514" s="296"/>
      <c r="O514" s="296"/>
      <c r="P514" s="296"/>
      <c r="Q514" s="296"/>
      <c r="R514" s="296"/>
      <c r="S514" s="296"/>
      <c r="T514" s="296"/>
      <c r="U514" s="297"/>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6"/>
      <c r="N515" s="296"/>
      <c r="O515" s="296"/>
      <c r="P515" s="296"/>
      <c r="Q515" s="296"/>
      <c r="R515" s="296"/>
      <c r="S515" s="296"/>
      <c r="T515" s="296"/>
      <c r="U515" s="297"/>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6"/>
      <c r="N516" s="296"/>
      <c r="O516" s="296"/>
      <c r="P516" s="296"/>
      <c r="Q516" s="296"/>
      <c r="R516" s="296"/>
      <c r="S516" s="296"/>
      <c r="T516" s="296"/>
      <c r="U516" s="297"/>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6"/>
      <c r="N517" s="296"/>
      <c r="O517" s="296"/>
      <c r="P517" s="296"/>
      <c r="Q517" s="296"/>
      <c r="R517" s="296"/>
      <c r="S517" s="296"/>
      <c r="T517" s="296"/>
      <c r="U517" s="297"/>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6"/>
      <c r="N518" s="296"/>
      <c r="O518" s="296"/>
      <c r="P518" s="296"/>
      <c r="Q518" s="296"/>
      <c r="R518" s="296"/>
      <c r="S518" s="296"/>
      <c r="T518" s="296"/>
      <c r="U518" s="297"/>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6"/>
      <c r="N519" s="296"/>
      <c r="O519" s="296"/>
      <c r="P519" s="296"/>
      <c r="Q519" s="296"/>
      <c r="R519" s="296"/>
      <c r="S519" s="296"/>
      <c r="T519" s="296"/>
      <c r="U519" s="297"/>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6"/>
      <c r="N520" s="296"/>
      <c r="O520" s="296"/>
      <c r="P520" s="296"/>
      <c r="Q520" s="296"/>
      <c r="R520" s="296"/>
      <c r="S520" s="296"/>
      <c r="T520" s="296"/>
      <c r="U520" s="297"/>
      <c r="V520" s="103"/>
      <c r="W520" s="84">
        <f>Y520+1</f>
        <v>193</v>
      </c>
      <c r="X520" s="84"/>
      <c r="Y520" s="78">
        <f>SUM(E509:E520)</f>
        <v>192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6"/>
      <c r="N521" s="296"/>
      <c r="O521" s="296"/>
      <c r="P521" s="296"/>
      <c r="Q521" s="296"/>
      <c r="R521" s="296"/>
      <c r="S521" s="296"/>
      <c r="T521" s="296"/>
      <c r="U521" s="297"/>
      <c r="V521" s="103"/>
      <c r="W521" s="84">
        <f>Y521+1</f>
        <v>193</v>
      </c>
      <c r="X521" s="84"/>
      <c r="Y521" s="78">
        <f>SUM(E509:E521)</f>
        <v>192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6"/>
      <c r="N522" s="296"/>
      <c r="O522" s="296"/>
      <c r="P522" s="296"/>
      <c r="Q522" s="296"/>
      <c r="R522" s="296"/>
      <c r="S522" s="296"/>
      <c r="T522" s="296"/>
      <c r="U522" s="297"/>
      <c r="V522" s="103"/>
      <c r="W522" s="84">
        <f>Y522+1</f>
        <v>193</v>
      </c>
      <c r="X522" s="84"/>
      <c r="Y522" s="78">
        <f>SUM(E509:E522)</f>
        <v>192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6"/>
      <c r="N523" s="296"/>
      <c r="O523" s="296"/>
      <c r="P523" s="296"/>
      <c r="Q523" s="296"/>
      <c r="R523" s="296"/>
      <c r="S523" s="296"/>
      <c r="T523" s="296"/>
      <c r="U523" s="297"/>
      <c r="V523" s="103"/>
      <c r="W523" s="84">
        <f>Y523+1</f>
        <v>193</v>
      </c>
      <c r="X523" s="84"/>
      <c r="Y523" s="78">
        <f>SUM(E509:E523)</f>
        <v>192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6"/>
      <c r="N524" s="296"/>
      <c r="O524" s="296"/>
      <c r="P524" s="296"/>
      <c r="Q524" s="296"/>
      <c r="R524" s="296"/>
      <c r="S524" s="296"/>
      <c r="T524" s="296"/>
      <c r="U524" s="297"/>
      <c r="V524" s="103"/>
      <c r="W524" s="84">
        <f t="shared" ref="W524:W532" si="220">Y524+1</f>
        <v>193</v>
      </c>
      <c r="X524" s="84"/>
      <c r="Y524" s="78">
        <f>SUM(E509:E524)</f>
        <v>192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6"/>
      <c r="N525" s="296"/>
      <c r="O525" s="296"/>
      <c r="P525" s="296"/>
      <c r="Q525" s="296"/>
      <c r="R525" s="296"/>
      <c r="S525" s="296"/>
      <c r="T525" s="296"/>
      <c r="U525" s="297"/>
      <c r="V525" s="103"/>
      <c r="W525" s="84">
        <f t="shared" si="220"/>
        <v>193</v>
      </c>
      <c r="X525" s="84"/>
      <c r="Y525" s="78">
        <f>SUM(E509:E525)</f>
        <v>192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6"/>
      <c r="N526" s="296"/>
      <c r="O526" s="296"/>
      <c r="P526" s="296"/>
      <c r="Q526" s="296"/>
      <c r="R526" s="296"/>
      <c r="S526" s="296"/>
      <c r="T526" s="296"/>
      <c r="U526" s="297"/>
      <c r="V526" s="103"/>
      <c r="W526" s="84">
        <f t="shared" si="220"/>
        <v>193</v>
      </c>
      <c r="X526" s="84"/>
      <c r="Y526" s="78">
        <f>SUM(E509:E526)</f>
        <v>192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6"/>
      <c r="N527" s="296"/>
      <c r="O527" s="296"/>
      <c r="P527" s="296"/>
      <c r="Q527" s="296"/>
      <c r="R527" s="296"/>
      <c r="S527" s="296"/>
      <c r="T527" s="296"/>
      <c r="U527" s="297"/>
      <c r="V527" s="103"/>
      <c r="W527" s="84">
        <f t="shared" si="220"/>
        <v>193</v>
      </c>
      <c r="X527" s="84"/>
      <c r="Y527" s="78">
        <f>SUM(E509:E527)</f>
        <v>192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6"/>
      <c r="N528" s="296"/>
      <c r="O528" s="296"/>
      <c r="P528" s="296"/>
      <c r="Q528" s="296"/>
      <c r="R528" s="296"/>
      <c r="S528" s="296"/>
      <c r="T528" s="296"/>
      <c r="U528" s="297"/>
      <c r="V528" s="103"/>
      <c r="W528" s="84">
        <f t="shared" si="220"/>
        <v>193</v>
      </c>
      <c r="X528" s="84"/>
      <c r="Y528" s="78">
        <f>SUM(E509:E528)</f>
        <v>192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6"/>
      <c r="N529" s="296"/>
      <c r="O529" s="296"/>
      <c r="P529" s="296"/>
      <c r="Q529" s="296"/>
      <c r="R529" s="296"/>
      <c r="S529" s="296"/>
      <c r="T529" s="296"/>
      <c r="U529" s="297"/>
      <c r="V529" s="103"/>
      <c r="W529" s="84">
        <f t="shared" si="220"/>
        <v>193</v>
      </c>
      <c r="X529" s="84"/>
      <c r="Y529" s="78">
        <f>SUM(E509:E529)</f>
        <v>192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6"/>
      <c r="N530" s="296"/>
      <c r="O530" s="296"/>
      <c r="P530" s="296"/>
      <c r="Q530" s="296"/>
      <c r="R530" s="296"/>
      <c r="S530" s="296"/>
      <c r="T530" s="296"/>
      <c r="U530" s="297"/>
      <c r="V530" s="103"/>
      <c r="W530" s="84">
        <f t="shared" si="220"/>
        <v>193</v>
      </c>
      <c r="X530" s="84"/>
      <c r="Y530" s="78">
        <f>SUM(E509:E530)</f>
        <v>192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6"/>
      <c r="N531" s="296"/>
      <c r="O531" s="296"/>
      <c r="P531" s="296"/>
      <c r="Q531" s="296"/>
      <c r="R531" s="296"/>
      <c r="S531" s="296"/>
      <c r="T531" s="296"/>
      <c r="U531" s="297"/>
      <c r="V531" s="103"/>
      <c r="W531" s="84">
        <f t="shared" si="220"/>
        <v>193</v>
      </c>
      <c r="X531" s="84"/>
      <c r="Y531" s="78">
        <f>SUM(E509:E531)</f>
        <v>192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6"/>
      <c r="N532" s="296"/>
      <c r="O532" s="296"/>
      <c r="P532" s="296"/>
      <c r="Q532" s="296"/>
      <c r="R532" s="296"/>
      <c r="S532" s="296"/>
      <c r="T532" s="296"/>
      <c r="U532" s="297"/>
      <c r="V532" s="103"/>
      <c r="W532" s="84">
        <f t="shared" si="220"/>
        <v>193</v>
      </c>
      <c r="X532" s="84"/>
      <c r="Y532" s="78">
        <f>SUM(E509:E532)</f>
        <v>192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6"/>
      <c r="N533" s="296"/>
      <c r="O533" s="296"/>
      <c r="P533" s="296"/>
      <c r="Q533" s="296"/>
      <c r="R533" s="296"/>
      <c r="S533" s="296"/>
      <c r="T533" s="296"/>
      <c r="U533" s="297"/>
      <c r="V533" s="103"/>
      <c r="W533" s="72"/>
      <c r="X533" s="72"/>
      <c r="Y533" s="78">
        <f>SUM(E509:E533)</f>
        <v>192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2" t="s">
        <v>329</v>
      </c>
      <c r="C534" s="284"/>
      <c r="D534" s="79"/>
      <c r="E534" s="80"/>
      <c r="F534" s="80"/>
      <c r="G534" s="81"/>
      <c r="H534" s="192"/>
      <c r="I534" s="192"/>
      <c r="J534" s="192"/>
      <c r="K534" s="82"/>
      <c r="L534" s="282" t="s">
        <v>306</v>
      </c>
      <c r="M534" s="283"/>
      <c r="N534" s="283"/>
      <c r="O534" s="283"/>
      <c r="P534" s="283"/>
      <c r="Q534" s="283"/>
      <c r="R534" s="283"/>
      <c r="S534" s="283"/>
      <c r="T534" s="283"/>
      <c r="U534" s="284"/>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2" t="s">
        <v>307</v>
      </c>
      <c r="C535" s="284"/>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5" t="s">
        <v>222</v>
      </c>
      <c r="C539" s="286"/>
      <c r="D539" s="287" t="s">
        <v>223</v>
      </c>
      <c r="E539" s="288"/>
      <c r="F539" s="88"/>
      <c r="G539" s="289" t="s">
        <v>224</v>
      </c>
      <c r="H539" s="290"/>
      <c r="I539" s="28">
        <f>SUM(E550:E574)</f>
        <v>84</v>
      </c>
      <c r="J539" s="291" t="s">
        <v>225</v>
      </c>
      <c r="K539" s="292"/>
      <c r="L539" s="288"/>
      <c r="M539" s="196">
        <v>2</v>
      </c>
      <c r="N539" s="35">
        <f>SUM(AI539,AI550)</f>
        <v>0</v>
      </c>
      <c r="O539" s="35">
        <v>0</v>
      </c>
      <c r="P539" s="35">
        <f>SUM(AJ539,AJ550)</f>
        <v>0</v>
      </c>
      <c r="Q539" s="35">
        <v>0</v>
      </c>
      <c r="R539" s="35">
        <f>COUNTIFS($E550:$E574,"2",$F550:$F574,"Pole",$C550:$C574,"FST")</f>
        <v>0</v>
      </c>
      <c r="S539" s="35">
        <f>SUM(AL539,AK550)</f>
        <v>0</v>
      </c>
      <c r="T539" s="35">
        <v>0</v>
      </c>
      <c r="U539" s="35">
        <f>SUM(AK539,AL550)</f>
        <v>4</v>
      </c>
      <c r="V539" s="35">
        <v>0</v>
      </c>
      <c r="W539" s="34">
        <f>COUNTIFS($E550:$E574,"2",$F550:$F574,"HH",$C550:$C574,"FST")</f>
        <v>4</v>
      </c>
      <c r="X539" s="35">
        <f>COUNTIFS($E550:$E574,"2",$F550:$F574,"Ped",$C550:$C574,"FST")</f>
        <v>0</v>
      </c>
      <c r="Y539" s="25"/>
      <c r="Z539" s="298" t="s">
        <v>226</v>
      </c>
      <c r="AA539" s="299"/>
      <c r="AB539" s="300"/>
      <c r="AC539" s="25"/>
      <c r="AD539" s="25"/>
      <c r="AH539" s="109">
        <v>2</v>
      </c>
      <c r="AI539" s="109" t="str">
        <f>IF($E540="SS",COUNTIFS($C550:$C574,"FST",$E550:$E574,"2"),"0")</f>
        <v>0</v>
      </c>
      <c r="AJ539" s="109" t="str">
        <f>IF($E540="RPX",COUNTIFS($C550:$C574,"FST",$E550:$E574,"2"),"0")</f>
        <v>0</v>
      </c>
      <c r="AK539" s="109">
        <f>IF($E540="EUC",COUNTIFS($C550:$C574,"FST",$E550:$E574,"2"),"0")</f>
        <v>4</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1" t="s">
        <v>230</v>
      </c>
      <c r="H540" s="288"/>
      <c r="I540" s="33">
        <f>E541-I539</f>
        <v>60</v>
      </c>
      <c r="J540" s="302" t="s">
        <v>231</v>
      </c>
      <c r="K540" s="303"/>
      <c r="L540" s="34">
        <f>I544</f>
        <v>781</v>
      </c>
      <c r="M540" s="196">
        <v>4</v>
      </c>
      <c r="N540" s="35">
        <f>SUM(AI540,AI551)</f>
        <v>0</v>
      </c>
      <c r="O540" s="35">
        <v>0</v>
      </c>
      <c r="P540" s="35">
        <f>SUM(AJ540,AJ551)</f>
        <v>0</v>
      </c>
      <c r="Q540" s="35">
        <v>0</v>
      </c>
      <c r="R540" s="35">
        <f>COUNTIFS($E550:$E574,"4",$F550:$F574,"Pole",$C550:$C574,"FST")</f>
        <v>0</v>
      </c>
      <c r="S540" s="35">
        <f>SUM(AL540,AK551)</f>
        <v>0</v>
      </c>
      <c r="T540" s="35">
        <v>0</v>
      </c>
      <c r="U540" s="35">
        <f>SUM(AK540,AL551)</f>
        <v>14</v>
      </c>
      <c r="V540" s="35">
        <v>0</v>
      </c>
      <c r="W540" s="34">
        <f>COUNTIFS($E550:$E574,"4",$F550:$F574,"HH",$C550:$C574,"FST")</f>
        <v>14</v>
      </c>
      <c r="X540" s="35">
        <f>COUNTIFS($E550:$E574,"4",$F550:$F574,"Ped",$C550:$C574,"FST")</f>
        <v>0</v>
      </c>
      <c r="Y540" s="25"/>
      <c r="Z540" s="304" t="s">
        <v>232</v>
      </c>
      <c r="AA540" s="306" t="s">
        <v>233</v>
      </c>
      <c r="AB540" s="307"/>
      <c r="AC540" s="25"/>
      <c r="AD540" s="25"/>
      <c r="AH540" s="109">
        <v>4</v>
      </c>
      <c r="AI540" s="109" t="str">
        <f>IF($E540="SS",COUNTIFS($C550:$C574,"FST",$E550:$E574,"4"),"0")</f>
        <v>0</v>
      </c>
      <c r="AJ540" s="109" t="str">
        <f>IF($E540="RPX",COUNTIFS($C550:$C574,"FST",$E550:$E574,"4"),"0")</f>
        <v>0</v>
      </c>
      <c r="AK540" s="109">
        <f>IF($E540="EUC",COUNTIFS($C550:$C574,"FST",$E550:$E574,"4"),"0")</f>
        <v>14</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144</v>
      </c>
      <c r="F541" s="88"/>
      <c r="G541" s="310" t="s">
        <v>237</v>
      </c>
      <c r="H541" s="311"/>
      <c r="I541" s="35">
        <f>IF(E541=0,0,12-(MOD(I539,12)))</f>
        <v>12</v>
      </c>
      <c r="J541" s="302" t="s">
        <v>238</v>
      </c>
      <c r="K541" s="303"/>
      <c r="L541" s="39">
        <f>I545-I539</f>
        <v>780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5"/>
      <c r="AA541" s="308"/>
      <c r="AB541" s="309"/>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278" t="s">
        <v>242</v>
      </c>
      <c r="H542" s="43" t="s">
        <v>243</v>
      </c>
      <c r="I542" s="35">
        <f>IF(E542&lt;&gt;0,1,0)</f>
        <v>1</v>
      </c>
      <c r="J542" s="310" t="s">
        <v>244</v>
      </c>
      <c r="K542" s="311"/>
      <c r="L542" s="44">
        <f>'Cable Calculator'!BQ3</f>
        <v>2392</v>
      </c>
      <c r="M542" s="196">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781</v>
      </c>
      <c r="F543" s="88"/>
      <c r="G543" s="279"/>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12</v>
      </c>
      <c r="F544" s="88"/>
      <c r="G544" s="278" t="s">
        <v>251</v>
      </c>
      <c r="H544" s="51" t="s">
        <v>252</v>
      </c>
      <c r="I544" s="112">
        <f>E543</f>
        <v>781</v>
      </c>
      <c r="J544" s="312" t="s">
        <v>253</v>
      </c>
      <c r="K544" s="313"/>
      <c r="L544" s="31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79"/>
      <c r="H545" s="47" t="s">
        <v>257</v>
      </c>
      <c r="I545" s="35">
        <f>IF(E543="","0",IF(AND(E540="EUC",E541=432), I544+(203-E542),IF(E543=0,0,(E543+(E541-E542)-1))))</f>
        <v>864</v>
      </c>
      <c r="J545" s="293" t="str">
        <f>IFERROR(IF(OR(E540="EUC",E540="SS"),"---",IF(OR(P539,S539),"NO 2F Tethers for RPX!",IF(OR(P541,S541),"NO 6F Tethers for RPX!","---"))),"---")</f>
        <v>---</v>
      </c>
      <c r="K545" s="294"/>
      <c r="L545" s="295"/>
      <c r="M545" s="293" t="str">
        <f>IF(E542&gt;60,"Dead Count &gt;60: Consider Downsize","---")</f>
        <v>---</v>
      </c>
      <c r="N545" s="294"/>
      <c r="O545" s="294"/>
      <c r="P545" s="294"/>
      <c r="Q545" s="294"/>
      <c r="R545" s="294"/>
      <c r="S545" s="294"/>
      <c r="T545" s="294"/>
      <c r="U545" s="295"/>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84</v>
      </c>
      <c r="D546" s="31" t="s">
        <v>259</v>
      </c>
      <c r="E546" s="101" t="str">
        <f>IF(AS540="Y","DBL",IF(AS541="Y","TRPL",IF(AS542="Y","QUAD","")))</f>
        <v/>
      </c>
      <c r="F546" s="88"/>
      <c r="G546" s="192"/>
      <c r="H546" s="57"/>
      <c r="I546" s="192"/>
      <c r="J546" s="293"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4"/>
      <c r="L546" s="295"/>
      <c r="M546" s="293" t="str">
        <f>IF(AND(OR(E540="SS",E540="RPX",E540="EUC",E540="RPX-T"),(OR(C550="",C550="Field SPL"))),"Cannot have FlexNap cables without tethers","---")</f>
        <v>---</v>
      </c>
      <c r="N546" s="294"/>
      <c r="O546" s="294"/>
      <c r="P546" s="294"/>
      <c r="Q546" s="294"/>
      <c r="R546" s="294"/>
      <c r="S546" s="294"/>
      <c r="T546" s="294"/>
      <c r="U546" s="295"/>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3" t="str">
        <f>IF(AND(OR(E540="RPX", E540="RPX-T", E540="SS"),E541=216),"NO 216 For RPX, RPX-T, OR SS CABLE","---")</f>
        <v>---</v>
      </c>
      <c r="K547" s="294"/>
      <c r="L547" s="295"/>
      <c r="M547" s="293" t="str" cm="1">
        <f t="array" ref="M547">IF(AND(E540="",OR(C550:C574="FST",C550:C574="REV T",C550:C574="DBL REV",C550:C574="TPL REV", C550:C574="QD REV")),"Non-FlexNap cables cannot have tethers","---")</f>
        <v>---</v>
      </c>
      <c r="N547" s="294"/>
      <c r="O547" s="294"/>
      <c r="P547" s="294"/>
      <c r="Q547" s="294"/>
      <c r="R547" s="294"/>
      <c r="S547" s="294"/>
      <c r="T547" s="294"/>
      <c r="U547" s="295"/>
      <c r="V547" s="25"/>
      <c r="W547" s="58"/>
      <c r="X547" s="58"/>
      <c r="Y547" s="25"/>
      <c r="Z547" s="45">
        <v>6</v>
      </c>
      <c r="AA547" s="65">
        <v>61</v>
      </c>
      <c r="AB547" s="65">
        <v>72</v>
      </c>
      <c r="AC547" s="25"/>
      <c r="AD547" s="25"/>
      <c r="BA547" s="226"/>
    </row>
    <row r="548" spans="1:53" ht="15.75" customHeight="1" thickBot="1" x14ac:dyDescent="0.3">
      <c r="A548" s="88"/>
      <c r="B548" s="278" t="s">
        <v>260</v>
      </c>
      <c r="C548" s="315" t="s">
        <v>261</v>
      </c>
      <c r="D548" s="315" t="s">
        <v>262</v>
      </c>
      <c r="E548" s="317" t="s">
        <v>263</v>
      </c>
      <c r="F548" s="315" t="s">
        <v>264</v>
      </c>
      <c r="G548" s="280" t="s">
        <v>265</v>
      </c>
      <c r="H548" s="280" t="s">
        <v>266</v>
      </c>
      <c r="I548" s="280" t="s">
        <v>267</v>
      </c>
      <c r="J548" s="319" t="s">
        <v>268</v>
      </c>
      <c r="K548" s="315" t="s">
        <v>269</v>
      </c>
      <c r="L548" s="321" t="s">
        <v>270</v>
      </c>
      <c r="M548" s="323" t="s">
        <v>271</v>
      </c>
      <c r="N548" s="323"/>
      <c r="O548" s="323"/>
      <c r="P548" s="323"/>
      <c r="Q548" s="323"/>
      <c r="R548" s="323"/>
      <c r="S548" s="323"/>
      <c r="T548" s="323"/>
      <c r="U548" s="324"/>
      <c r="V548" s="107"/>
      <c r="W548" s="72"/>
      <c r="X548" s="72"/>
      <c r="Y548" s="72"/>
      <c r="Z548" s="45">
        <v>7</v>
      </c>
      <c r="AA548" s="65">
        <v>73</v>
      </c>
      <c r="AB548" s="65">
        <v>84</v>
      </c>
      <c r="AC548" s="25"/>
      <c r="AD548" s="25"/>
      <c r="BA548" s="228"/>
    </row>
    <row r="549" spans="1:53" ht="15.75" thickBot="1" x14ac:dyDescent="0.3">
      <c r="A549" s="88"/>
      <c r="B549" s="279"/>
      <c r="C549" s="316"/>
      <c r="D549" s="316"/>
      <c r="E549" s="318"/>
      <c r="F549" s="316"/>
      <c r="G549" s="281"/>
      <c r="H549" s="281"/>
      <c r="I549" s="281"/>
      <c r="J549" s="320"/>
      <c r="K549" s="316"/>
      <c r="L549" s="322"/>
      <c r="M549" s="325"/>
      <c r="N549" s="325"/>
      <c r="O549" s="325"/>
      <c r="P549" s="325"/>
      <c r="Q549" s="325"/>
      <c r="R549" s="325"/>
      <c r="S549" s="325"/>
      <c r="T549" s="325"/>
      <c r="U549" s="326"/>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737</v>
      </c>
      <c r="E550" s="32">
        <v>4</v>
      </c>
      <c r="F550" s="32" t="s">
        <v>488</v>
      </c>
      <c r="G550" s="68" t="s">
        <v>277</v>
      </c>
      <c r="H550" s="69">
        <f>IF(I550=0,0,I550-(E550-1))</f>
        <v>861</v>
      </c>
      <c r="I550" s="70">
        <f>IF(E550=0,0,I545)</f>
        <v>864</v>
      </c>
      <c r="J550" s="71" t="s">
        <v>278</v>
      </c>
      <c r="K550" s="32"/>
      <c r="L550" s="233"/>
      <c r="M550" s="296"/>
      <c r="N550" s="296"/>
      <c r="O550" s="296"/>
      <c r="P550" s="296"/>
      <c r="Q550" s="296"/>
      <c r="R550" s="296"/>
      <c r="S550" s="296"/>
      <c r="T550" s="296"/>
      <c r="U550" s="297"/>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861-864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738</v>
      </c>
      <c r="E551" s="32">
        <v>4</v>
      </c>
      <c r="F551" s="32" t="s">
        <v>488</v>
      </c>
      <c r="G551" s="68" t="s">
        <v>277</v>
      </c>
      <c r="H551" s="69">
        <f t="shared" ref="H551:H574" si="230">IF(E551=0,0,I551-(E551-1))</f>
        <v>857</v>
      </c>
      <c r="I551" s="70">
        <f t="shared" ref="I551:I574" si="231">IF(E551=0,0,H550-1)</f>
        <v>860</v>
      </c>
      <c r="J551" s="73" t="str">
        <f>IF(C551="","--",IF(AND(C551&lt;&gt;"FST",C551&lt;&gt;"TCF",BA550&lt;&gt;0),BA550,"--"))</f>
        <v>--</v>
      </c>
      <c r="K551" s="32"/>
      <c r="L551" s="233"/>
      <c r="M551" s="296"/>
      <c r="N551" s="296"/>
      <c r="O551" s="296"/>
      <c r="P551" s="296"/>
      <c r="Q551" s="296"/>
      <c r="R551" s="296"/>
      <c r="S551" s="296"/>
      <c r="T551" s="296"/>
      <c r="U551" s="297"/>
      <c r="V551" s="103"/>
      <c r="W551" s="72"/>
      <c r="X551" s="72"/>
      <c r="Y551" s="72"/>
      <c r="Z551" s="45">
        <v>10</v>
      </c>
      <c r="AA551" s="46">
        <v>109</v>
      </c>
      <c r="AB551" s="46">
        <v>120</v>
      </c>
      <c r="AC551" s="72">
        <f t="shared" si="221"/>
        <v>1</v>
      </c>
      <c r="AD551" s="72">
        <f t="shared" si="222"/>
        <v>0</v>
      </c>
      <c r="AE551" s="109" t="str">
        <f t="shared" si="223"/>
        <v>857-860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739</v>
      </c>
      <c r="E552" s="32">
        <v>4</v>
      </c>
      <c r="F552" s="32" t="s">
        <v>488</v>
      </c>
      <c r="G552" s="75" t="s">
        <v>277</v>
      </c>
      <c r="H552" s="69">
        <f t="shared" si="230"/>
        <v>853</v>
      </c>
      <c r="I552" s="70">
        <f t="shared" si="231"/>
        <v>856</v>
      </c>
      <c r="J552" s="73" t="str">
        <f t="shared" ref="J552:J574" si="232">IF(C552="","--",IF(AND(C552&lt;&gt;"FST",C552&lt;&gt;"TCF",BA551&lt;&gt;0),BA551,"--"))</f>
        <v>--</v>
      </c>
      <c r="K552" s="32"/>
      <c r="L552" s="233"/>
      <c r="M552" s="296"/>
      <c r="N552" s="296"/>
      <c r="O552" s="296"/>
      <c r="P552" s="296"/>
      <c r="Q552" s="296"/>
      <c r="R552" s="296"/>
      <c r="S552" s="296"/>
      <c r="T552" s="296"/>
      <c r="U552" s="297"/>
      <c r="V552" s="103"/>
      <c r="W552" s="72"/>
      <c r="X552" s="72"/>
      <c r="Y552" s="72"/>
      <c r="Z552" s="45">
        <v>11</v>
      </c>
      <c r="AA552" s="46">
        <v>121</v>
      </c>
      <c r="AB552" s="46">
        <v>132</v>
      </c>
      <c r="AC552" s="72">
        <f t="shared" si="221"/>
        <v>1</v>
      </c>
      <c r="AD552" s="72">
        <f t="shared" si="222"/>
        <v>0</v>
      </c>
      <c r="AE552" s="109" t="str">
        <f t="shared" si="223"/>
        <v>853-856</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4</v>
      </c>
    </row>
    <row r="553" spans="1:53" ht="15.75" thickBot="1" x14ac:dyDescent="0.3">
      <c r="A553" s="88"/>
      <c r="B553" s="66" t="s">
        <v>281</v>
      </c>
      <c r="C553" s="67" t="s">
        <v>484</v>
      </c>
      <c r="D553" s="102" t="s">
        <v>740</v>
      </c>
      <c r="E553" s="32">
        <v>4</v>
      </c>
      <c r="F553" s="32" t="s">
        <v>488</v>
      </c>
      <c r="G553" s="68" t="s">
        <v>277</v>
      </c>
      <c r="H553" s="69">
        <f t="shared" si="230"/>
        <v>849</v>
      </c>
      <c r="I553" s="70">
        <f t="shared" si="231"/>
        <v>852</v>
      </c>
      <c r="J553" s="73" t="str">
        <f t="shared" si="232"/>
        <v>--</v>
      </c>
      <c r="K553" s="32"/>
      <c r="L553" s="233"/>
      <c r="M553" s="296"/>
      <c r="N553" s="296"/>
      <c r="O553" s="296"/>
      <c r="P553" s="296"/>
      <c r="Q553" s="296"/>
      <c r="R553" s="296"/>
      <c r="S553" s="296"/>
      <c r="T553" s="296"/>
      <c r="U553" s="297"/>
      <c r="V553" s="103"/>
      <c r="W553" s="72"/>
      <c r="X553" s="72"/>
      <c r="Y553" s="72"/>
      <c r="Z553" s="45">
        <v>12</v>
      </c>
      <c r="AA553" s="76">
        <v>133</v>
      </c>
      <c r="AB553" s="76">
        <v>144</v>
      </c>
      <c r="AC553" s="72">
        <f t="shared" si="221"/>
        <v>1</v>
      </c>
      <c r="AD553" s="72">
        <f t="shared" si="222"/>
        <v>0</v>
      </c>
      <c r="AE553" s="109" t="str">
        <f t="shared" si="223"/>
        <v>849-852</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t="s">
        <v>484</v>
      </c>
      <c r="D554" s="102" t="s">
        <v>741</v>
      </c>
      <c r="E554" s="32">
        <v>4</v>
      </c>
      <c r="F554" s="32" t="s">
        <v>488</v>
      </c>
      <c r="G554" s="68" t="s">
        <v>277</v>
      </c>
      <c r="H554" s="69">
        <f t="shared" si="230"/>
        <v>845</v>
      </c>
      <c r="I554" s="70">
        <f t="shared" si="231"/>
        <v>848</v>
      </c>
      <c r="J554" s="73" t="str">
        <f t="shared" si="232"/>
        <v>--</v>
      </c>
      <c r="K554" s="32"/>
      <c r="L554" s="233"/>
      <c r="M554" s="296"/>
      <c r="N554" s="296"/>
      <c r="O554" s="296"/>
      <c r="P554" s="296"/>
      <c r="Q554" s="296"/>
      <c r="R554" s="296"/>
      <c r="S554" s="296"/>
      <c r="T554" s="296"/>
      <c r="U554" s="297"/>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845-848</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t="s">
        <v>484</v>
      </c>
      <c r="D555" s="102" t="s">
        <v>742</v>
      </c>
      <c r="E555" s="32">
        <v>4</v>
      </c>
      <c r="F555" s="32" t="s">
        <v>488</v>
      </c>
      <c r="G555" s="68" t="s">
        <v>277</v>
      </c>
      <c r="H555" s="69">
        <f t="shared" si="230"/>
        <v>841</v>
      </c>
      <c r="I555" s="70">
        <f t="shared" si="231"/>
        <v>844</v>
      </c>
      <c r="J555" s="73" t="str">
        <f t="shared" si="232"/>
        <v>--</v>
      </c>
      <c r="K555" s="32"/>
      <c r="L555" s="233"/>
      <c r="M555" s="296"/>
      <c r="N555" s="296"/>
      <c r="O555" s="296"/>
      <c r="P555" s="296"/>
      <c r="Q555" s="296"/>
      <c r="R555" s="296"/>
      <c r="S555" s="296"/>
      <c r="T555" s="296"/>
      <c r="U555" s="297"/>
      <c r="V555" s="103"/>
      <c r="W555" s="72"/>
      <c r="X555" s="72"/>
      <c r="Y555" s="72"/>
      <c r="Z555" s="45">
        <v>14</v>
      </c>
      <c r="AA555" s="77">
        <f t="shared" si="233"/>
        <v>157</v>
      </c>
      <c r="AB555" s="77">
        <f t="shared" si="234"/>
        <v>168</v>
      </c>
      <c r="AC555" s="72">
        <f t="shared" si="221"/>
        <v>1</v>
      </c>
      <c r="AD555" s="72">
        <f t="shared" si="222"/>
        <v>0</v>
      </c>
      <c r="AE555" s="109" t="str">
        <f t="shared" si="223"/>
        <v>841-844</v>
      </c>
      <c r="AF555" s="109" t="str">
        <f t="shared" si="224"/>
        <v>Y</v>
      </c>
      <c r="AG555" s="109" t="str">
        <f t="shared" si="225"/>
        <v>B</v>
      </c>
      <c r="AM555" s="109">
        <f t="shared" si="226"/>
        <v>0</v>
      </c>
      <c r="AN555" s="109">
        <f t="shared" si="227"/>
        <v>0</v>
      </c>
      <c r="AO555" s="109" t="str">
        <f t="shared" si="228"/>
        <v/>
      </c>
      <c r="AQ555" s="109" t="str">
        <f t="shared" si="229"/>
        <v/>
      </c>
      <c r="BA555" s="229">
        <f>MOD(SUM(E550:E556),12)</f>
        <v>4</v>
      </c>
    </row>
    <row r="556" spans="1:53" ht="15.75" thickBot="1" x14ac:dyDescent="0.3">
      <c r="A556" s="88"/>
      <c r="B556" s="66" t="s">
        <v>284</v>
      </c>
      <c r="C556" s="67" t="s">
        <v>484</v>
      </c>
      <c r="D556" s="102" t="s">
        <v>743</v>
      </c>
      <c r="E556" s="32">
        <v>4</v>
      </c>
      <c r="F556" s="32" t="s">
        <v>488</v>
      </c>
      <c r="G556" s="68" t="s">
        <v>277</v>
      </c>
      <c r="H556" s="69">
        <f t="shared" si="230"/>
        <v>837</v>
      </c>
      <c r="I556" s="70">
        <f t="shared" si="231"/>
        <v>840</v>
      </c>
      <c r="J556" s="73" t="str">
        <f t="shared" si="232"/>
        <v>--</v>
      </c>
      <c r="K556" s="32"/>
      <c r="L556" s="233"/>
      <c r="M556" s="296"/>
      <c r="N556" s="296"/>
      <c r="O556" s="296"/>
      <c r="P556" s="296"/>
      <c r="Q556" s="296"/>
      <c r="R556" s="296"/>
      <c r="S556" s="296"/>
      <c r="T556" s="296"/>
      <c r="U556" s="297"/>
      <c r="V556" s="103"/>
      <c r="W556" s="72"/>
      <c r="X556" s="72"/>
      <c r="Y556" s="72"/>
      <c r="Z556" s="45">
        <v>15</v>
      </c>
      <c r="AA556" s="77">
        <f t="shared" si="233"/>
        <v>169</v>
      </c>
      <c r="AB556" s="77">
        <f t="shared" si="234"/>
        <v>180</v>
      </c>
      <c r="AC556" s="72">
        <f t="shared" si="221"/>
        <v>1</v>
      </c>
      <c r="AD556" s="72">
        <f t="shared" si="222"/>
        <v>0</v>
      </c>
      <c r="AE556" s="109" t="str">
        <f t="shared" si="223"/>
        <v>837-840</v>
      </c>
      <c r="AF556" s="109" t="str">
        <f t="shared" si="224"/>
        <v>Y</v>
      </c>
      <c r="AG556" s="109" t="str">
        <f t="shared" si="225"/>
        <v>B</v>
      </c>
      <c r="AM556" s="109">
        <f t="shared" si="226"/>
        <v>0</v>
      </c>
      <c r="AN556" s="109">
        <f t="shared" si="227"/>
        <v>0</v>
      </c>
      <c r="AO556" s="109" t="str">
        <f t="shared" si="228"/>
        <v/>
      </c>
      <c r="AQ556" s="109" t="str">
        <f t="shared" si="229"/>
        <v/>
      </c>
      <c r="BA556" s="229">
        <f>MOD(SUM(E550:E557),12)</f>
        <v>8</v>
      </c>
    </row>
    <row r="557" spans="1:53" ht="15.75" thickBot="1" x14ac:dyDescent="0.3">
      <c r="A557" s="88"/>
      <c r="B557" s="66" t="s">
        <v>285</v>
      </c>
      <c r="C557" s="67" t="s">
        <v>484</v>
      </c>
      <c r="D557" s="102" t="s">
        <v>744</v>
      </c>
      <c r="E557" s="32">
        <v>4</v>
      </c>
      <c r="F557" s="32" t="s">
        <v>488</v>
      </c>
      <c r="G557" s="68" t="s">
        <v>277</v>
      </c>
      <c r="H557" s="69">
        <f t="shared" si="230"/>
        <v>833</v>
      </c>
      <c r="I557" s="70">
        <f t="shared" si="231"/>
        <v>836</v>
      </c>
      <c r="J557" s="73" t="str">
        <f t="shared" si="232"/>
        <v>--</v>
      </c>
      <c r="K557" s="32"/>
      <c r="L557" s="233"/>
      <c r="M557" s="296"/>
      <c r="N557" s="296"/>
      <c r="O557" s="296"/>
      <c r="P557" s="296"/>
      <c r="Q557" s="296"/>
      <c r="R557" s="296"/>
      <c r="S557" s="296"/>
      <c r="T557" s="296"/>
      <c r="U557" s="297"/>
      <c r="V557" s="103"/>
      <c r="W557" s="72"/>
      <c r="X557" s="72"/>
      <c r="Y557" s="72"/>
      <c r="Z557" s="45">
        <f>Z556+1</f>
        <v>16</v>
      </c>
      <c r="AA557" s="77">
        <f t="shared" si="233"/>
        <v>181</v>
      </c>
      <c r="AB557" s="77">
        <f t="shared" si="234"/>
        <v>192</v>
      </c>
      <c r="AC557" s="72">
        <f t="shared" si="221"/>
        <v>1</v>
      </c>
      <c r="AD557" s="72">
        <f t="shared" si="222"/>
        <v>0</v>
      </c>
      <c r="AE557" s="109" t="str">
        <f t="shared" si="223"/>
        <v>833-836</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t="s">
        <v>484</v>
      </c>
      <c r="D558" s="102" t="s">
        <v>745</v>
      </c>
      <c r="E558" s="32">
        <v>4</v>
      </c>
      <c r="F558" s="32" t="s">
        <v>488</v>
      </c>
      <c r="G558" s="68" t="s">
        <v>277</v>
      </c>
      <c r="H558" s="69">
        <f t="shared" si="230"/>
        <v>829</v>
      </c>
      <c r="I558" s="70">
        <f t="shared" si="231"/>
        <v>832</v>
      </c>
      <c r="J558" s="73" t="str">
        <f t="shared" si="232"/>
        <v>--</v>
      </c>
      <c r="K558" s="32"/>
      <c r="L558" s="233"/>
      <c r="M558" s="296"/>
      <c r="N558" s="296"/>
      <c r="O558" s="296"/>
      <c r="P558" s="296"/>
      <c r="Q558" s="296"/>
      <c r="R558" s="296"/>
      <c r="S558" s="296"/>
      <c r="T558" s="296"/>
      <c r="U558" s="297"/>
      <c r="V558" s="103"/>
      <c r="W558" s="72"/>
      <c r="X558" s="72"/>
      <c r="Y558" s="72"/>
      <c r="Z558" s="45">
        <f>Z557+1</f>
        <v>17</v>
      </c>
      <c r="AA558" s="77">
        <f t="shared" si="233"/>
        <v>193</v>
      </c>
      <c r="AB558" s="77">
        <f t="shared" si="234"/>
        <v>204</v>
      </c>
      <c r="AC558" s="72">
        <f t="shared" si="221"/>
        <v>1</v>
      </c>
      <c r="AD558" s="72">
        <f t="shared" si="222"/>
        <v>0</v>
      </c>
      <c r="AE558" s="109" t="str">
        <f t="shared" si="223"/>
        <v>829-832</v>
      </c>
      <c r="AF558" s="109" t="str">
        <f t="shared" si="224"/>
        <v>Y</v>
      </c>
      <c r="AG558" s="109" t="str">
        <f t="shared" si="225"/>
        <v>B</v>
      </c>
      <c r="AM558" s="109">
        <f t="shared" si="226"/>
        <v>0</v>
      </c>
      <c r="AN558" s="109">
        <f t="shared" si="227"/>
        <v>0</v>
      </c>
      <c r="AO558" s="109" t="str">
        <f t="shared" si="228"/>
        <v/>
      </c>
      <c r="AQ558" s="109" t="str">
        <f t="shared" si="229"/>
        <v/>
      </c>
      <c r="BA558" s="229">
        <f>MOD(SUM(E550:E559),12)</f>
        <v>4</v>
      </c>
    </row>
    <row r="559" spans="1:53" ht="15.75" thickBot="1" x14ac:dyDescent="0.3">
      <c r="A559" s="88"/>
      <c r="B559" s="66" t="s">
        <v>287</v>
      </c>
      <c r="C559" s="67" t="s">
        <v>484</v>
      </c>
      <c r="D559" s="102" t="s">
        <v>746</v>
      </c>
      <c r="E559" s="32">
        <v>4</v>
      </c>
      <c r="F559" s="32" t="s">
        <v>488</v>
      </c>
      <c r="G559" s="68" t="s">
        <v>277</v>
      </c>
      <c r="H559" s="69">
        <f t="shared" si="230"/>
        <v>825</v>
      </c>
      <c r="I559" s="70">
        <f t="shared" si="231"/>
        <v>828</v>
      </c>
      <c r="J559" s="73" t="str">
        <f t="shared" si="232"/>
        <v>--</v>
      </c>
      <c r="K559" s="32"/>
      <c r="L559" s="233"/>
      <c r="M559" s="296"/>
      <c r="N559" s="296"/>
      <c r="O559" s="296"/>
      <c r="P559" s="296"/>
      <c r="Q559" s="296"/>
      <c r="R559" s="296"/>
      <c r="S559" s="296"/>
      <c r="T559" s="296"/>
      <c r="U559" s="297"/>
      <c r="V559" s="103"/>
      <c r="W559" s="72"/>
      <c r="X559" s="72"/>
      <c r="Y559" s="72"/>
      <c r="Z559" s="45">
        <f>Z558+1</f>
        <v>18</v>
      </c>
      <c r="AA559" s="77">
        <f t="shared" si="233"/>
        <v>205</v>
      </c>
      <c r="AB559" s="77">
        <f t="shared" si="234"/>
        <v>216</v>
      </c>
      <c r="AC559" s="72">
        <f t="shared" si="221"/>
        <v>1</v>
      </c>
      <c r="AD559" s="72">
        <f t="shared" si="222"/>
        <v>0</v>
      </c>
      <c r="AE559" s="109" t="str">
        <f t="shared" si="223"/>
        <v>825-828</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t="s">
        <v>484</v>
      </c>
      <c r="D560" s="102" t="s">
        <v>747</v>
      </c>
      <c r="E560" s="32">
        <v>8</v>
      </c>
      <c r="F560" s="32" t="s">
        <v>488</v>
      </c>
      <c r="G560" s="68" t="s">
        <v>277</v>
      </c>
      <c r="H560" s="69">
        <f t="shared" si="230"/>
        <v>817</v>
      </c>
      <c r="I560" s="70">
        <f t="shared" si="231"/>
        <v>824</v>
      </c>
      <c r="J560" s="73" t="str">
        <f t="shared" si="232"/>
        <v>--</v>
      </c>
      <c r="K560" s="32"/>
      <c r="L560" s="233"/>
      <c r="M560" s="296"/>
      <c r="N560" s="296"/>
      <c r="O560" s="296"/>
      <c r="P560" s="296"/>
      <c r="Q560" s="296"/>
      <c r="R560" s="296"/>
      <c r="S560" s="296"/>
      <c r="T560" s="296"/>
      <c r="U560" s="297"/>
      <c r="V560" s="103"/>
      <c r="W560" s="84"/>
      <c r="X560" s="84"/>
      <c r="Y560" s="72"/>
      <c r="Z560" s="72"/>
      <c r="AA560" s="72"/>
      <c r="AB560" s="72"/>
      <c r="AC560" s="72">
        <f t="shared" si="221"/>
        <v>1</v>
      </c>
      <c r="AD560" s="72">
        <f t="shared" si="222"/>
        <v>0</v>
      </c>
      <c r="AE560" s="109" t="str">
        <f t="shared" si="223"/>
        <v>817-824</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t="s">
        <v>494</v>
      </c>
      <c r="D561" s="102"/>
      <c r="E561" s="32">
        <v>12</v>
      </c>
      <c r="F561" s="32"/>
      <c r="G561" s="68" t="s">
        <v>277</v>
      </c>
      <c r="H561" s="69">
        <f t="shared" si="230"/>
        <v>805</v>
      </c>
      <c r="I561" s="70">
        <f t="shared" si="231"/>
        <v>816</v>
      </c>
      <c r="J561" s="73" t="str">
        <f t="shared" si="232"/>
        <v>--</v>
      </c>
      <c r="K561" s="32"/>
      <c r="L561" s="233"/>
      <c r="M561" s="296" t="s">
        <v>418</v>
      </c>
      <c r="N561" s="296"/>
      <c r="O561" s="296"/>
      <c r="P561" s="296"/>
      <c r="Q561" s="296"/>
      <c r="R561" s="296"/>
      <c r="S561" s="296"/>
      <c r="T561" s="296"/>
      <c r="U561" s="297"/>
      <c r="V561" s="103"/>
      <c r="W561" s="84">
        <f>Y561+1</f>
        <v>61</v>
      </c>
      <c r="X561" s="84"/>
      <c r="Y561" s="78">
        <f>SUM(E550:E561)</f>
        <v>60</v>
      </c>
      <c r="Z561" s="72"/>
      <c r="AA561" s="72"/>
      <c r="AB561" s="72"/>
      <c r="AC561" s="72">
        <f t="shared" si="221"/>
        <v>1</v>
      </c>
      <c r="AD561" s="72">
        <f t="shared" si="222"/>
        <v>1</v>
      </c>
      <c r="AE561" s="109" t="str">
        <f t="shared" si="223"/>
        <v>805-816</v>
      </c>
      <c r="AF561" s="109" t="str">
        <f t="shared" si="224"/>
        <v>Y</v>
      </c>
      <c r="AG561" s="109" t="str">
        <f t="shared" si="225"/>
        <v>B</v>
      </c>
      <c r="AM561" s="109">
        <f t="shared" si="226"/>
        <v>1</v>
      </c>
      <c r="AN561" s="109">
        <f t="shared" si="227"/>
        <v>0</v>
      </c>
      <c r="AO561" s="109" t="str">
        <f t="shared" si="228"/>
        <v/>
      </c>
      <c r="AQ561" s="109" t="str">
        <f t="shared" si="229"/>
        <v/>
      </c>
      <c r="BA561" s="229">
        <f>MOD(SUM(E550:E562),12)</f>
        <v>4</v>
      </c>
    </row>
    <row r="562" spans="1:53" ht="15.75" thickBot="1" x14ac:dyDescent="0.3">
      <c r="A562" s="88"/>
      <c r="B562" s="66" t="s">
        <v>290</v>
      </c>
      <c r="C562" s="67" t="s">
        <v>484</v>
      </c>
      <c r="D562" s="102" t="s">
        <v>748</v>
      </c>
      <c r="E562" s="32">
        <v>4</v>
      </c>
      <c r="F562" s="32" t="s">
        <v>488</v>
      </c>
      <c r="G562" s="68" t="s">
        <v>277</v>
      </c>
      <c r="H562" s="69">
        <f t="shared" si="230"/>
        <v>801</v>
      </c>
      <c r="I562" s="70">
        <f t="shared" si="231"/>
        <v>804</v>
      </c>
      <c r="J562" s="73" t="str">
        <f t="shared" si="232"/>
        <v>--</v>
      </c>
      <c r="K562" s="32"/>
      <c r="L562" s="233"/>
      <c r="M562" s="296"/>
      <c r="N562" s="296"/>
      <c r="O562" s="296"/>
      <c r="P562" s="296"/>
      <c r="Q562" s="296"/>
      <c r="R562" s="296"/>
      <c r="S562" s="296"/>
      <c r="T562" s="296"/>
      <c r="U562" s="297"/>
      <c r="V562" s="103"/>
      <c r="W562" s="84">
        <f>Y562+1</f>
        <v>65</v>
      </c>
      <c r="X562" s="84"/>
      <c r="Y562" s="78">
        <f>SUM(E550:E562)</f>
        <v>64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0</v>
      </c>
      <c r="AE562" s="109" t="str">
        <f t="shared" si="223"/>
        <v>801-804</v>
      </c>
      <c r="AF562" s="109" t="str">
        <f t="shared" si="224"/>
        <v>Y</v>
      </c>
      <c r="AG562" s="109" t="str">
        <f t="shared" si="225"/>
        <v>B</v>
      </c>
      <c r="AM562" s="109">
        <f t="shared" si="226"/>
        <v>0</v>
      </c>
      <c r="AN562" s="109">
        <f t="shared" si="227"/>
        <v>0</v>
      </c>
      <c r="AO562" s="109" t="str">
        <f t="shared" si="228"/>
        <v/>
      </c>
      <c r="AQ562" s="109" t="str">
        <f t="shared" si="229"/>
        <v/>
      </c>
      <c r="BA562" s="229">
        <f>MOD(SUM(E550:E563),12)</f>
        <v>8</v>
      </c>
    </row>
    <row r="563" spans="1:53" ht="15.75" thickBot="1" x14ac:dyDescent="0.3">
      <c r="A563" s="88"/>
      <c r="B563" s="66" t="s">
        <v>291</v>
      </c>
      <c r="C563" s="67" t="s">
        <v>484</v>
      </c>
      <c r="D563" s="102" t="s">
        <v>749</v>
      </c>
      <c r="E563" s="32">
        <v>4</v>
      </c>
      <c r="F563" s="32" t="s">
        <v>488</v>
      </c>
      <c r="G563" s="68" t="s">
        <v>277</v>
      </c>
      <c r="H563" s="69">
        <f t="shared" si="230"/>
        <v>797</v>
      </c>
      <c r="I563" s="70">
        <f t="shared" si="231"/>
        <v>800</v>
      </c>
      <c r="J563" s="73" t="str">
        <f t="shared" si="232"/>
        <v>--</v>
      </c>
      <c r="K563" s="32"/>
      <c r="L563" s="233"/>
      <c r="M563" s="296"/>
      <c r="N563" s="296"/>
      <c r="O563" s="296"/>
      <c r="P563" s="296"/>
      <c r="Q563" s="296"/>
      <c r="R563" s="296"/>
      <c r="S563" s="296"/>
      <c r="T563" s="296"/>
      <c r="U563" s="297"/>
      <c r="V563" s="103"/>
      <c r="W563" s="84">
        <f>Y563+1</f>
        <v>69</v>
      </c>
      <c r="X563" s="84"/>
      <c r="Y563" s="78">
        <f>SUM(E550:E563)</f>
        <v>68</v>
      </c>
      <c r="Z563" s="72" t="str">
        <f t="shared" si="235"/>
        <v/>
      </c>
      <c r="AA563" s="72"/>
      <c r="AB563" s="72"/>
      <c r="AC563" s="72">
        <f t="shared" si="221"/>
        <v>1</v>
      </c>
      <c r="AD563" s="72">
        <f t="shared" si="222"/>
        <v>0</v>
      </c>
      <c r="AE563" s="109" t="str">
        <f t="shared" si="223"/>
        <v>797-800</v>
      </c>
      <c r="AF563" s="109" t="str">
        <f t="shared" si="224"/>
        <v>Y</v>
      </c>
      <c r="AG563" s="109" t="str">
        <f t="shared" si="225"/>
        <v>B</v>
      </c>
      <c r="AM563" s="109">
        <f t="shared" si="226"/>
        <v>0</v>
      </c>
      <c r="AN563" s="109">
        <f t="shared" si="227"/>
        <v>0</v>
      </c>
      <c r="AO563" s="109" t="str">
        <f t="shared" si="228"/>
        <v/>
      </c>
      <c r="AQ563" s="109" t="str">
        <f t="shared" si="229"/>
        <v/>
      </c>
      <c r="BA563" s="229">
        <f>MOD(SUM(E550:E564),12)</f>
        <v>10</v>
      </c>
    </row>
    <row r="564" spans="1:53" ht="15.75" thickBot="1" x14ac:dyDescent="0.3">
      <c r="A564" s="88"/>
      <c r="B564" s="66" t="s">
        <v>292</v>
      </c>
      <c r="C564" s="67" t="s">
        <v>484</v>
      </c>
      <c r="D564" s="102" t="s">
        <v>834</v>
      </c>
      <c r="E564" s="32">
        <v>2</v>
      </c>
      <c r="F564" s="32" t="s">
        <v>488</v>
      </c>
      <c r="G564" s="68" t="s">
        <v>277</v>
      </c>
      <c r="H564" s="69">
        <f t="shared" si="230"/>
        <v>795</v>
      </c>
      <c r="I564" s="70">
        <f t="shared" si="231"/>
        <v>796</v>
      </c>
      <c r="J564" s="73" t="str">
        <f t="shared" si="232"/>
        <v>--</v>
      </c>
      <c r="K564" s="32"/>
      <c r="L564" s="233"/>
      <c r="M564" s="296"/>
      <c r="N564" s="296"/>
      <c r="O564" s="296"/>
      <c r="P564" s="296"/>
      <c r="Q564" s="296"/>
      <c r="R564" s="296"/>
      <c r="S564" s="296"/>
      <c r="T564" s="296"/>
      <c r="U564" s="297"/>
      <c r="V564" s="103"/>
      <c r="W564" s="84">
        <f>Y564+1</f>
        <v>71</v>
      </c>
      <c r="X564" s="84"/>
      <c r="Y564" s="78">
        <f>SUM(E550:E564)</f>
        <v>70</v>
      </c>
      <c r="Z564" s="72" t="str">
        <f t="shared" si="235"/>
        <v/>
      </c>
      <c r="AA564" s="72" t="str">
        <f t="shared" ref="AA564:AA576" si="236">IF(AND(C562&lt;&gt;"Field SPL",W561&lt;=144,Y562&gt;144),"ERROR","")</f>
        <v/>
      </c>
      <c r="AB564" s="72"/>
      <c r="AC564" s="72">
        <f t="shared" si="221"/>
        <v>1</v>
      </c>
      <c r="AD564" s="72">
        <f t="shared" si="222"/>
        <v>0</v>
      </c>
      <c r="AE564" s="109" t="str">
        <f t="shared" si="223"/>
        <v>795-796</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t="s">
        <v>484</v>
      </c>
      <c r="D565" s="102" t="s">
        <v>829</v>
      </c>
      <c r="E565" s="32">
        <v>2</v>
      </c>
      <c r="F565" s="32" t="s">
        <v>488</v>
      </c>
      <c r="G565" s="68" t="s">
        <v>277</v>
      </c>
      <c r="H565" s="69">
        <f t="shared" si="230"/>
        <v>793</v>
      </c>
      <c r="I565" s="70">
        <f t="shared" si="231"/>
        <v>794</v>
      </c>
      <c r="J565" s="73" t="str">
        <f t="shared" si="232"/>
        <v>--</v>
      </c>
      <c r="K565" s="32"/>
      <c r="L565" s="233"/>
      <c r="M565" s="296"/>
      <c r="N565" s="296"/>
      <c r="O565" s="296"/>
      <c r="P565" s="296"/>
      <c r="Q565" s="296"/>
      <c r="R565" s="296"/>
      <c r="S565" s="296"/>
      <c r="T565" s="296"/>
      <c r="U565" s="297"/>
      <c r="V565" s="103"/>
      <c r="W565" s="84">
        <f t="shared" ref="W565:W573" si="237">Y565+1</f>
        <v>73</v>
      </c>
      <c r="X565" s="84"/>
      <c r="Y565" s="78">
        <f>SUM(E550:E565)</f>
        <v>72</v>
      </c>
      <c r="Z565" s="72" t="str">
        <f t="shared" si="235"/>
        <v/>
      </c>
      <c r="AA565" s="72" t="str">
        <f t="shared" si="236"/>
        <v/>
      </c>
      <c r="AB565" s="72"/>
      <c r="AC565" s="72">
        <f t="shared" si="221"/>
        <v>1</v>
      </c>
      <c r="AD565" s="72">
        <f t="shared" si="222"/>
        <v>0</v>
      </c>
      <c r="AE565" s="109" t="str">
        <f t="shared" si="223"/>
        <v>793-794</v>
      </c>
      <c r="AF565" s="109" t="str">
        <f t="shared" si="224"/>
        <v>Y</v>
      </c>
      <c r="AG565" s="109" t="str">
        <f t="shared" si="225"/>
        <v>B</v>
      </c>
      <c r="AM565" s="109">
        <f t="shared" si="226"/>
        <v>0</v>
      </c>
      <c r="AN565" s="109">
        <f t="shared" si="227"/>
        <v>0</v>
      </c>
      <c r="AO565" s="109" t="str">
        <f t="shared" si="228"/>
        <v/>
      </c>
      <c r="AQ565" s="109" t="str">
        <f t="shared" si="229"/>
        <v/>
      </c>
      <c r="BA565" s="229">
        <f>MOD(SUM(E550:E566),12)</f>
        <v>2</v>
      </c>
    </row>
    <row r="566" spans="1:53" ht="15.75" thickBot="1" x14ac:dyDescent="0.3">
      <c r="A566" s="88"/>
      <c r="B566" s="66" t="s">
        <v>294</v>
      </c>
      <c r="C566" s="67" t="s">
        <v>484</v>
      </c>
      <c r="D566" s="102" t="s">
        <v>833</v>
      </c>
      <c r="E566" s="32">
        <v>2</v>
      </c>
      <c r="F566" s="32" t="s">
        <v>488</v>
      </c>
      <c r="G566" s="68" t="s">
        <v>277</v>
      </c>
      <c r="H566" s="69">
        <f t="shared" si="230"/>
        <v>791</v>
      </c>
      <c r="I566" s="70">
        <f t="shared" si="231"/>
        <v>792</v>
      </c>
      <c r="J566" s="73" t="str">
        <f t="shared" si="232"/>
        <v>--</v>
      </c>
      <c r="K566" s="32"/>
      <c r="L566" s="233"/>
      <c r="M566" s="296"/>
      <c r="N566" s="296"/>
      <c r="O566" s="296"/>
      <c r="P566" s="296"/>
      <c r="Q566" s="296"/>
      <c r="R566" s="296"/>
      <c r="S566" s="296"/>
      <c r="T566" s="296"/>
      <c r="U566" s="297"/>
      <c r="V566" s="103"/>
      <c r="W566" s="84">
        <f t="shared" si="237"/>
        <v>75</v>
      </c>
      <c r="X566" s="84"/>
      <c r="Y566" s="78">
        <f>SUM(E550:E566)</f>
        <v>74</v>
      </c>
      <c r="Z566" s="72" t="str">
        <f t="shared" si="235"/>
        <v/>
      </c>
      <c r="AA566" s="72" t="str">
        <f t="shared" si="236"/>
        <v/>
      </c>
      <c r="AB566" s="72"/>
      <c r="AC566" s="72">
        <f t="shared" si="221"/>
        <v>1</v>
      </c>
      <c r="AD566" s="72">
        <f t="shared" si="222"/>
        <v>0</v>
      </c>
      <c r="AE566" s="109" t="str">
        <f t="shared" si="223"/>
        <v>791-792</v>
      </c>
      <c r="AF566" s="109" t="str">
        <f t="shared" si="224"/>
        <v>Y</v>
      </c>
      <c r="AG566" s="109" t="str">
        <f t="shared" si="225"/>
        <v>B</v>
      </c>
      <c r="AM566" s="109">
        <f t="shared" si="226"/>
        <v>0</v>
      </c>
      <c r="AN566" s="109">
        <f t="shared" si="227"/>
        <v>0</v>
      </c>
      <c r="AO566" s="109" t="str">
        <f t="shared" si="228"/>
        <v/>
      </c>
      <c r="AQ566" s="109" t="str">
        <f t="shared" si="229"/>
        <v/>
      </c>
      <c r="BA566" s="229">
        <f>MOD(SUM(E550:E567),12)</f>
        <v>6</v>
      </c>
    </row>
    <row r="567" spans="1:53" ht="15.75" thickBot="1" x14ac:dyDescent="0.3">
      <c r="A567" s="88"/>
      <c r="B567" s="66" t="s">
        <v>295</v>
      </c>
      <c r="C567" s="67" t="s">
        <v>484</v>
      </c>
      <c r="D567" s="102" t="s">
        <v>830</v>
      </c>
      <c r="E567" s="32">
        <v>4</v>
      </c>
      <c r="F567" s="32" t="s">
        <v>488</v>
      </c>
      <c r="G567" s="68" t="s">
        <v>277</v>
      </c>
      <c r="H567" s="69">
        <f t="shared" si="230"/>
        <v>787</v>
      </c>
      <c r="I567" s="70">
        <f t="shared" si="231"/>
        <v>790</v>
      </c>
      <c r="J567" s="73" t="str">
        <f t="shared" si="232"/>
        <v>--</v>
      </c>
      <c r="K567" s="32"/>
      <c r="L567" s="233"/>
      <c r="M567" s="296"/>
      <c r="N567" s="296"/>
      <c r="O567" s="296"/>
      <c r="P567" s="296"/>
      <c r="Q567" s="296"/>
      <c r="R567" s="296"/>
      <c r="S567" s="296"/>
      <c r="T567" s="296"/>
      <c r="U567" s="297"/>
      <c r="V567" s="103"/>
      <c r="W567" s="84">
        <f t="shared" si="237"/>
        <v>79</v>
      </c>
      <c r="X567" s="84"/>
      <c r="Y567" s="78">
        <f>SUM(E550:E567)</f>
        <v>78</v>
      </c>
      <c r="Z567" s="72" t="str">
        <f t="shared" si="235"/>
        <v/>
      </c>
      <c r="AA567" s="72" t="str">
        <f t="shared" si="236"/>
        <v/>
      </c>
      <c r="AB567" s="72"/>
      <c r="AC567" s="72">
        <f t="shared" si="221"/>
        <v>1</v>
      </c>
      <c r="AD567" s="72">
        <f t="shared" si="222"/>
        <v>0</v>
      </c>
      <c r="AE567" s="109" t="str">
        <f t="shared" si="223"/>
        <v>787-790</v>
      </c>
      <c r="AF567" s="109" t="str">
        <f t="shared" si="224"/>
        <v>Y</v>
      </c>
      <c r="AG567" s="109" t="str">
        <f t="shared" si="225"/>
        <v>B</v>
      </c>
      <c r="AM567" s="109">
        <f t="shared" si="226"/>
        <v>0</v>
      </c>
      <c r="AN567" s="109">
        <f t="shared" si="227"/>
        <v>0</v>
      </c>
      <c r="AO567" s="109" t="str">
        <f t="shared" si="228"/>
        <v/>
      </c>
      <c r="AQ567" s="109" t="str">
        <f t="shared" si="229"/>
        <v/>
      </c>
      <c r="BA567" s="229">
        <f>MOD(SUM(E550:E568),12)</f>
        <v>10</v>
      </c>
    </row>
    <row r="568" spans="1:53" ht="15.75" thickBot="1" x14ac:dyDescent="0.3">
      <c r="A568" s="88"/>
      <c r="B568" s="66" t="s">
        <v>296</v>
      </c>
      <c r="C568" s="67" t="s">
        <v>484</v>
      </c>
      <c r="D568" s="102" t="s">
        <v>832</v>
      </c>
      <c r="E568" s="32">
        <v>4</v>
      </c>
      <c r="F568" s="32" t="s">
        <v>488</v>
      </c>
      <c r="G568" s="68" t="s">
        <v>277</v>
      </c>
      <c r="H568" s="69">
        <f t="shared" si="230"/>
        <v>783</v>
      </c>
      <c r="I568" s="70">
        <f t="shared" si="231"/>
        <v>786</v>
      </c>
      <c r="J568" s="73" t="str">
        <f t="shared" si="232"/>
        <v>--</v>
      </c>
      <c r="K568" s="32"/>
      <c r="L568" s="233"/>
      <c r="M568" s="296"/>
      <c r="N568" s="296"/>
      <c r="O568" s="296"/>
      <c r="P568" s="296"/>
      <c r="Q568" s="296"/>
      <c r="R568" s="296"/>
      <c r="S568" s="296"/>
      <c r="T568" s="296"/>
      <c r="U568" s="297"/>
      <c r="V568" s="103"/>
      <c r="W568" s="84">
        <f t="shared" si="237"/>
        <v>83</v>
      </c>
      <c r="X568" s="84"/>
      <c r="Y568" s="78">
        <f>SUM(E550:E568)</f>
        <v>82</v>
      </c>
      <c r="Z568" s="72" t="str">
        <f t="shared" si="235"/>
        <v/>
      </c>
      <c r="AA568" s="72" t="str">
        <f t="shared" si="236"/>
        <v/>
      </c>
      <c r="AB568" s="72"/>
      <c r="AC568" s="72">
        <f t="shared" si="221"/>
        <v>1</v>
      </c>
      <c r="AD568" s="72">
        <f t="shared" si="222"/>
        <v>0</v>
      </c>
      <c r="AE568" s="109" t="str">
        <f t="shared" si="223"/>
        <v>783-786</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t="s">
        <v>484</v>
      </c>
      <c r="D569" s="102" t="s">
        <v>835</v>
      </c>
      <c r="E569" s="32">
        <v>2</v>
      </c>
      <c r="F569" s="32" t="s">
        <v>488</v>
      </c>
      <c r="G569" s="68" t="s">
        <v>277</v>
      </c>
      <c r="H569" s="69">
        <f t="shared" si="230"/>
        <v>781</v>
      </c>
      <c r="I569" s="70">
        <f t="shared" si="231"/>
        <v>782</v>
      </c>
      <c r="J569" s="73" t="str">
        <f t="shared" si="232"/>
        <v>--</v>
      </c>
      <c r="K569" s="32"/>
      <c r="L569" s="233"/>
      <c r="M569" s="296"/>
      <c r="N569" s="296"/>
      <c r="O569" s="296"/>
      <c r="P569" s="296"/>
      <c r="Q569" s="296"/>
      <c r="R569" s="296"/>
      <c r="S569" s="296"/>
      <c r="T569" s="296"/>
      <c r="U569" s="297"/>
      <c r="V569" s="103"/>
      <c r="W569" s="84">
        <f t="shared" si="237"/>
        <v>85</v>
      </c>
      <c r="X569" s="84"/>
      <c r="Y569" s="78">
        <f>SUM(E550:E569)</f>
        <v>84</v>
      </c>
      <c r="Z569" s="72" t="str">
        <f t="shared" si="235"/>
        <v/>
      </c>
      <c r="AA569" s="72" t="str">
        <f t="shared" si="236"/>
        <v/>
      </c>
      <c r="AB569" s="72"/>
      <c r="AC569" s="72">
        <f t="shared" si="221"/>
        <v>1</v>
      </c>
      <c r="AD569" s="72">
        <f t="shared" si="222"/>
        <v>0</v>
      </c>
      <c r="AE569" s="109" t="str">
        <f t="shared" si="223"/>
        <v>781-782</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6"/>
      <c r="N570" s="296"/>
      <c r="O570" s="296"/>
      <c r="P570" s="296"/>
      <c r="Q570" s="296"/>
      <c r="R570" s="296"/>
      <c r="S570" s="296"/>
      <c r="T570" s="296"/>
      <c r="U570" s="297"/>
      <c r="V570" s="103"/>
      <c r="W570" s="84">
        <f t="shared" si="237"/>
        <v>85</v>
      </c>
      <c r="X570" s="84"/>
      <c r="Y570" s="78">
        <f>SUM(E550:E570)</f>
        <v>84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6"/>
      <c r="N571" s="296"/>
      <c r="O571" s="296"/>
      <c r="P571" s="296"/>
      <c r="Q571" s="296"/>
      <c r="R571" s="296"/>
      <c r="S571" s="296"/>
      <c r="T571" s="296"/>
      <c r="U571" s="297"/>
      <c r="V571" s="103"/>
      <c r="W571" s="84">
        <f t="shared" si="237"/>
        <v>85</v>
      </c>
      <c r="X571" s="84"/>
      <c r="Y571" s="78">
        <f>SUM(E550:E571)</f>
        <v>84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6"/>
      <c r="N572" s="296"/>
      <c r="O572" s="296"/>
      <c r="P572" s="296"/>
      <c r="Q572" s="296"/>
      <c r="R572" s="296"/>
      <c r="S572" s="296"/>
      <c r="T572" s="296"/>
      <c r="U572" s="297"/>
      <c r="V572" s="103"/>
      <c r="W572" s="84">
        <f t="shared" si="237"/>
        <v>85</v>
      </c>
      <c r="X572" s="84"/>
      <c r="Y572" s="78">
        <f>SUM(E550:E572)</f>
        <v>84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6"/>
      <c r="N573" s="296"/>
      <c r="O573" s="296"/>
      <c r="P573" s="296"/>
      <c r="Q573" s="296"/>
      <c r="R573" s="296"/>
      <c r="S573" s="296"/>
      <c r="T573" s="296"/>
      <c r="U573" s="297"/>
      <c r="V573" s="103"/>
      <c r="W573" s="84">
        <f t="shared" si="237"/>
        <v>85</v>
      </c>
      <c r="X573" s="84"/>
      <c r="Y573" s="78">
        <f>SUM(E550:E573)</f>
        <v>84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6"/>
      <c r="N574" s="296"/>
      <c r="O574" s="296"/>
      <c r="P574" s="296"/>
      <c r="Q574" s="296"/>
      <c r="R574" s="296"/>
      <c r="S574" s="296"/>
      <c r="T574" s="296"/>
      <c r="U574" s="297"/>
      <c r="V574" s="103"/>
      <c r="W574" s="72"/>
      <c r="X574" s="72"/>
      <c r="Y574" s="78">
        <f>SUM(E550:E574)</f>
        <v>84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2" t="s">
        <v>331</v>
      </c>
      <c r="C575" s="284"/>
      <c r="D575" s="79"/>
      <c r="E575" s="80"/>
      <c r="F575" s="80"/>
      <c r="G575" s="81"/>
      <c r="H575" s="192"/>
      <c r="I575" s="192"/>
      <c r="J575" s="192"/>
      <c r="K575" s="82"/>
      <c r="L575" s="282" t="s">
        <v>306</v>
      </c>
      <c r="M575" s="283"/>
      <c r="N575" s="283"/>
      <c r="O575" s="283"/>
      <c r="P575" s="283"/>
      <c r="Q575" s="283"/>
      <c r="R575" s="283"/>
      <c r="S575" s="283"/>
      <c r="T575" s="283"/>
      <c r="U575" s="284"/>
      <c r="V575" s="104"/>
      <c r="W575" s="72"/>
      <c r="X575" s="72"/>
      <c r="Y575" s="72"/>
      <c r="Z575" s="72"/>
      <c r="AA575" s="72" t="str">
        <f t="shared" si="236"/>
        <v/>
      </c>
      <c r="AB575" s="72"/>
      <c r="AC575" s="72">
        <f>SUM(AC550:AC574)</f>
        <v>25</v>
      </c>
      <c r="AD575" s="72">
        <f>SUM(AD550:AD574)</f>
        <v>6</v>
      </c>
      <c r="AM575" s="109">
        <f>SUM(AM550:AM574)</f>
        <v>1</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2" t="s">
        <v>307</v>
      </c>
      <c r="C576" s="284"/>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5" t="s">
        <v>222</v>
      </c>
      <c r="C580" s="286"/>
      <c r="D580" s="287" t="s">
        <v>223</v>
      </c>
      <c r="E580" s="288"/>
      <c r="F580" s="88"/>
      <c r="G580" s="289" t="s">
        <v>224</v>
      </c>
      <c r="H580" s="290"/>
      <c r="I580" s="28">
        <f>SUM(E591:E615)</f>
        <v>108</v>
      </c>
      <c r="J580" s="291" t="s">
        <v>225</v>
      </c>
      <c r="K580" s="292"/>
      <c r="L580" s="288"/>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8" t="s">
        <v>226</v>
      </c>
      <c r="AA580" s="299"/>
      <c r="AB580" s="300"/>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1" t="s">
        <v>230</v>
      </c>
      <c r="H581" s="288"/>
      <c r="I581" s="33">
        <f>E582-I580</f>
        <v>36</v>
      </c>
      <c r="J581" s="302" t="s">
        <v>231</v>
      </c>
      <c r="K581" s="303"/>
      <c r="L581" s="34">
        <f>I585</f>
        <v>673</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4" t="s">
        <v>232</v>
      </c>
      <c r="AA581" s="306" t="s">
        <v>233</v>
      </c>
      <c r="AB581" s="307"/>
      <c r="AC581" s="25"/>
      <c r="AD581" s="25"/>
      <c r="AH581" s="109">
        <v>4</v>
      </c>
      <c r="AI581" s="109" t="str">
        <f>IF($E581="SS",COUNTIFS($C591:$C615,"FST",$E591:$E615,"4"),"0")</f>
        <v>0</v>
      </c>
      <c r="AJ581" s="109" t="str">
        <f>IF($E581="RPX",COUNTIFS($C591:$C615,"FST",$E591:$E615,"4"),"0")</f>
        <v>0</v>
      </c>
      <c r="AK581" s="109">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310" t="s">
        <v>237</v>
      </c>
      <c r="H582" s="311"/>
      <c r="I582" s="35">
        <f>IF(E582=0,0,12-(MOD(I580,12)))</f>
        <v>12</v>
      </c>
      <c r="J582" s="302" t="s">
        <v>238</v>
      </c>
      <c r="K582" s="303"/>
      <c r="L582" s="39">
        <f>I586-I580</f>
        <v>672</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5"/>
      <c r="AA582" s="308"/>
      <c r="AB582" s="309"/>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36</v>
      </c>
      <c r="F583" s="88"/>
      <c r="G583" s="278" t="s">
        <v>242</v>
      </c>
      <c r="H583" s="43" t="s">
        <v>243</v>
      </c>
      <c r="I583" s="35">
        <f>IF(E583&lt;&gt;0,1,0)</f>
        <v>1</v>
      </c>
      <c r="J583" s="310" t="s">
        <v>244</v>
      </c>
      <c r="K583" s="311"/>
      <c r="L583" s="44">
        <f>'Cable Calculator'!BV3</f>
        <v>1679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673</v>
      </c>
      <c r="F584" s="88"/>
      <c r="G584" s="279"/>
      <c r="H584" s="47" t="s">
        <v>248</v>
      </c>
      <c r="I584" s="35">
        <f>IF(E583&lt;&gt;0,E583,0)</f>
        <v>36</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1</v>
      </c>
      <c r="S584" s="35" t="str">
        <f>IF($E581="RPX-T",SUM(AL584,AK595,AM616,AO616,AQ616),"0")</f>
        <v>0</v>
      </c>
      <c r="T584" s="35" t="str">
        <f>IF($E581="RPX-T",SUM(AN616,AP616,AR616),"0")</f>
        <v>0</v>
      </c>
      <c r="U584" s="35">
        <f>IF($E581="EUC",SUM(AK584,AL595,AM616,AO616,AQ616),"0")</f>
        <v>7</v>
      </c>
      <c r="V584" s="35">
        <f>IF($E581="EUC",SUM($AN616,AP616,AR616),"0")</f>
        <v>1</v>
      </c>
      <c r="W584" s="34">
        <f>COUNTIFS($E591:$E615,"12",$F591:$F615,"HH",$C591:$C615,"FST")</f>
        <v>4</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5</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278" t="s">
        <v>251</v>
      </c>
      <c r="H585" s="51" t="s">
        <v>252</v>
      </c>
      <c r="I585" s="112">
        <f>E584</f>
        <v>673</v>
      </c>
      <c r="J585" s="312" t="s">
        <v>253</v>
      </c>
      <c r="K585" s="313"/>
      <c r="L585" s="31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79"/>
      <c r="H586" s="47" t="s">
        <v>257</v>
      </c>
      <c r="I586" s="35">
        <f>IF(E584="","0",IF(AND(E581="EUC",E582=432), I585+(203-E583),IF(E584=0,0,(E584+(E582-E583)-1))))</f>
        <v>780</v>
      </c>
      <c r="J586" s="293" t="str">
        <f>IFERROR(IF(OR(E581="EUC",E581="SS"),"---",IF(OR(P580,S580),"NO 2F Tethers for RPX!",IF(OR(P582,S582),"NO 6F Tethers for RPX!","---"))),"---")</f>
        <v>---</v>
      </c>
      <c r="K586" s="294"/>
      <c r="L586" s="295"/>
      <c r="M586" s="293" t="str">
        <f>IF(E583&gt;60,"Dead Count &gt;60: Consider Downsize","---")</f>
        <v>---</v>
      </c>
      <c r="N586" s="294"/>
      <c r="O586" s="294"/>
      <c r="P586" s="294"/>
      <c r="Q586" s="294"/>
      <c r="R586" s="294"/>
      <c r="S586" s="294"/>
      <c r="T586" s="294"/>
      <c r="U586" s="295"/>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108</v>
      </c>
      <c r="D587" s="31" t="s">
        <v>259</v>
      </c>
      <c r="E587" s="101" t="str">
        <f>IF(AS581="Y","DBL",IF(AS582="Y","TRPL",IF(AS583="Y","QUAD","")))</f>
        <v/>
      </c>
      <c r="F587" s="88"/>
      <c r="G587" s="192"/>
      <c r="H587" s="57"/>
      <c r="I587" s="192"/>
      <c r="J587" s="293"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4"/>
      <c r="L587" s="295"/>
      <c r="M587" s="293" t="str">
        <f>IF(AND(OR(E581="SS",E581="RPX",E581="EUC",E581="RPX-T"),(OR(C591="",C591="Field SPL"))),"Cannot have FlexNap cables without tethers","---")</f>
        <v>---</v>
      </c>
      <c r="N587" s="294"/>
      <c r="O587" s="294"/>
      <c r="P587" s="294"/>
      <c r="Q587" s="294"/>
      <c r="R587" s="294"/>
      <c r="S587" s="294"/>
      <c r="T587" s="294"/>
      <c r="U587" s="295"/>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3" t="str">
        <f>IF(AND(OR(E581="RPX", E581="RPX-T", E581="SS"),E582=216),"NO 216 For RPX, RPX-T, OR SS CABLE","---")</f>
        <v>---</v>
      </c>
      <c r="K588" s="294"/>
      <c r="L588" s="295"/>
      <c r="M588" s="293" t="str" cm="1">
        <f t="array" ref="M588">IF(AND(E581="",OR(C591:C615="FST",C591:C615="REV T",C591:C615="DBL REV",C591:C615="TPL REV", C591:C615="QD REV")),"Non-FlexNap cables cannot have tethers","---")</f>
        <v>---</v>
      </c>
      <c r="N588" s="294"/>
      <c r="O588" s="294"/>
      <c r="P588" s="294"/>
      <c r="Q588" s="294"/>
      <c r="R588" s="294"/>
      <c r="S588" s="294"/>
      <c r="T588" s="294"/>
      <c r="U588" s="295"/>
      <c r="V588" s="25"/>
      <c r="W588" s="58"/>
      <c r="X588" s="58"/>
      <c r="Y588" s="25"/>
      <c r="Z588" s="45">
        <v>6</v>
      </c>
      <c r="AA588" s="65">
        <v>61</v>
      </c>
      <c r="AB588" s="65">
        <v>72</v>
      </c>
      <c r="AC588" s="25"/>
      <c r="AD588" s="25"/>
      <c r="BA588" s="226"/>
    </row>
    <row r="589" spans="1:53" ht="15.75" customHeight="1" thickBot="1" x14ac:dyDescent="0.3">
      <c r="A589" s="88"/>
      <c r="B589" s="278" t="s">
        <v>260</v>
      </c>
      <c r="C589" s="315" t="s">
        <v>261</v>
      </c>
      <c r="D589" s="315" t="s">
        <v>262</v>
      </c>
      <c r="E589" s="317" t="s">
        <v>263</v>
      </c>
      <c r="F589" s="315" t="s">
        <v>264</v>
      </c>
      <c r="G589" s="280" t="s">
        <v>265</v>
      </c>
      <c r="H589" s="280" t="s">
        <v>266</v>
      </c>
      <c r="I589" s="280" t="s">
        <v>267</v>
      </c>
      <c r="J589" s="319" t="s">
        <v>268</v>
      </c>
      <c r="K589" s="315" t="s">
        <v>269</v>
      </c>
      <c r="L589" s="321" t="s">
        <v>270</v>
      </c>
      <c r="M589" s="323" t="s">
        <v>271</v>
      </c>
      <c r="N589" s="323"/>
      <c r="O589" s="323"/>
      <c r="P589" s="323"/>
      <c r="Q589" s="323"/>
      <c r="R589" s="323"/>
      <c r="S589" s="323"/>
      <c r="T589" s="323"/>
      <c r="U589" s="324"/>
      <c r="V589" s="107"/>
      <c r="W589" s="72"/>
      <c r="X589" s="72"/>
      <c r="Y589" s="72"/>
      <c r="Z589" s="45">
        <v>7</v>
      </c>
      <c r="AA589" s="65">
        <v>73</v>
      </c>
      <c r="AB589" s="65">
        <v>84</v>
      </c>
      <c r="AC589" s="25"/>
      <c r="AD589" s="25"/>
      <c r="BA589" s="228"/>
    </row>
    <row r="590" spans="1:53" ht="15.75" thickBot="1" x14ac:dyDescent="0.3">
      <c r="A590" s="88"/>
      <c r="B590" s="279"/>
      <c r="C590" s="316"/>
      <c r="D590" s="316"/>
      <c r="E590" s="318"/>
      <c r="F590" s="316"/>
      <c r="G590" s="281"/>
      <c r="H590" s="281"/>
      <c r="I590" s="281"/>
      <c r="J590" s="320"/>
      <c r="K590" s="316"/>
      <c r="L590" s="322"/>
      <c r="M590" s="325"/>
      <c r="N590" s="325"/>
      <c r="O590" s="325"/>
      <c r="P590" s="325"/>
      <c r="Q590" s="325"/>
      <c r="R590" s="325"/>
      <c r="S590" s="325"/>
      <c r="T590" s="325"/>
      <c r="U590" s="326"/>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750</v>
      </c>
      <c r="E591" s="32">
        <v>12</v>
      </c>
      <c r="F591" s="32" t="s">
        <v>488</v>
      </c>
      <c r="G591" s="68" t="s">
        <v>277</v>
      </c>
      <c r="H591" s="69">
        <f>IF(I591=0,0,I591-(E591-1))</f>
        <v>769</v>
      </c>
      <c r="I591" s="70">
        <f>IF(E591=0,0,I586)</f>
        <v>780</v>
      </c>
      <c r="J591" s="71" t="s">
        <v>278</v>
      </c>
      <c r="K591" s="32"/>
      <c r="L591" s="233"/>
      <c r="M591" s="296"/>
      <c r="N591" s="296"/>
      <c r="O591" s="296"/>
      <c r="P591" s="296"/>
      <c r="Q591" s="296"/>
      <c r="R591" s="296"/>
      <c r="S591" s="296"/>
      <c r="T591" s="296"/>
      <c r="U591" s="297"/>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769-780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484</v>
      </c>
      <c r="D592" s="102" t="s">
        <v>751</v>
      </c>
      <c r="E592" s="32">
        <v>12</v>
      </c>
      <c r="F592" s="32" t="s">
        <v>488</v>
      </c>
      <c r="G592" s="68" t="s">
        <v>277</v>
      </c>
      <c r="H592" s="69">
        <f t="shared" ref="H592:H615" si="247">IF(E592=0,0,I592-(E592-1))</f>
        <v>757</v>
      </c>
      <c r="I592" s="70">
        <f t="shared" ref="I592:I615" si="248">IF(E592=0,0,H591-1)</f>
        <v>768</v>
      </c>
      <c r="J592" s="73" t="str">
        <f>IF(C592="","--",IF(AND(C592&lt;&gt;"FST",C592&lt;&gt;"TCF",BA591&lt;&gt;0),BA591,"--"))</f>
        <v>--</v>
      </c>
      <c r="K592" s="32"/>
      <c r="L592" s="233"/>
      <c r="M592" s="296"/>
      <c r="N592" s="296"/>
      <c r="O592" s="296"/>
      <c r="P592" s="296"/>
      <c r="Q592" s="296"/>
      <c r="R592" s="296"/>
      <c r="S592" s="296"/>
      <c r="T592" s="296"/>
      <c r="U592" s="297"/>
      <c r="V592" s="103"/>
      <c r="W592" s="72"/>
      <c r="X592" s="72"/>
      <c r="Y592" s="72"/>
      <c r="Z592" s="45">
        <v>10</v>
      </c>
      <c r="AA592" s="46">
        <v>109</v>
      </c>
      <c r="AB592" s="46">
        <v>120</v>
      </c>
      <c r="AC592" s="72">
        <f t="shared" si="238"/>
        <v>1</v>
      </c>
      <c r="AD592" s="72">
        <f t="shared" si="239"/>
        <v>0</v>
      </c>
      <c r="AE592" s="109" t="str">
        <f t="shared" si="240"/>
        <v>757-768</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752</v>
      </c>
      <c r="E593" s="32">
        <v>12</v>
      </c>
      <c r="F593" s="32" t="s">
        <v>488</v>
      </c>
      <c r="G593" s="75" t="s">
        <v>277</v>
      </c>
      <c r="H593" s="69">
        <f t="shared" si="247"/>
        <v>745</v>
      </c>
      <c r="I593" s="70">
        <f t="shared" si="248"/>
        <v>756</v>
      </c>
      <c r="J593" s="73" t="str">
        <f t="shared" ref="J593:J615" si="249">IF(C593="","--",IF(AND(C593&lt;&gt;"FST",C593&lt;&gt;"TCF",BA592&lt;&gt;0),BA592,"--"))</f>
        <v>--</v>
      </c>
      <c r="K593" s="32"/>
      <c r="L593" s="233"/>
      <c r="M593" s="296"/>
      <c r="N593" s="296"/>
      <c r="O593" s="296"/>
      <c r="P593" s="296"/>
      <c r="Q593" s="296"/>
      <c r="R593" s="296"/>
      <c r="S593" s="296"/>
      <c r="T593" s="296"/>
      <c r="U593" s="297"/>
      <c r="V593" s="103"/>
      <c r="W593" s="72"/>
      <c r="X593" s="72"/>
      <c r="Y593" s="72"/>
      <c r="Z593" s="45">
        <v>11</v>
      </c>
      <c r="AA593" s="46">
        <v>121</v>
      </c>
      <c r="AB593" s="46">
        <v>132</v>
      </c>
      <c r="AC593" s="72">
        <f t="shared" si="238"/>
        <v>1</v>
      </c>
      <c r="AD593" s="72">
        <f t="shared" si="239"/>
        <v>0</v>
      </c>
      <c r="AE593" s="109" t="str">
        <f t="shared" si="240"/>
        <v>745-756</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484</v>
      </c>
      <c r="D594" s="102" t="s">
        <v>753</v>
      </c>
      <c r="E594" s="32">
        <v>12</v>
      </c>
      <c r="F594" s="32" t="s">
        <v>488</v>
      </c>
      <c r="G594" s="68" t="s">
        <v>277</v>
      </c>
      <c r="H594" s="69">
        <f t="shared" si="247"/>
        <v>733</v>
      </c>
      <c r="I594" s="70">
        <f t="shared" si="248"/>
        <v>744</v>
      </c>
      <c r="J594" s="73" t="str">
        <f t="shared" si="249"/>
        <v>--</v>
      </c>
      <c r="K594" s="32"/>
      <c r="L594" s="233"/>
      <c r="M594" s="296"/>
      <c r="N594" s="296"/>
      <c r="O594" s="296"/>
      <c r="P594" s="296"/>
      <c r="Q594" s="296"/>
      <c r="R594" s="296"/>
      <c r="S594" s="296"/>
      <c r="T594" s="296"/>
      <c r="U594" s="297"/>
      <c r="V594" s="103"/>
      <c r="W594" s="72"/>
      <c r="X594" s="72"/>
      <c r="Y594" s="72"/>
      <c r="Z594" s="45">
        <v>12</v>
      </c>
      <c r="AA594" s="76">
        <v>133</v>
      </c>
      <c r="AB594" s="76">
        <v>144</v>
      </c>
      <c r="AC594" s="72">
        <f t="shared" si="238"/>
        <v>1</v>
      </c>
      <c r="AD594" s="72">
        <f t="shared" si="239"/>
        <v>0</v>
      </c>
      <c r="AE594" s="109" t="str">
        <f t="shared" si="240"/>
        <v>733-744</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t="s">
        <v>500</v>
      </c>
      <c r="D595" s="102"/>
      <c r="E595" s="32">
        <v>12</v>
      </c>
      <c r="F595" s="32"/>
      <c r="G595" s="68" t="s">
        <v>277</v>
      </c>
      <c r="H595" s="69">
        <f t="shared" si="247"/>
        <v>721</v>
      </c>
      <c r="I595" s="70">
        <f t="shared" si="248"/>
        <v>732</v>
      </c>
      <c r="J595" s="73" t="str">
        <f t="shared" si="249"/>
        <v>--</v>
      </c>
      <c r="K595" s="32"/>
      <c r="L595" s="233"/>
      <c r="M595" s="296" t="s">
        <v>419</v>
      </c>
      <c r="N595" s="296"/>
      <c r="O595" s="296"/>
      <c r="P595" s="296"/>
      <c r="Q595" s="296"/>
      <c r="R595" s="296"/>
      <c r="S595" s="296"/>
      <c r="T595" s="296"/>
      <c r="U595" s="297"/>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721-732</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Y</v>
      </c>
      <c r="AQ595" s="109" t="str">
        <f t="shared" si="246"/>
        <v/>
      </c>
      <c r="BA595" s="229">
        <f>MOD(SUM(E591:E596),12)</f>
        <v>0</v>
      </c>
    </row>
    <row r="596" spans="1:53" ht="15.75" thickBot="1" x14ac:dyDescent="0.3">
      <c r="A596" s="88"/>
      <c r="B596" s="66" t="s">
        <v>283</v>
      </c>
      <c r="C596" s="67" t="s">
        <v>500</v>
      </c>
      <c r="D596" s="102"/>
      <c r="E596" s="32">
        <v>12</v>
      </c>
      <c r="F596" s="32"/>
      <c r="G596" s="68" t="s">
        <v>277</v>
      </c>
      <c r="H596" s="69">
        <f t="shared" si="247"/>
        <v>709</v>
      </c>
      <c r="I596" s="70">
        <f t="shared" si="248"/>
        <v>720</v>
      </c>
      <c r="J596" s="73" t="str">
        <f t="shared" si="249"/>
        <v>--</v>
      </c>
      <c r="K596" s="32"/>
      <c r="L596" s="233"/>
      <c r="M596" s="296" t="s">
        <v>419</v>
      </c>
      <c r="N596" s="296"/>
      <c r="O596" s="296"/>
      <c r="P596" s="296"/>
      <c r="Q596" s="296"/>
      <c r="R596" s="296"/>
      <c r="S596" s="296"/>
      <c r="T596" s="296"/>
      <c r="U596" s="297"/>
      <c r="V596" s="103"/>
      <c r="W596" s="72"/>
      <c r="X596" s="72"/>
      <c r="Y596" s="72"/>
      <c r="Z596" s="45">
        <v>14</v>
      </c>
      <c r="AA596" s="77">
        <f t="shared" si="250"/>
        <v>157</v>
      </c>
      <c r="AB596" s="77">
        <f t="shared" si="251"/>
        <v>168</v>
      </c>
      <c r="AC596" s="72">
        <f t="shared" si="238"/>
        <v>1</v>
      </c>
      <c r="AD596" s="72">
        <f t="shared" si="239"/>
        <v>1</v>
      </c>
      <c r="AE596" s="109" t="str">
        <f t="shared" si="240"/>
        <v>709-720</v>
      </c>
      <c r="AF596" s="109" t="str">
        <f t="shared" si="241"/>
        <v>Y</v>
      </c>
      <c r="AG596" s="109" t="str">
        <f t="shared" si="242"/>
        <v>B</v>
      </c>
      <c r="AM596" s="109">
        <f t="shared" si="243"/>
        <v>0</v>
      </c>
      <c r="AN596" s="109">
        <f t="shared" si="244"/>
        <v>0</v>
      </c>
      <c r="AO596" s="109" t="str">
        <f t="shared" si="245"/>
        <v>Y</v>
      </c>
      <c r="AQ596" s="109" t="str">
        <f t="shared" si="246"/>
        <v/>
      </c>
      <c r="BA596" s="229">
        <f>MOD(SUM(E591:E597),12)</f>
        <v>0</v>
      </c>
    </row>
    <row r="597" spans="1:53" ht="15.75" thickBot="1" x14ac:dyDescent="0.3">
      <c r="A597" s="88"/>
      <c r="B597" s="66" t="s">
        <v>284</v>
      </c>
      <c r="C597" s="67" t="s">
        <v>500</v>
      </c>
      <c r="D597" s="102"/>
      <c r="E597" s="32">
        <v>12</v>
      </c>
      <c r="F597" s="32"/>
      <c r="G597" s="68" t="s">
        <v>277</v>
      </c>
      <c r="H597" s="69">
        <f t="shared" si="247"/>
        <v>697</v>
      </c>
      <c r="I597" s="70">
        <f t="shared" si="248"/>
        <v>708</v>
      </c>
      <c r="J597" s="73" t="str">
        <f t="shared" si="249"/>
        <v>--</v>
      </c>
      <c r="K597" s="32"/>
      <c r="L597" s="233"/>
      <c r="M597" s="296" t="s">
        <v>761</v>
      </c>
      <c r="N597" s="296"/>
      <c r="O597" s="296"/>
      <c r="P597" s="296"/>
      <c r="Q597" s="296"/>
      <c r="R597" s="296"/>
      <c r="S597" s="296"/>
      <c r="T597" s="296"/>
      <c r="U597" s="297"/>
      <c r="V597" s="103"/>
      <c r="W597" s="72"/>
      <c r="X597" s="72"/>
      <c r="Y597" s="72"/>
      <c r="Z597" s="45">
        <v>15</v>
      </c>
      <c r="AA597" s="77">
        <f t="shared" si="250"/>
        <v>169</v>
      </c>
      <c r="AB597" s="77">
        <f t="shared" si="251"/>
        <v>180</v>
      </c>
      <c r="AC597" s="72">
        <f t="shared" si="238"/>
        <v>1</v>
      </c>
      <c r="AD597" s="72">
        <f t="shared" si="239"/>
        <v>1</v>
      </c>
      <c r="AE597" s="109" t="str">
        <f t="shared" si="240"/>
        <v>697-708</v>
      </c>
      <c r="AF597" s="109" t="str">
        <f t="shared" si="241"/>
        <v>Y</v>
      </c>
      <c r="AG597" s="109" t="str">
        <f t="shared" si="242"/>
        <v>B</v>
      </c>
      <c r="AM597" s="109">
        <f t="shared" si="243"/>
        <v>0</v>
      </c>
      <c r="AN597" s="109">
        <f t="shared" si="244"/>
        <v>0</v>
      </c>
      <c r="AO597" s="109" t="str">
        <f t="shared" si="245"/>
        <v>Y</v>
      </c>
      <c r="AQ597" s="109" t="str">
        <f t="shared" si="246"/>
        <v/>
      </c>
      <c r="BA597" s="229">
        <f>MOD(SUM(E591:E598),12)</f>
        <v>0</v>
      </c>
    </row>
    <row r="598" spans="1:53" ht="15.75" thickBot="1" x14ac:dyDescent="0.3">
      <c r="A598" s="88"/>
      <c r="B598" s="66" t="s">
        <v>285</v>
      </c>
      <c r="C598" s="67" t="s">
        <v>484</v>
      </c>
      <c r="D598" s="102" t="s">
        <v>763</v>
      </c>
      <c r="E598" s="32">
        <v>12</v>
      </c>
      <c r="F598" s="32" t="s">
        <v>483</v>
      </c>
      <c r="G598" s="68" t="s">
        <v>277</v>
      </c>
      <c r="H598" s="69">
        <f t="shared" si="247"/>
        <v>685</v>
      </c>
      <c r="I598" s="70">
        <f t="shared" si="248"/>
        <v>696</v>
      </c>
      <c r="J598" s="73" t="str">
        <f t="shared" si="249"/>
        <v>--</v>
      </c>
      <c r="K598" s="32"/>
      <c r="L598" s="233"/>
      <c r="M598" s="296" t="s">
        <v>765</v>
      </c>
      <c r="N598" s="296"/>
      <c r="O598" s="296"/>
      <c r="P598" s="296"/>
      <c r="Q598" s="296"/>
      <c r="R598" s="296"/>
      <c r="S598" s="296"/>
      <c r="T598" s="296"/>
      <c r="U598" s="297"/>
      <c r="V598" s="103"/>
      <c r="W598" s="72"/>
      <c r="X598" s="72"/>
      <c r="Y598" s="72"/>
      <c r="Z598" s="45">
        <f>Z597+1</f>
        <v>16</v>
      </c>
      <c r="AA598" s="77">
        <f t="shared" si="250"/>
        <v>181</v>
      </c>
      <c r="AB598" s="77">
        <f t="shared" si="251"/>
        <v>192</v>
      </c>
      <c r="AC598" s="72">
        <f t="shared" si="238"/>
        <v>1</v>
      </c>
      <c r="AD598" s="72">
        <f t="shared" si="239"/>
        <v>0</v>
      </c>
      <c r="AE598" s="109" t="str">
        <f t="shared" si="240"/>
        <v>685-696</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502</v>
      </c>
      <c r="D599" s="102"/>
      <c r="E599" s="32">
        <v>12</v>
      </c>
      <c r="F599" s="32"/>
      <c r="G599" s="68" t="s">
        <v>277</v>
      </c>
      <c r="H599" s="69">
        <f t="shared" si="247"/>
        <v>673</v>
      </c>
      <c r="I599" s="70">
        <f t="shared" si="248"/>
        <v>684</v>
      </c>
      <c r="J599" s="73" t="str">
        <f t="shared" si="249"/>
        <v>--</v>
      </c>
      <c r="K599" s="32"/>
      <c r="L599" s="233"/>
      <c r="M599" s="296" t="s">
        <v>421</v>
      </c>
      <c r="N599" s="296"/>
      <c r="O599" s="296"/>
      <c r="P599" s="296"/>
      <c r="Q599" s="296"/>
      <c r="R599" s="296"/>
      <c r="S599" s="296"/>
      <c r="T599" s="296"/>
      <c r="U599" s="297"/>
      <c r="V599" s="103"/>
      <c r="W599" s="72"/>
      <c r="X599" s="72"/>
      <c r="Y599" s="72"/>
      <c r="Z599" s="45">
        <f>Z598+1</f>
        <v>17</v>
      </c>
      <c r="AA599" s="77">
        <f t="shared" si="250"/>
        <v>193</v>
      </c>
      <c r="AB599" s="77">
        <f t="shared" si="251"/>
        <v>204</v>
      </c>
      <c r="AC599" s="72">
        <f t="shared" si="238"/>
        <v>1</v>
      </c>
      <c r="AD599" s="72">
        <f t="shared" si="239"/>
        <v>1</v>
      </c>
      <c r="AE599" s="109" t="str">
        <f t="shared" si="240"/>
        <v>673-684</v>
      </c>
      <c r="AF599" s="109" t="str">
        <f t="shared" si="241"/>
        <v>N</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6"/>
      <c r="N600" s="296"/>
      <c r="O600" s="296"/>
      <c r="P600" s="296"/>
      <c r="Q600" s="296"/>
      <c r="R600" s="296"/>
      <c r="S600" s="296"/>
      <c r="T600" s="296"/>
      <c r="U600" s="297"/>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6"/>
      <c r="N601" s="296"/>
      <c r="O601" s="296"/>
      <c r="P601" s="296"/>
      <c r="Q601" s="296"/>
      <c r="R601" s="296"/>
      <c r="S601" s="296"/>
      <c r="T601" s="296"/>
      <c r="U601" s="297"/>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6"/>
      <c r="N602" s="296"/>
      <c r="O602" s="296"/>
      <c r="P602" s="296"/>
      <c r="Q602" s="296"/>
      <c r="R602" s="296"/>
      <c r="S602" s="296"/>
      <c r="T602" s="296"/>
      <c r="U602" s="297"/>
      <c r="V602" s="103"/>
      <c r="W602" s="84">
        <f>Y602+1</f>
        <v>109</v>
      </c>
      <c r="X602" s="84"/>
      <c r="Y602" s="78">
        <f>SUM(E591:E602)</f>
        <v>108</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6"/>
      <c r="N603" s="296"/>
      <c r="O603" s="296"/>
      <c r="P603" s="296"/>
      <c r="Q603" s="296"/>
      <c r="R603" s="296"/>
      <c r="S603" s="296"/>
      <c r="T603" s="296"/>
      <c r="U603" s="297"/>
      <c r="V603" s="103"/>
      <c r="W603" s="84">
        <f>Y603+1</f>
        <v>109</v>
      </c>
      <c r="X603" s="84"/>
      <c r="Y603" s="78">
        <f>SUM(E591:E603)</f>
        <v>108</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6"/>
      <c r="N604" s="296"/>
      <c r="O604" s="296"/>
      <c r="P604" s="296"/>
      <c r="Q604" s="296"/>
      <c r="R604" s="296"/>
      <c r="S604" s="296"/>
      <c r="T604" s="296"/>
      <c r="U604" s="297"/>
      <c r="V604" s="103"/>
      <c r="W604" s="84">
        <f>Y604+1</f>
        <v>109</v>
      </c>
      <c r="X604" s="84"/>
      <c r="Y604" s="78">
        <f>SUM(E591:E604)</f>
        <v>108</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6"/>
      <c r="N605" s="296"/>
      <c r="O605" s="296"/>
      <c r="P605" s="296"/>
      <c r="Q605" s="296"/>
      <c r="R605" s="296"/>
      <c r="S605" s="296"/>
      <c r="T605" s="296"/>
      <c r="U605" s="297"/>
      <c r="V605" s="103"/>
      <c r="W605" s="84">
        <f>Y605+1</f>
        <v>109</v>
      </c>
      <c r="X605" s="84"/>
      <c r="Y605" s="78">
        <f>SUM(E591:E605)</f>
        <v>108</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6"/>
      <c r="N606" s="296"/>
      <c r="O606" s="296"/>
      <c r="P606" s="296"/>
      <c r="Q606" s="296"/>
      <c r="R606" s="296"/>
      <c r="S606" s="296"/>
      <c r="T606" s="296"/>
      <c r="U606" s="297"/>
      <c r="V606" s="103"/>
      <c r="W606" s="84">
        <f t="shared" ref="W606:W614" si="254">Y606+1</f>
        <v>109</v>
      </c>
      <c r="X606" s="84"/>
      <c r="Y606" s="78">
        <f>SUM(E591:E606)</f>
        <v>108</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6"/>
      <c r="N607" s="296"/>
      <c r="O607" s="296"/>
      <c r="P607" s="296"/>
      <c r="Q607" s="296"/>
      <c r="R607" s="296"/>
      <c r="S607" s="296"/>
      <c r="T607" s="296"/>
      <c r="U607" s="297"/>
      <c r="V607" s="103"/>
      <c r="W607" s="84">
        <f t="shared" si="254"/>
        <v>109</v>
      </c>
      <c r="X607" s="84"/>
      <c r="Y607" s="78">
        <f>SUM(E591:E607)</f>
        <v>108</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6"/>
      <c r="N608" s="296"/>
      <c r="O608" s="296"/>
      <c r="P608" s="296"/>
      <c r="Q608" s="296"/>
      <c r="R608" s="296"/>
      <c r="S608" s="296"/>
      <c r="T608" s="296"/>
      <c r="U608" s="297"/>
      <c r="V608" s="103"/>
      <c r="W608" s="84">
        <f t="shared" si="254"/>
        <v>109</v>
      </c>
      <c r="X608" s="84"/>
      <c r="Y608" s="78">
        <f>SUM(E591:E608)</f>
        <v>108</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6"/>
      <c r="N609" s="296"/>
      <c r="O609" s="296"/>
      <c r="P609" s="296"/>
      <c r="Q609" s="296"/>
      <c r="R609" s="296"/>
      <c r="S609" s="296"/>
      <c r="T609" s="296"/>
      <c r="U609" s="297"/>
      <c r="V609" s="103"/>
      <c r="W609" s="84">
        <f t="shared" si="254"/>
        <v>109</v>
      </c>
      <c r="X609" s="84"/>
      <c r="Y609" s="78">
        <f>SUM(E591:E609)</f>
        <v>108</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6"/>
      <c r="N610" s="296"/>
      <c r="O610" s="296"/>
      <c r="P610" s="296"/>
      <c r="Q610" s="296"/>
      <c r="R610" s="296"/>
      <c r="S610" s="296"/>
      <c r="T610" s="296"/>
      <c r="U610" s="297"/>
      <c r="V610" s="103"/>
      <c r="W610" s="84">
        <f t="shared" si="254"/>
        <v>109</v>
      </c>
      <c r="X610" s="84"/>
      <c r="Y610" s="78">
        <f>SUM(E591:E610)</f>
        <v>108</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6"/>
      <c r="N611" s="296"/>
      <c r="O611" s="296"/>
      <c r="P611" s="296"/>
      <c r="Q611" s="296"/>
      <c r="R611" s="296"/>
      <c r="S611" s="296"/>
      <c r="T611" s="296"/>
      <c r="U611" s="297"/>
      <c r="V611" s="103"/>
      <c r="W611" s="84">
        <f t="shared" si="254"/>
        <v>109</v>
      </c>
      <c r="X611" s="84"/>
      <c r="Y611" s="78">
        <f>SUM(E591:E611)</f>
        <v>108</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6"/>
      <c r="N612" s="296"/>
      <c r="O612" s="296"/>
      <c r="P612" s="296"/>
      <c r="Q612" s="296"/>
      <c r="R612" s="296"/>
      <c r="S612" s="296"/>
      <c r="T612" s="296"/>
      <c r="U612" s="297"/>
      <c r="V612" s="103"/>
      <c r="W612" s="84">
        <f t="shared" si="254"/>
        <v>109</v>
      </c>
      <c r="X612" s="84"/>
      <c r="Y612" s="78">
        <f>SUM(E591:E612)</f>
        <v>108</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6"/>
      <c r="N613" s="296"/>
      <c r="O613" s="296"/>
      <c r="P613" s="296"/>
      <c r="Q613" s="296"/>
      <c r="R613" s="296"/>
      <c r="S613" s="296"/>
      <c r="T613" s="296"/>
      <c r="U613" s="297"/>
      <c r="V613" s="103"/>
      <c r="W613" s="84">
        <f t="shared" si="254"/>
        <v>109</v>
      </c>
      <c r="X613" s="84"/>
      <c r="Y613" s="78">
        <f>SUM(E591:E613)</f>
        <v>108</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6"/>
      <c r="N614" s="296"/>
      <c r="O614" s="296"/>
      <c r="P614" s="296"/>
      <c r="Q614" s="296"/>
      <c r="R614" s="296"/>
      <c r="S614" s="296"/>
      <c r="T614" s="296"/>
      <c r="U614" s="297"/>
      <c r="V614" s="103"/>
      <c r="W614" s="84">
        <f t="shared" si="254"/>
        <v>109</v>
      </c>
      <c r="X614" s="84"/>
      <c r="Y614" s="78">
        <f>SUM(E591:E614)</f>
        <v>108</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6"/>
      <c r="N615" s="296"/>
      <c r="O615" s="296"/>
      <c r="P615" s="296"/>
      <c r="Q615" s="296"/>
      <c r="R615" s="296"/>
      <c r="S615" s="296"/>
      <c r="T615" s="296"/>
      <c r="U615" s="297"/>
      <c r="V615" s="103"/>
      <c r="W615" s="72"/>
      <c r="X615" s="72"/>
      <c r="Y615" s="78">
        <f>SUM(E591:E615)</f>
        <v>108</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2" t="s">
        <v>333</v>
      </c>
      <c r="C616" s="284"/>
      <c r="D616" s="79"/>
      <c r="E616" s="80"/>
      <c r="F616" s="80"/>
      <c r="G616" s="81"/>
      <c r="H616" s="192"/>
      <c r="I616" s="192"/>
      <c r="J616" s="192"/>
      <c r="K616" s="82"/>
      <c r="L616" s="282" t="s">
        <v>306</v>
      </c>
      <c r="M616" s="283"/>
      <c r="N616" s="283"/>
      <c r="O616" s="283"/>
      <c r="P616" s="283"/>
      <c r="Q616" s="283"/>
      <c r="R616" s="283"/>
      <c r="S616" s="283"/>
      <c r="T616" s="283"/>
      <c r="U616" s="284"/>
      <c r="V616" s="104"/>
      <c r="W616" s="72"/>
      <c r="X616" s="72"/>
      <c r="Y616" s="72"/>
      <c r="Z616" s="72"/>
      <c r="AA616" s="72" t="str">
        <f t="shared" si="253"/>
        <v/>
      </c>
      <c r="AB616" s="72"/>
      <c r="AC616" s="72">
        <f>SUM(AC591:AC615)</f>
        <v>25</v>
      </c>
      <c r="AD616" s="72">
        <f>SUM(AD591:AD615)</f>
        <v>20</v>
      </c>
      <c r="AM616" s="109">
        <f>SUM(AM591:AM615)</f>
        <v>0</v>
      </c>
      <c r="AN616" s="109">
        <f>SUM(AN591:AN615)</f>
        <v>0</v>
      </c>
      <c r="AO616" s="109">
        <f>((COUNTIF(AO591:AO615,"Y")/3)*2)</f>
        <v>2</v>
      </c>
      <c r="AP616" s="109">
        <f>(COUNTIF(AO591:AO615,"Y")/3)</f>
        <v>1</v>
      </c>
      <c r="AQ616" s="109">
        <f>(COUNTIF(AQ591:AQ615,"Y")/2)</f>
        <v>0</v>
      </c>
      <c r="AR616" s="109">
        <f>(COUNTIF(AQ591:AQ615,"Y")/2)</f>
        <v>0</v>
      </c>
      <c r="BA616" s="228"/>
    </row>
    <row r="617" spans="1:53" ht="16.5" thickBot="1" x14ac:dyDescent="0.3">
      <c r="A617" s="88"/>
      <c r="B617" s="282" t="s">
        <v>307</v>
      </c>
      <c r="C617" s="284"/>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5" t="s">
        <v>222</v>
      </c>
      <c r="C621" s="286"/>
      <c r="D621" s="287" t="s">
        <v>223</v>
      </c>
      <c r="E621" s="288"/>
      <c r="F621" s="88"/>
      <c r="G621" s="289" t="s">
        <v>224</v>
      </c>
      <c r="H621" s="290"/>
      <c r="I621" s="28">
        <f>SUM(E632:E656)</f>
        <v>12</v>
      </c>
      <c r="J621" s="291" t="s">
        <v>225</v>
      </c>
      <c r="K621" s="292"/>
      <c r="L621" s="288"/>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8" t="s">
        <v>226</v>
      </c>
      <c r="AA621" s="299"/>
      <c r="AB621" s="300"/>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1" t="s">
        <v>230</v>
      </c>
      <c r="H622" s="288"/>
      <c r="I622" s="33">
        <f>E623-I621</f>
        <v>12</v>
      </c>
      <c r="J622" s="302" t="s">
        <v>231</v>
      </c>
      <c r="K622" s="303"/>
      <c r="L622" s="34">
        <f>I626</f>
        <v>805</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304" t="s">
        <v>232</v>
      </c>
      <c r="AA622" s="306" t="s">
        <v>233</v>
      </c>
      <c r="AB622" s="307"/>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310" t="s">
        <v>237</v>
      </c>
      <c r="H623" s="311"/>
      <c r="I623" s="35">
        <f>IF(E623=0,0,12-(MOD(I621,12)))</f>
        <v>12</v>
      </c>
      <c r="J623" s="302" t="s">
        <v>238</v>
      </c>
      <c r="K623" s="303"/>
      <c r="L623" s="39">
        <f>I627-I621</f>
        <v>804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5"/>
      <c r="AA623" s="308"/>
      <c r="AB623" s="309"/>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78" t="s">
        <v>242</v>
      </c>
      <c r="H624" s="43" t="s">
        <v>243</v>
      </c>
      <c r="I624" s="35">
        <f>IF(E624&lt;&gt;0,1,0)</f>
        <v>1</v>
      </c>
      <c r="J624" s="310" t="s">
        <v>244</v>
      </c>
      <c r="K624" s="311"/>
      <c r="L624" s="44">
        <f>'Cable Calculator'!CA3</f>
        <v>376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805</v>
      </c>
      <c r="F625" s="88"/>
      <c r="G625" s="279"/>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278" t="s">
        <v>251</v>
      </c>
      <c r="H626" s="51" t="s">
        <v>252</v>
      </c>
      <c r="I626" s="112">
        <f>E625</f>
        <v>805</v>
      </c>
      <c r="J626" s="312" t="s">
        <v>253</v>
      </c>
      <c r="K626" s="313"/>
      <c r="L626" s="31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279"/>
      <c r="H627" s="47" t="s">
        <v>257</v>
      </c>
      <c r="I627" s="35">
        <f>IF(E625="","0",IF(AND(E622="EUC",E623=432), I626+(203-E624),IF(E625=0,0,(E625+(E623-E624)-1))))</f>
        <v>816</v>
      </c>
      <c r="J627" s="293" t="str">
        <f>IFERROR(IF(OR(E622="EUC",E622="SS"),"---",IF(OR(P621,S621),"NO 2F Tethers for RPX!",IF(OR(P623,S623),"NO 6F Tethers for RPX!","---"))),"---")</f>
        <v>---</v>
      </c>
      <c r="K627" s="294"/>
      <c r="L627" s="295"/>
      <c r="M627" s="293" t="str">
        <f>IF(E624&gt;60,"Dead Count &gt;60: Consider Downsize","---")</f>
        <v>---</v>
      </c>
      <c r="N627" s="294"/>
      <c r="O627" s="294"/>
      <c r="P627" s="294"/>
      <c r="Q627" s="294"/>
      <c r="R627" s="294"/>
      <c r="S627" s="294"/>
      <c r="T627" s="294"/>
      <c r="U627" s="295"/>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93"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4"/>
      <c r="L628" s="295"/>
      <c r="M628" s="293" t="str">
        <f>IF(AND(OR(E622="SS",E622="RPX",E622="EUC",E622="RPX-T"),(OR(C632="",C632="Field SPL"))),"Cannot have FlexNap cables without tethers","---")</f>
        <v>---</v>
      </c>
      <c r="N628" s="294"/>
      <c r="O628" s="294"/>
      <c r="P628" s="294"/>
      <c r="Q628" s="294"/>
      <c r="R628" s="294"/>
      <c r="S628" s="294"/>
      <c r="T628" s="294"/>
      <c r="U628" s="295"/>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3" t="str">
        <f>IF(AND(OR(E622="RPX", E622="RPX-T", E622="SS"),E623=216),"NO 216 For RPX, RPX-T, OR SS CABLE","---")</f>
        <v>---</v>
      </c>
      <c r="K629" s="294"/>
      <c r="L629" s="295"/>
      <c r="M629" s="293" t="str" cm="1">
        <f t="array" ref="M629">IF(AND(E622="",OR(C632:C656="FST",C632:C656="REV T",C632:C656="DBL REV",C632:C656="TPL REV", C632:C656="QD REV")),"Non-FlexNap cables cannot have tethers","---")</f>
        <v>---</v>
      </c>
      <c r="N629" s="294"/>
      <c r="O629" s="294"/>
      <c r="P629" s="294"/>
      <c r="Q629" s="294"/>
      <c r="R629" s="294"/>
      <c r="S629" s="294"/>
      <c r="T629" s="294"/>
      <c r="U629" s="295"/>
      <c r="V629" s="25"/>
      <c r="W629" s="58"/>
      <c r="X629" s="58"/>
      <c r="Y629" s="25"/>
      <c r="Z629" s="45">
        <v>6</v>
      </c>
      <c r="AA629" s="65">
        <v>61</v>
      </c>
      <c r="AB629" s="65">
        <v>72</v>
      </c>
      <c r="AC629" s="25"/>
      <c r="AD629" s="25"/>
      <c r="BA629" s="226"/>
    </row>
    <row r="630" spans="1:53" ht="15.75" customHeight="1" thickBot="1" x14ac:dyDescent="0.3">
      <c r="A630" s="88"/>
      <c r="B630" s="278" t="s">
        <v>260</v>
      </c>
      <c r="C630" s="315" t="s">
        <v>261</v>
      </c>
      <c r="D630" s="315" t="s">
        <v>262</v>
      </c>
      <c r="E630" s="317" t="s">
        <v>263</v>
      </c>
      <c r="F630" s="315" t="s">
        <v>264</v>
      </c>
      <c r="G630" s="280" t="s">
        <v>265</v>
      </c>
      <c r="H630" s="280" t="s">
        <v>266</v>
      </c>
      <c r="I630" s="280" t="s">
        <v>267</v>
      </c>
      <c r="J630" s="319" t="s">
        <v>268</v>
      </c>
      <c r="K630" s="315" t="s">
        <v>269</v>
      </c>
      <c r="L630" s="321" t="s">
        <v>270</v>
      </c>
      <c r="M630" s="323" t="s">
        <v>271</v>
      </c>
      <c r="N630" s="323"/>
      <c r="O630" s="323"/>
      <c r="P630" s="323"/>
      <c r="Q630" s="323"/>
      <c r="R630" s="323"/>
      <c r="S630" s="323"/>
      <c r="T630" s="323"/>
      <c r="U630" s="324"/>
      <c r="V630" s="107"/>
      <c r="W630" s="72"/>
      <c r="X630" s="72"/>
      <c r="Y630" s="72"/>
      <c r="Z630" s="45">
        <v>7</v>
      </c>
      <c r="AA630" s="65">
        <v>73</v>
      </c>
      <c r="AB630" s="65">
        <v>84</v>
      </c>
      <c r="AC630" s="25"/>
      <c r="AD630" s="25"/>
      <c r="BA630" s="228"/>
    </row>
    <row r="631" spans="1:53" ht="15.75" thickBot="1" x14ac:dyDescent="0.3">
      <c r="A631" s="88"/>
      <c r="B631" s="279"/>
      <c r="C631" s="316"/>
      <c r="D631" s="316"/>
      <c r="E631" s="318"/>
      <c r="F631" s="316"/>
      <c r="G631" s="281"/>
      <c r="H631" s="281"/>
      <c r="I631" s="281"/>
      <c r="J631" s="320"/>
      <c r="K631" s="316"/>
      <c r="L631" s="322"/>
      <c r="M631" s="325"/>
      <c r="N631" s="325"/>
      <c r="O631" s="325"/>
      <c r="P631" s="325"/>
      <c r="Q631" s="325"/>
      <c r="R631" s="325"/>
      <c r="S631" s="325"/>
      <c r="T631" s="325"/>
      <c r="U631" s="326"/>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754</v>
      </c>
      <c r="E632" s="32">
        <v>4</v>
      </c>
      <c r="F632" s="32" t="s">
        <v>488</v>
      </c>
      <c r="G632" s="68" t="s">
        <v>277</v>
      </c>
      <c r="H632" s="69">
        <f>IF(I632=0,0,I632-(E632-1))</f>
        <v>813</v>
      </c>
      <c r="I632" s="70">
        <f>IF(E632=0,0,I627)</f>
        <v>816</v>
      </c>
      <c r="J632" s="71" t="s">
        <v>278</v>
      </c>
      <c r="K632" s="32"/>
      <c r="L632" s="233"/>
      <c r="M632" s="296"/>
      <c r="N632" s="296"/>
      <c r="O632" s="296"/>
      <c r="P632" s="296"/>
      <c r="Q632" s="296"/>
      <c r="R632" s="296"/>
      <c r="S632" s="296"/>
      <c r="T632" s="296"/>
      <c r="U632" s="297"/>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813-816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755</v>
      </c>
      <c r="E633" s="32">
        <v>4</v>
      </c>
      <c r="F633" s="32" t="s">
        <v>488</v>
      </c>
      <c r="G633" s="68" t="s">
        <v>277</v>
      </c>
      <c r="H633" s="69">
        <f t="shared" ref="H633:H656" si="264">IF(E633=0,0,I633-(E633-1))</f>
        <v>809</v>
      </c>
      <c r="I633" s="70">
        <f t="shared" ref="I633:I656" si="265">IF(E633=0,0,H632-1)</f>
        <v>812</v>
      </c>
      <c r="J633" s="73" t="str">
        <f>IF(C633="","--",IF(AND(C633&lt;&gt;"FST",C633&lt;&gt;"TCF",BA632&lt;&gt;0),BA632,"--"))</f>
        <v>--</v>
      </c>
      <c r="K633" s="32"/>
      <c r="L633" s="233"/>
      <c r="M633" s="296"/>
      <c r="N633" s="296"/>
      <c r="O633" s="296"/>
      <c r="P633" s="296"/>
      <c r="Q633" s="296"/>
      <c r="R633" s="296"/>
      <c r="S633" s="296"/>
      <c r="T633" s="296"/>
      <c r="U633" s="297"/>
      <c r="V633" s="103"/>
      <c r="W633" s="72"/>
      <c r="X633" s="72"/>
      <c r="Y633" s="72"/>
      <c r="Z633" s="45">
        <v>10</v>
      </c>
      <c r="AA633" s="46">
        <v>109</v>
      </c>
      <c r="AB633" s="46">
        <v>120</v>
      </c>
      <c r="AC633" s="72">
        <f t="shared" si="255"/>
        <v>1</v>
      </c>
      <c r="AD633" s="72">
        <f t="shared" si="256"/>
        <v>0</v>
      </c>
      <c r="AE633" s="109" t="str">
        <f t="shared" si="257"/>
        <v>809-812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756</v>
      </c>
      <c r="E634" s="32">
        <v>4</v>
      </c>
      <c r="F634" s="32" t="s">
        <v>488</v>
      </c>
      <c r="G634" s="75" t="s">
        <v>277</v>
      </c>
      <c r="H634" s="69">
        <f t="shared" si="264"/>
        <v>805</v>
      </c>
      <c r="I634" s="70">
        <f t="shared" si="265"/>
        <v>808</v>
      </c>
      <c r="J634" s="73" t="str">
        <f t="shared" ref="J634:J656" si="266">IF(C634="","--",IF(AND(C634&lt;&gt;"FST",C634&lt;&gt;"TCF",BA633&lt;&gt;0),BA633,"--"))</f>
        <v>--</v>
      </c>
      <c r="K634" s="32"/>
      <c r="L634" s="233"/>
      <c r="M634" s="296"/>
      <c r="N634" s="296"/>
      <c r="O634" s="296"/>
      <c r="P634" s="296"/>
      <c r="Q634" s="296"/>
      <c r="R634" s="296"/>
      <c r="S634" s="296"/>
      <c r="T634" s="296"/>
      <c r="U634" s="297"/>
      <c r="V634" s="103"/>
      <c r="W634" s="72"/>
      <c r="X634" s="72"/>
      <c r="Y634" s="72"/>
      <c r="Z634" s="45">
        <v>11</v>
      </c>
      <c r="AA634" s="46">
        <v>121</v>
      </c>
      <c r="AB634" s="46">
        <v>132</v>
      </c>
      <c r="AC634" s="72">
        <f t="shared" si="255"/>
        <v>1</v>
      </c>
      <c r="AD634" s="72">
        <f t="shared" si="256"/>
        <v>0</v>
      </c>
      <c r="AE634" s="109" t="str">
        <f t="shared" si="257"/>
        <v>805-808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6"/>
      <c r="N635" s="296"/>
      <c r="O635" s="296"/>
      <c r="P635" s="296"/>
      <c r="Q635" s="296"/>
      <c r="R635" s="296"/>
      <c r="S635" s="296"/>
      <c r="T635" s="296"/>
      <c r="U635" s="297"/>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6"/>
      <c r="N636" s="296"/>
      <c r="O636" s="296"/>
      <c r="P636" s="296"/>
      <c r="Q636" s="296"/>
      <c r="R636" s="296"/>
      <c r="S636" s="296"/>
      <c r="T636" s="296"/>
      <c r="U636" s="297"/>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6"/>
      <c r="N637" s="296"/>
      <c r="O637" s="296"/>
      <c r="P637" s="296"/>
      <c r="Q637" s="296"/>
      <c r="R637" s="296"/>
      <c r="S637" s="296"/>
      <c r="T637" s="296"/>
      <c r="U637" s="297"/>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6"/>
      <c r="N638" s="296"/>
      <c r="O638" s="296"/>
      <c r="P638" s="296"/>
      <c r="Q638" s="296"/>
      <c r="R638" s="296"/>
      <c r="S638" s="296"/>
      <c r="T638" s="296"/>
      <c r="U638" s="297"/>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6"/>
      <c r="N639" s="296"/>
      <c r="O639" s="296"/>
      <c r="P639" s="296"/>
      <c r="Q639" s="296"/>
      <c r="R639" s="296"/>
      <c r="S639" s="296"/>
      <c r="T639" s="296"/>
      <c r="U639" s="297"/>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6"/>
      <c r="N640" s="296"/>
      <c r="O640" s="296"/>
      <c r="P640" s="296"/>
      <c r="Q640" s="296"/>
      <c r="R640" s="296"/>
      <c r="S640" s="296"/>
      <c r="T640" s="296"/>
      <c r="U640" s="297"/>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6"/>
      <c r="N641" s="296"/>
      <c r="O641" s="296"/>
      <c r="P641" s="296"/>
      <c r="Q641" s="296"/>
      <c r="R641" s="296"/>
      <c r="S641" s="296"/>
      <c r="T641" s="296"/>
      <c r="U641" s="297"/>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6"/>
      <c r="N642" s="296"/>
      <c r="O642" s="296"/>
      <c r="P642" s="296"/>
      <c r="Q642" s="296"/>
      <c r="R642" s="296"/>
      <c r="S642" s="296"/>
      <c r="T642" s="296"/>
      <c r="U642" s="297"/>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6"/>
      <c r="N643" s="296"/>
      <c r="O643" s="296"/>
      <c r="P643" s="296"/>
      <c r="Q643" s="296"/>
      <c r="R643" s="296"/>
      <c r="S643" s="296"/>
      <c r="T643" s="296"/>
      <c r="U643" s="297"/>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6"/>
      <c r="N644" s="296"/>
      <c r="O644" s="296"/>
      <c r="P644" s="296"/>
      <c r="Q644" s="296"/>
      <c r="R644" s="296"/>
      <c r="S644" s="296"/>
      <c r="T644" s="296"/>
      <c r="U644" s="297"/>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6"/>
      <c r="N645" s="296"/>
      <c r="O645" s="296"/>
      <c r="P645" s="296"/>
      <c r="Q645" s="296"/>
      <c r="R645" s="296"/>
      <c r="S645" s="296"/>
      <c r="T645" s="296"/>
      <c r="U645" s="297"/>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6"/>
      <c r="N646" s="296"/>
      <c r="O646" s="296"/>
      <c r="P646" s="296"/>
      <c r="Q646" s="296"/>
      <c r="R646" s="296"/>
      <c r="S646" s="296"/>
      <c r="T646" s="296"/>
      <c r="U646" s="297"/>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6"/>
      <c r="N647" s="296"/>
      <c r="O647" s="296"/>
      <c r="P647" s="296"/>
      <c r="Q647" s="296"/>
      <c r="R647" s="296"/>
      <c r="S647" s="296"/>
      <c r="T647" s="296"/>
      <c r="U647" s="297"/>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6"/>
      <c r="N648" s="296"/>
      <c r="O648" s="296"/>
      <c r="P648" s="296"/>
      <c r="Q648" s="296"/>
      <c r="R648" s="296"/>
      <c r="S648" s="296"/>
      <c r="T648" s="296"/>
      <c r="U648" s="297"/>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6"/>
      <c r="N649" s="296"/>
      <c r="O649" s="296"/>
      <c r="P649" s="296"/>
      <c r="Q649" s="296"/>
      <c r="R649" s="296"/>
      <c r="S649" s="296"/>
      <c r="T649" s="296"/>
      <c r="U649" s="297"/>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6"/>
      <c r="N650" s="296"/>
      <c r="O650" s="296"/>
      <c r="P650" s="296"/>
      <c r="Q650" s="296"/>
      <c r="R650" s="296"/>
      <c r="S650" s="296"/>
      <c r="T650" s="296"/>
      <c r="U650" s="297"/>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6"/>
      <c r="N651" s="296"/>
      <c r="O651" s="296"/>
      <c r="P651" s="296"/>
      <c r="Q651" s="296"/>
      <c r="R651" s="296"/>
      <c r="S651" s="296"/>
      <c r="T651" s="296"/>
      <c r="U651" s="297"/>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6"/>
      <c r="N652" s="296"/>
      <c r="O652" s="296"/>
      <c r="P652" s="296"/>
      <c r="Q652" s="296"/>
      <c r="R652" s="296"/>
      <c r="S652" s="296"/>
      <c r="T652" s="296"/>
      <c r="U652" s="297"/>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6"/>
      <c r="N653" s="296"/>
      <c r="O653" s="296"/>
      <c r="P653" s="296"/>
      <c r="Q653" s="296"/>
      <c r="R653" s="296"/>
      <c r="S653" s="296"/>
      <c r="T653" s="296"/>
      <c r="U653" s="297"/>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6"/>
      <c r="N654" s="296"/>
      <c r="O654" s="296"/>
      <c r="P654" s="296"/>
      <c r="Q654" s="296"/>
      <c r="R654" s="296"/>
      <c r="S654" s="296"/>
      <c r="T654" s="296"/>
      <c r="U654" s="297"/>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6"/>
      <c r="N655" s="296"/>
      <c r="O655" s="296"/>
      <c r="P655" s="296"/>
      <c r="Q655" s="296"/>
      <c r="R655" s="296"/>
      <c r="S655" s="296"/>
      <c r="T655" s="296"/>
      <c r="U655" s="297"/>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6"/>
      <c r="N656" s="296"/>
      <c r="O656" s="296"/>
      <c r="P656" s="296"/>
      <c r="Q656" s="296"/>
      <c r="R656" s="296"/>
      <c r="S656" s="296"/>
      <c r="T656" s="296"/>
      <c r="U656" s="297"/>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2" t="s">
        <v>335</v>
      </c>
      <c r="C657" s="284"/>
      <c r="D657" s="79"/>
      <c r="E657" s="80"/>
      <c r="F657" s="80"/>
      <c r="G657" s="81"/>
      <c r="H657" s="192"/>
      <c r="I657" s="192"/>
      <c r="J657" s="192"/>
      <c r="K657" s="82"/>
      <c r="L657" s="282" t="s">
        <v>306</v>
      </c>
      <c r="M657" s="283"/>
      <c r="N657" s="283"/>
      <c r="O657" s="283"/>
      <c r="P657" s="283"/>
      <c r="Q657" s="283"/>
      <c r="R657" s="283"/>
      <c r="S657" s="283"/>
      <c r="T657" s="283"/>
      <c r="U657" s="284"/>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2" t="s">
        <v>307</v>
      </c>
      <c r="C658" s="284"/>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5" t="s">
        <v>222</v>
      </c>
      <c r="C662" s="286"/>
      <c r="D662" s="287" t="s">
        <v>223</v>
      </c>
      <c r="E662" s="288"/>
      <c r="F662" s="88"/>
      <c r="G662" s="289" t="s">
        <v>224</v>
      </c>
      <c r="H662" s="290"/>
      <c r="I662" s="28">
        <f>SUM(E673:E697)</f>
        <v>36</v>
      </c>
      <c r="J662" s="291" t="s">
        <v>225</v>
      </c>
      <c r="K662" s="292"/>
      <c r="L662" s="288"/>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8" t="s">
        <v>226</v>
      </c>
      <c r="AA662" s="299"/>
      <c r="AB662" s="300"/>
      <c r="AC662" s="25"/>
      <c r="AD662" s="25"/>
      <c r="AH662" s="109">
        <v>2</v>
      </c>
      <c r="AI662" s="109" t="str">
        <f>IF($E663="SS",COUNTIFS($C673:$C697,"FST",$E673:$E697,"2"),"0")</f>
        <v>0</v>
      </c>
      <c r="AJ662" s="109">
        <f>IF($E663="RPX",COUNTIFS($C673:$C697,"FST",$E673:$E697,"2"),"0")</f>
        <v>0</v>
      </c>
      <c r="AK662" s="109" t="str">
        <f>IF($E663="EUC",COUNTIFS($C673:$C697,"FST",$E673:$E697,"2"),"0")</f>
        <v>0</v>
      </c>
      <c r="AL662" s="109" t="str">
        <f>IF($E663="RPX-T",COUNTIFS($C673:$C697,"FST",$E673:$E697,"2"),"0")</f>
        <v>0</v>
      </c>
      <c r="AT662" s="110" t="s">
        <v>227</v>
      </c>
      <c r="AU662" s="108" t="str">
        <f>IF(OR($AS663="Y",$AS664="Y",$AS665="Y"),"",COUNTIFS($E663,"SS",$E668,"Y"))</f>
        <v/>
      </c>
      <c r="AV662" s="111" t="str">
        <f>IF(OR($AS663="Y",$AS664="Y",$AS665="Y"),"",COUNTIFS($E663,"RPX",$E668,"Y"))</f>
        <v/>
      </c>
      <c r="AW662" s="111" t="str">
        <f>IF(OR($AS663="Y",$AS664="Y",$AS665="Y"),"",COUNTIFS($E663,"EUC",$E668,"Y"))</f>
        <v/>
      </c>
      <c r="AX662" s="109" t="str">
        <f>IF(OR($AS663="Y",$AS664="Y",$AS665="Y"),"",COUNTIFS($E663,"RPX-T",$E668,"Y"))</f>
        <v/>
      </c>
      <c r="BA662" s="226"/>
    </row>
    <row r="663" spans="1:53" ht="16.5" customHeight="1" thickTop="1" thickBot="1" x14ac:dyDescent="0.3">
      <c r="A663" s="88"/>
      <c r="B663" s="29" t="s">
        <v>228</v>
      </c>
      <c r="C663" s="30">
        <v>0</v>
      </c>
      <c r="D663" s="31" t="s">
        <v>229</v>
      </c>
      <c r="E663" s="66" t="str">
        <f>TEXT(IF('Cable Calculator'!CF7="","",'Cable Calculator'!CF7),)</f>
        <v>RPX</v>
      </c>
      <c r="F663" s="88"/>
      <c r="G663" s="301" t="s">
        <v>230</v>
      </c>
      <c r="H663" s="288"/>
      <c r="I663" s="33">
        <f>E664-I662</f>
        <v>12</v>
      </c>
      <c r="J663" s="302" t="s">
        <v>231</v>
      </c>
      <c r="K663" s="303"/>
      <c r="L663" s="34">
        <f>I667</f>
        <v>697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4" t="s">
        <v>232</v>
      </c>
      <c r="AA663" s="306" t="s">
        <v>233</v>
      </c>
      <c r="AB663" s="307"/>
      <c r="AC663" s="25"/>
      <c r="AD663" s="25"/>
      <c r="AH663" s="109">
        <v>4</v>
      </c>
      <c r="AI663" s="109" t="str">
        <f>IF($E663="SS",COUNTIFS($C673:$C697,"FST",$E673:$E697,"4"),"0")</f>
        <v>0</v>
      </c>
      <c r="AJ663" s="109">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48</v>
      </c>
      <c r="F664" s="88"/>
      <c r="G664" s="310" t="s">
        <v>237</v>
      </c>
      <c r="H664" s="311"/>
      <c r="I664" s="35">
        <f>IF(E664=0,0,12-(MOD(I662,12)))</f>
        <v>12</v>
      </c>
      <c r="J664" s="302" t="s">
        <v>238</v>
      </c>
      <c r="K664" s="303"/>
      <c r="L664" s="39">
        <f>I668-I662</f>
        <v>696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5"/>
      <c r="AA664" s="308"/>
      <c r="AB664" s="309"/>
      <c r="AC664" s="25"/>
      <c r="AD664" s="25"/>
      <c r="AH664" s="109">
        <v>6</v>
      </c>
      <c r="AI664" s="109" t="str">
        <f>IF($E663="SS",COUNTIFS($C673:$C697,"FST",$E673:$E697,"6"),"0")</f>
        <v>0</v>
      </c>
      <c r="AJ664" s="109">
        <f>IF($E663="RPX",COUNTIFS($C673:$C697,"FST",$E673:$E697,"6"),"0")</f>
        <v>0</v>
      </c>
      <c r="AK664" s="109" t="str">
        <f>IF($E663="EUC",COUNTIFS($C673:$C697,"FST",$E673:$E697,"6"),"0")</f>
        <v>0</v>
      </c>
      <c r="AL664" s="109" t="str">
        <f>IF($E663="RPX-T",COUNTIFS($C673:$C697,"FST",$E673:$E697,"6"),"0")</f>
        <v>0</v>
      </c>
      <c r="AS664" s="109" t="str">
        <f>IF(AND(E668="Y",E664=48,E665=12),"Y","N")</f>
        <v>Y</v>
      </c>
      <c r="AT664" s="110" t="s">
        <v>239</v>
      </c>
      <c r="AU664" s="109">
        <f>COUNTIFS($E663,"SS",$AS664,"Y")</f>
        <v>0</v>
      </c>
      <c r="AV664" s="108">
        <f>COUNTIFS($E663,"RPX",$AS664,"Y")</f>
        <v>1</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278" t="s">
        <v>242</v>
      </c>
      <c r="H665" s="43" t="s">
        <v>243</v>
      </c>
      <c r="I665" s="35">
        <f>IF(E665&lt;&gt;0,1,0)</f>
        <v>1</v>
      </c>
      <c r="J665" s="310" t="s">
        <v>244</v>
      </c>
      <c r="K665" s="311"/>
      <c r="L665" s="44">
        <f>'Cable Calculator'!CF3</f>
        <v>390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697</v>
      </c>
      <c r="F666" s="88"/>
      <c r="G666" s="279"/>
      <c r="H666" s="47" t="s">
        <v>248</v>
      </c>
      <c r="I666" s="35">
        <f>IF(E665&lt;&gt;0,E665,0)</f>
        <v>12</v>
      </c>
      <c r="J666" s="194"/>
      <c r="K666" s="195"/>
      <c r="L666" s="48"/>
      <c r="M666" s="196">
        <v>12</v>
      </c>
      <c r="N666" s="35" t="str">
        <f>IF($E663="SS",SUM(AI666,AJ677,AM698,AO698,AQ698),"0")</f>
        <v>0</v>
      </c>
      <c r="O666" s="35" t="str">
        <f>IF($E663="SS",SUM(AN698,AP698,AR698),"0")</f>
        <v>0</v>
      </c>
      <c r="P666" s="35">
        <f>IF($E663="RPX",SUM(AJ666,AJ677,AM698,AO698,AQ698),"0")</f>
        <v>3</v>
      </c>
      <c r="Q666" s="35">
        <f>IF($E663="RPX",SUM(AN698,AP698,AR698),"0")</f>
        <v>0</v>
      </c>
      <c r="R666" s="35">
        <f>COUNTIFS($E673:$E697,"12",$F673:$F697,"Pole",$C673:$C697,"FST")</f>
        <v>3</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f>IF($E663="RPX",COUNTIFS($C673:$C697,"FST",$E673:$E697,"12"),"0")</f>
        <v>3</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4</v>
      </c>
      <c r="F667" s="88"/>
      <c r="G667" s="278" t="s">
        <v>251</v>
      </c>
      <c r="H667" s="51" t="s">
        <v>252</v>
      </c>
      <c r="I667" s="112">
        <f>E666</f>
        <v>697</v>
      </c>
      <c r="J667" s="312" t="s">
        <v>253</v>
      </c>
      <c r="K667" s="313"/>
      <c r="L667" s="31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279"/>
      <c r="H668" s="47" t="s">
        <v>257</v>
      </c>
      <c r="I668" s="35">
        <f>IF(E666="","0",IF(AND(E663="EUC",E664=432), I667+(203-E665),IF(E666=0,0,(E666+(E664-E665)-1))))</f>
        <v>732</v>
      </c>
      <c r="J668" s="293" t="str">
        <f>IFERROR(IF(OR(E663="EUC",E663="SS"),"---",IF(OR(P662,S662),"NO 2F Tethers for RPX!",IF(OR(P664,S664),"NO 6F Tethers for RPX!","---"))),"---")</f>
        <v>---</v>
      </c>
      <c r="K668" s="294"/>
      <c r="L668" s="295"/>
      <c r="M668" s="293" t="str">
        <f>IF(E665&gt;60,"Dead Count &gt;60: Consider Downsize","---")</f>
        <v>---</v>
      </c>
      <c r="N668" s="294"/>
      <c r="O668" s="294"/>
      <c r="P668" s="294"/>
      <c r="Q668" s="294"/>
      <c r="R668" s="294"/>
      <c r="S668" s="294"/>
      <c r="T668" s="294"/>
      <c r="U668" s="295"/>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36</v>
      </c>
      <c r="D669" s="31" t="s">
        <v>259</v>
      </c>
      <c r="E669" s="101" t="str">
        <f>IF(AS663="Y","DBL",IF(AS664="Y","TRPL",IF(AS665="Y","QUAD","")))</f>
        <v>TRPL</v>
      </c>
      <c r="F669" s="88"/>
      <c r="G669" s="192"/>
      <c r="H669" s="57"/>
      <c r="I669" s="192"/>
      <c r="J669" s="293"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4"/>
      <c r="L669" s="295"/>
      <c r="M669" s="293" t="str">
        <f>IF(AND(OR(E663="SS",E663="RPX",E663="EUC",E663="RPX-T"),(OR(C673="",C673="Field SPL"))),"Cannot have FlexNap cables without tethers","---")</f>
        <v>---</v>
      </c>
      <c r="N669" s="294"/>
      <c r="O669" s="294"/>
      <c r="P669" s="294"/>
      <c r="Q669" s="294"/>
      <c r="R669" s="294"/>
      <c r="S669" s="294"/>
      <c r="T669" s="294"/>
      <c r="U669" s="295"/>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3" t="str">
        <f>IF(AND(OR(E663="RPX", E663="RPX-T", E663="SS"),E664=216),"NO 216 For RPX, RPX-T, OR SS CABLE","---")</f>
        <v>---</v>
      </c>
      <c r="K670" s="294"/>
      <c r="L670" s="295"/>
      <c r="M670" s="293" t="str" cm="1">
        <f t="array" ref="M670">IF(AND(E663="",OR(C673:C697="FST",C673:C697="REV T",C673:C697="DBL REV",C673:C697="TPL REV", C673:C697="QD REV")),"Non-FlexNap cables cannot have tethers","---")</f>
        <v>---</v>
      </c>
      <c r="N670" s="294"/>
      <c r="O670" s="294"/>
      <c r="P670" s="294"/>
      <c r="Q670" s="294"/>
      <c r="R670" s="294"/>
      <c r="S670" s="294"/>
      <c r="T670" s="294"/>
      <c r="U670" s="295"/>
      <c r="V670" s="25"/>
      <c r="W670" s="58"/>
      <c r="X670" s="58"/>
      <c r="Y670" s="25"/>
      <c r="Z670" s="45">
        <v>6</v>
      </c>
      <c r="AA670" s="65">
        <v>61</v>
      </c>
      <c r="AB670" s="65">
        <v>72</v>
      </c>
      <c r="AC670" s="25"/>
      <c r="AD670" s="25"/>
      <c r="BA670" s="226"/>
    </row>
    <row r="671" spans="1:53" ht="15.75" customHeight="1" thickBot="1" x14ac:dyDescent="0.3">
      <c r="A671" s="88"/>
      <c r="B671" s="278" t="s">
        <v>260</v>
      </c>
      <c r="C671" s="315" t="s">
        <v>261</v>
      </c>
      <c r="D671" s="315" t="s">
        <v>262</v>
      </c>
      <c r="E671" s="317" t="s">
        <v>263</v>
      </c>
      <c r="F671" s="315" t="s">
        <v>264</v>
      </c>
      <c r="G671" s="280" t="s">
        <v>265</v>
      </c>
      <c r="H671" s="280" t="s">
        <v>266</v>
      </c>
      <c r="I671" s="280" t="s">
        <v>267</v>
      </c>
      <c r="J671" s="319" t="s">
        <v>268</v>
      </c>
      <c r="K671" s="315" t="s">
        <v>269</v>
      </c>
      <c r="L671" s="321" t="s">
        <v>270</v>
      </c>
      <c r="M671" s="323" t="s">
        <v>271</v>
      </c>
      <c r="N671" s="323"/>
      <c r="O671" s="323"/>
      <c r="P671" s="323"/>
      <c r="Q671" s="323"/>
      <c r="R671" s="323"/>
      <c r="S671" s="323"/>
      <c r="T671" s="323"/>
      <c r="U671" s="324"/>
      <c r="V671" s="107"/>
      <c r="W671" s="72"/>
      <c r="X671" s="72"/>
      <c r="Y671" s="72"/>
      <c r="Z671" s="45">
        <v>7</v>
      </c>
      <c r="AA671" s="65">
        <v>73</v>
      </c>
      <c r="AB671" s="65">
        <v>84</v>
      </c>
      <c r="AC671" s="25"/>
      <c r="AD671" s="25"/>
      <c r="BA671" s="228"/>
    </row>
    <row r="672" spans="1:53" ht="15.75" thickBot="1" x14ac:dyDescent="0.3">
      <c r="A672" s="88"/>
      <c r="B672" s="279"/>
      <c r="C672" s="316"/>
      <c r="D672" s="316"/>
      <c r="E672" s="318"/>
      <c r="F672" s="316"/>
      <c r="G672" s="281"/>
      <c r="H672" s="281"/>
      <c r="I672" s="281"/>
      <c r="J672" s="320"/>
      <c r="K672" s="316"/>
      <c r="L672" s="322"/>
      <c r="M672" s="325"/>
      <c r="N672" s="325"/>
      <c r="O672" s="325"/>
      <c r="P672" s="325"/>
      <c r="Q672" s="325"/>
      <c r="R672" s="325"/>
      <c r="S672" s="325"/>
      <c r="T672" s="325"/>
      <c r="U672" s="326"/>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757</v>
      </c>
      <c r="E673" s="32">
        <v>12</v>
      </c>
      <c r="F673" s="32" t="s">
        <v>483</v>
      </c>
      <c r="G673" s="68" t="s">
        <v>277</v>
      </c>
      <c r="H673" s="69">
        <f>IF(I673=0,0,I673-(E673-1))</f>
        <v>721</v>
      </c>
      <c r="I673" s="70">
        <f>IF(E673=0,0,I668)</f>
        <v>732</v>
      </c>
      <c r="J673" s="71" t="s">
        <v>278</v>
      </c>
      <c r="K673" s="32"/>
      <c r="L673" s="233"/>
      <c r="M673" s="296"/>
      <c r="N673" s="296"/>
      <c r="O673" s="296"/>
      <c r="P673" s="296"/>
      <c r="Q673" s="296"/>
      <c r="R673" s="296"/>
      <c r="S673" s="296"/>
      <c r="T673" s="296"/>
      <c r="U673" s="297"/>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721-732</v>
      </c>
      <c r="AF673" s="109" t="str">
        <f t="shared" ref="AF673:AF697" si="275">IF(C673="Field SPL","N","Y")</f>
        <v>Y</v>
      </c>
      <c r="AG673" s="109" t="str">
        <f t="shared" ref="AG673:AG697" si="276">IF(OR(E$663="RPX",E$663="SS"),"A","B")</f>
        <v>A</v>
      </c>
      <c r="AH673" s="109">
        <v>2</v>
      </c>
      <c r="AI673" s="109" t="str">
        <f>IF(E663="SS",COUNTIFS(C673:C697,"TCF",E673:E697,"2"),"")</f>
        <v/>
      </c>
      <c r="AJ673" s="109">
        <f>IF(E663="RPX",COUNTIFS(C673:C697,"TCF",E673:E697,"2"),"")</f>
        <v>0</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t="s">
        <v>484</v>
      </c>
      <c r="D674" s="102" t="s">
        <v>758</v>
      </c>
      <c r="E674" s="32">
        <v>12</v>
      </c>
      <c r="F674" s="32" t="s">
        <v>483</v>
      </c>
      <c r="G674" s="68" t="s">
        <v>277</v>
      </c>
      <c r="H674" s="69">
        <f t="shared" ref="H674:H697" si="281">IF(E674=0,0,I674-(E674-1))</f>
        <v>709</v>
      </c>
      <c r="I674" s="70">
        <f t="shared" ref="I674:I697" si="282">IF(E674=0,0,H673-1)</f>
        <v>720</v>
      </c>
      <c r="J674" s="73" t="str">
        <f>IF(C674="","--",IF(AND(C674&lt;&gt;"FST",C674&lt;&gt;"TCF",BA673&lt;&gt;0),BA673,"--"))</f>
        <v>--</v>
      </c>
      <c r="K674" s="32"/>
      <c r="L674" s="233"/>
      <c r="M674" s="296"/>
      <c r="N674" s="296"/>
      <c r="O674" s="296"/>
      <c r="P674" s="296"/>
      <c r="Q674" s="296"/>
      <c r="R674" s="296"/>
      <c r="S674" s="296"/>
      <c r="T674" s="296"/>
      <c r="U674" s="297"/>
      <c r="V674" s="103"/>
      <c r="W674" s="72"/>
      <c r="X674" s="72"/>
      <c r="Y674" s="72"/>
      <c r="Z674" s="45">
        <v>10</v>
      </c>
      <c r="AA674" s="46">
        <v>109</v>
      </c>
      <c r="AB674" s="46">
        <v>120</v>
      </c>
      <c r="AC674" s="72">
        <f t="shared" si="272"/>
        <v>1</v>
      </c>
      <c r="AD674" s="72">
        <f t="shared" si="273"/>
        <v>0</v>
      </c>
      <c r="AE674" s="109" t="str">
        <f t="shared" si="274"/>
        <v>709-720</v>
      </c>
      <c r="AF674" s="109" t="str">
        <f t="shared" si="275"/>
        <v>Y</v>
      </c>
      <c r="AG674" s="109" t="str">
        <f t="shared" si="276"/>
        <v>A</v>
      </c>
      <c r="AH674" s="109">
        <v>4</v>
      </c>
      <c r="AI674" s="109" t="str">
        <f>IF(E663="SS",COUNTIFS(C673:C697,"TCF",E673:E697,"4"),"")</f>
        <v/>
      </c>
      <c r="AJ674" s="109">
        <f>IF(E663="RPX",COUNTIFS(C673:C697,"TCF",E673:E697,"4"),"")</f>
        <v>0</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t="s">
        <v>484</v>
      </c>
      <c r="D675" s="102" t="s">
        <v>759</v>
      </c>
      <c r="E675" s="32">
        <v>12</v>
      </c>
      <c r="F675" s="32" t="s">
        <v>483</v>
      </c>
      <c r="G675" s="75" t="s">
        <v>277</v>
      </c>
      <c r="H675" s="69">
        <f t="shared" si="281"/>
        <v>697</v>
      </c>
      <c r="I675" s="70">
        <f t="shared" si="282"/>
        <v>708</v>
      </c>
      <c r="J675" s="73" t="str">
        <f t="shared" ref="J675:J697" si="283">IF(C675="","--",IF(AND(C675&lt;&gt;"FST",C675&lt;&gt;"TCF",BA674&lt;&gt;0),BA674,"--"))</f>
        <v>--</v>
      </c>
      <c r="K675" s="32"/>
      <c r="L675" s="233"/>
      <c r="M675" s="296"/>
      <c r="N675" s="296"/>
      <c r="O675" s="296"/>
      <c r="P675" s="296"/>
      <c r="Q675" s="296"/>
      <c r="R675" s="296"/>
      <c r="S675" s="296"/>
      <c r="T675" s="296"/>
      <c r="U675" s="297"/>
      <c r="V675" s="103"/>
      <c r="W675" s="72"/>
      <c r="X675" s="72"/>
      <c r="Y675" s="72"/>
      <c r="Z675" s="45">
        <v>11</v>
      </c>
      <c r="AA675" s="46">
        <v>121</v>
      </c>
      <c r="AB675" s="46">
        <v>132</v>
      </c>
      <c r="AC675" s="72">
        <f t="shared" si="272"/>
        <v>1</v>
      </c>
      <c r="AD675" s="72">
        <f t="shared" si="273"/>
        <v>0</v>
      </c>
      <c r="AE675" s="109" t="str">
        <f t="shared" si="274"/>
        <v>697-708</v>
      </c>
      <c r="AF675" s="109" t="str">
        <f t="shared" si="275"/>
        <v>Y</v>
      </c>
      <c r="AG675" s="109" t="str">
        <f t="shared" si="276"/>
        <v>A</v>
      </c>
      <c r="AH675" s="109">
        <v>6</v>
      </c>
      <c r="AI675" s="109" t="str">
        <f>IF(E663="SS",COUNTIFS(C673:C697,"TCF",E673:E697,"6"),"")</f>
        <v/>
      </c>
      <c r="AJ675" s="109">
        <f>IF(E663="RPX",COUNTIFS(C673:C697,"TCF",E673:E697,"6"),"")</f>
        <v>0</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6"/>
      <c r="N676" s="296"/>
      <c r="O676" s="296"/>
      <c r="P676" s="296"/>
      <c r="Q676" s="296"/>
      <c r="R676" s="296"/>
      <c r="S676" s="296"/>
      <c r="T676" s="296"/>
      <c r="U676" s="297"/>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A</v>
      </c>
      <c r="AH676" s="109">
        <v>8</v>
      </c>
      <c r="AI676" s="109" t="str">
        <f>IF(E663="SS",COUNTIFS(C673:C697,"TCF",E673:E697,"8"),"")</f>
        <v/>
      </c>
      <c r="AJ676" s="109">
        <f>IF(E663="RPX",COUNTIFS(C673:C697,"TCF",E673:E697,"8"),"")</f>
        <v>0</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6"/>
      <c r="N677" s="296"/>
      <c r="O677" s="296"/>
      <c r="P677" s="296"/>
      <c r="Q677" s="296"/>
      <c r="R677" s="296"/>
      <c r="S677" s="296"/>
      <c r="T677" s="296"/>
      <c r="U677" s="297"/>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A</v>
      </c>
      <c r="AH677" s="109">
        <v>12</v>
      </c>
      <c r="AI677" s="109" t="str">
        <f>IF(E663="SS",COUNTIFS(C673:C697,"TCF",E673:E697,"12"),"")</f>
        <v/>
      </c>
      <c r="AJ677" s="109">
        <f>IF(E663="RPX",COUNTIFS(C673:C697,"TCF",E673:E697,"12"),"")</f>
        <v>0</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6"/>
      <c r="N678" s="296"/>
      <c r="O678" s="296"/>
      <c r="P678" s="296"/>
      <c r="Q678" s="296"/>
      <c r="R678" s="296"/>
      <c r="S678" s="296"/>
      <c r="T678" s="296"/>
      <c r="U678" s="297"/>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A</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6"/>
      <c r="N679" s="296"/>
      <c r="O679" s="296"/>
      <c r="P679" s="296"/>
      <c r="Q679" s="296"/>
      <c r="R679" s="296"/>
      <c r="S679" s="296"/>
      <c r="T679" s="296"/>
      <c r="U679" s="297"/>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A</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6"/>
      <c r="N680" s="296"/>
      <c r="O680" s="296"/>
      <c r="P680" s="296"/>
      <c r="Q680" s="296"/>
      <c r="R680" s="296"/>
      <c r="S680" s="296"/>
      <c r="T680" s="296"/>
      <c r="U680" s="297"/>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A</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6"/>
      <c r="N681" s="296"/>
      <c r="O681" s="296"/>
      <c r="P681" s="296"/>
      <c r="Q681" s="296"/>
      <c r="R681" s="296"/>
      <c r="S681" s="296"/>
      <c r="T681" s="296"/>
      <c r="U681" s="297"/>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A</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6"/>
      <c r="N682" s="296"/>
      <c r="O682" s="296"/>
      <c r="P682" s="296"/>
      <c r="Q682" s="296"/>
      <c r="R682" s="296"/>
      <c r="S682" s="296"/>
      <c r="T682" s="296"/>
      <c r="U682" s="297"/>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A</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6"/>
      <c r="N683" s="296"/>
      <c r="O683" s="296"/>
      <c r="P683" s="296"/>
      <c r="Q683" s="296"/>
      <c r="R683" s="296"/>
      <c r="S683" s="296"/>
      <c r="T683" s="296"/>
      <c r="U683" s="297"/>
      <c r="V683" s="103"/>
      <c r="W683" s="84"/>
      <c r="X683" s="84"/>
      <c r="Y683" s="72"/>
      <c r="Z683" s="72"/>
      <c r="AA683" s="72"/>
      <c r="AB683" s="72"/>
      <c r="AC683" s="72">
        <f t="shared" si="272"/>
        <v>1</v>
      </c>
      <c r="AD683" s="72">
        <f t="shared" si="273"/>
        <v>1</v>
      </c>
      <c r="AE683" s="109" t="str">
        <f t="shared" si="274"/>
        <v>0-0</v>
      </c>
      <c r="AF683" s="109" t="str">
        <f t="shared" si="275"/>
        <v>Y</v>
      </c>
      <c r="AG683" s="109" t="str">
        <f t="shared" si="276"/>
        <v>A</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6"/>
      <c r="N684" s="296"/>
      <c r="O684" s="296"/>
      <c r="P684" s="296"/>
      <c r="Q684" s="296"/>
      <c r="R684" s="296"/>
      <c r="S684" s="296"/>
      <c r="T684" s="296"/>
      <c r="U684" s="297"/>
      <c r="V684" s="103"/>
      <c r="W684" s="84">
        <f>Y684+1</f>
        <v>37</v>
      </c>
      <c r="X684" s="84"/>
      <c r="Y684" s="78">
        <f>SUM(E673:E684)</f>
        <v>36</v>
      </c>
      <c r="Z684" s="72"/>
      <c r="AA684" s="72"/>
      <c r="AB684" s="72"/>
      <c r="AC684" s="72">
        <f t="shared" si="272"/>
        <v>1</v>
      </c>
      <c r="AD684" s="72">
        <f t="shared" si="273"/>
        <v>1</v>
      </c>
      <c r="AE684" s="109" t="str">
        <f t="shared" si="274"/>
        <v>0-0</v>
      </c>
      <c r="AF684" s="109" t="str">
        <f t="shared" si="275"/>
        <v>Y</v>
      </c>
      <c r="AG684" s="109" t="str">
        <f t="shared" si="276"/>
        <v>A</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6"/>
      <c r="N685" s="296"/>
      <c r="O685" s="296"/>
      <c r="P685" s="296"/>
      <c r="Q685" s="296"/>
      <c r="R685" s="296"/>
      <c r="S685" s="296"/>
      <c r="T685" s="296"/>
      <c r="U685" s="297"/>
      <c r="V685" s="103"/>
      <c r="W685" s="84">
        <f>Y685+1</f>
        <v>37</v>
      </c>
      <c r="X685" s="84"/>
      <c r="Y685" s="78">
        <f>SUM(E673:E685)</f>
        <v>36</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A</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6"/>
      <c r="N686" s="296"/>
      <c r="O686" s="296"/>
      <c r="P686" s="296"/>
      <c r="Q686" s="296"/>
      <c r="R686" s="296"/>
      <c r="S686" s="296"/>
      <c r="T686" s="296"/>
      <c r="U686" s="297"/>
      <c r="V686" s="103"/>
      <c r="W686" s="84">
        <f>Y686+1</f>
        <v>37</v>
      </c>
      <c r="X686" s="84"/>
      <c r="Y686" s="78">
        <f>SUM(E673:E686)</f>
        <v>36</v>
      </c>
      <c r="Z686" s="72" t="str">
        <f t="shared" si="286"/>
        <v/>
      </c>
      <c r="AA686" s="72"/>
      <c r="AB686" s="72"/>
      <c r="AC686" s="72">
        <f t="shared" si="272"/>
        <v>1</v>
      </c>
      <c r="AD686" s="72">
        <f t="shared" si="273"/>
        <v>1</v>
      </c>
      <c r="AE686" s="109" t="str">
        <f t="shared" si="274"/>
        <v>0-0</v>
      </c>
      <c r="AF686" s="109" t="str">
        <f t="shared" si="275"/>
        <v>Y</v>
      </c>
      <c r="AG686" s="109" t="str">
        <f t="shared" si="276"/>
        <v>A</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6"/>
      <c r="N687" s="296"/>
      <c r="O687" s="296"/>
      <c r="P687" s="296"/>
      <c r="Q687" s="296"/>
      <c r="R687" s="296"/>
      <c r="S687" s="296"/>
      <c r="T687" s="296"/>
      <c r="U687" s="297"/>
      <c r="V687" s="103"/>
      <c r="W687" s="84">
        <f>Y687+1</f>
        <v>37</v>
      </c>
      <c r="X687" s="84"/>
      <c r="Y687" s="78">
        <f>SUM(E673:E687)</f>
        <v>36</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A</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6"/>
      <c r="N688" s="296"/>
      <c r="O688" s="296"/>
      <c r="P688" s="296"/>
      <c r="Q688" s="296"/>
      <c r="R688" s="296"/>
      <c r="S688" s="296"/>
      <c r="T688" s="296"/>
      <c r="U688" s="297"/>
      <c r="V688" s="103"/>
      <c r="W688" s="84">
        <f t="shared" ref="W688:W696" si="288">Y688+1</f>
        <v>37</v>
      </c>
      <c r="X688" s="84"/>
      <c r="Y688" s="78">
        <f>SUM(E673:E688)</f>
        <v>36</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A</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6"/>
      <c r="N689" s="296"/>
      <c r="O689" s="296"/>
      <c r="P689" s="296"/>
      <c r="Q689" s="296"/>
      <c r="R689" s="296"/>
      <c r="S689" s="296"/>
      <c r="T689" s="296"/>
      <c r="U689" s="297"/>
      <c r="V689" s="103"/>
      <c r="W689" s="84">
        <f t="shared" si="288"/>
        <v>37</v>
      </c>
      <c r="X689" s="84"/>
      <c r="Y689" s="78">
        <f>SUM(E673:E689)</f>
        <v>36</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A</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6"/>
      <c r="N690" s="296"/>
      <c r="O690" s="296"/>
      <c r="P690" s="296"/>
      <c r="Q690" s="296"/>
      <c r="R690" s="296"/>
      <c r="S690" s="296"/>
      <c r="T690" s="296"/>
      <c r="U690" s="297"/>
      <c r="V690" s="103"/>
      <c r="W690" s="84">
        <f t="shared" si="288"/>
        <v>37</v>
      </c>
      <c r="X690" s="84"/>
      <c r="Y690" s="78">
        <f>SUM(E673:E690)</f>
        <v>36</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A</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6"/>
      <c r="N691" s="296"/>
      <c r="O691" s="296"/>
      <c r="P691" s="296"/>
      <c r="Q691" s="296"/>
      <c r="R691" s="296"/>
      <c r="S691" s="296"/>
      <c r="T691" s="296"/>
      <c r="U691" s="297"/>
      <c r="V691" s="103"/>
      <c r="W691" s="84">
        <f t="shared" si="288"/>
        <v>37</v>
      </c>
      <c r="X691" s="84"/>
      <c r="Y691" s="78">
        <f>SUM(E673:E691)</f>
        <v>36</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A</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6"/>
      <c r="N692" s="296"/>
      <c r="O692" s="296"/>
      <c r="P692" s="296"/>
      <c r="Q692" s="296"/>
      <c r="R692" s="296"/>
      <c r="S692" s="296"/>
      <c r="T692" s="296"/>
      <c r="U692" s="297"/>
      <c r="V692" s="103"/>
      <c r="W692" s="84">
        <f t="shared" si="288"/>
        <v>37</v>
      </c>
      <c r="X692" s="84"/>
      <c r="Y692" s="78">
        <f>SUM(E673:E692)</f>
        <v>36</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A</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6"/>
      <c r="N693" s="296"/>
      <c r="O693" s="296"/>
      <c r="P693" s="296"/>
      <c r="Q693" s="296"/>
      <c r="R693" s="296"/>
      <c r="S693" s="296"/>
      <c r="T693" s="296"/>
      <c r="U693" s="297"/>
      <c r="V693" s="103"/>
      <c r="W693" s="84">
        <f t="shared" si="288"/>
        <v>37</v>
      </c>
      <c r="X693" s="84"/>
      <c r="Y693" s="78">
        <f>SUM(E673:E693)</f>
        <v>36</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A</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6"/>
      <c r="N694" s="296"/>
      <c r="O694" s="296"/>
      <c r="P694" s="296"/>
      <c r="Q694" s="296"/>
      <c r="R694" s="296"/>
      <c r="S694" s="296"/>
      <c r="T694" s="296"/>
      <c r="U694" s="297"/>
      <c r="V694" s="103"/>
      <c r="W694" s="84">
        <f t="shared" si="288"/>
        <v>37</v>
      </c>
      <c r="X694" s="84"/>
      <c r="Y694" s="78">
        <f>SUM(E673:E694)</f>
        <v>36</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A</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6"/>
      <c r="N695" s="296"/>
      <c r="O695" s="296"/>
      <c r="P695" s="296"/>
      <c r="Q695" s="296"/>
      <c r="R695" s="296"/>
      <c r="S695" s="296"/>
      <c r="T695" s="296"/>
      <c r="U695" s="297"/>
      <c r="V695" s="103"/>
      <c r="W695" s="84">
        <f t="shared" si="288"/>
        <v>37</v>
      </c>
      <c r="X695" s="84"/>
      <c r="Y695" s="78">
        <f>SUM(E673:E695)</f>
        <v>36</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A</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6"/>
      <c r="N696" s="296"/>
      <c r="O696" s="296"/>
      <c r="P696" s="296"/>
      <c r="Q696" s="296"/>
      <c r="R696" s="296"/>
      <c r="S696" s="296"/>
      <c r="T696" s="296"/>
      <c r="U696" s="297"/>
      <c r="V696" s="103"/>
      <c r="W696" s="84">
        <f t="shared" si="288"/>
        <v>37</v>
      </c>
      <c r="X696" s="84"/>
      <c r="Y696" s="78">
        <f>SUM(E673:E696)</f>
        <v>36</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A</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6"/>
      <c r="N697" s="296"/>
      <c r="O697" s="296"/>
      <c r="P697" s="296"/>
      <c r="Q697" s="296"/>
      <c r="R697" s="296"/>
      <c r="S697" s="296"/>
      <c r="T697" s="296"/>
      <c r="U697" s="297"/>
      <c r="V697" s="103"/>
      <c r="W697" s="72"/>
      <c r="X697" s="72"/>
      <c r="Y697" s="78">
        <f>SUM(E673:E697)</f>
        <v>36</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A</v>
      </c>
      <c r="AM697" s="109">
        <f t="shared" si="277"/>
        <v>0</v>
      </c>
      <c r="AN697" s="109">
        <f t="shared" si="278"/>
        <v>0</v>
      </c>
      <c r="AO697" s="109" t="str">
        <f t="shared" si="279"/>
        <v/>
      </c>
      <c r="AQ697" s="109" t="str">
        <f t="shared" si="280"/>
        <v/>
      </c>
      <c r="BA697" s="228"/>
    </row>
    <row r="698" spans="1:53" ht="16.5" thickBot="1" x14ac:dyDescent="0.3">
      <c r="A698" s="88"/>
      <c r="B698" s="282" t="s">
        <v>337</v>
      </c>
      <c r="C698" s="284"/>
      <c r="D698" s="79"/>
      <c r="E698" s="80"/>
      <c r="F698" s="80"/>
      <c r="G698" s="81"/>
      <c r="H698" s="192"/>
      <c r="I698" s="192"/>
      <c r="J698" s="192"/>
      <c r="K698" s="82"/>
      <c r="L698" s="282" t="s">
        <v>306</v>
      </c>
      <c r="M698" s="283"/>
      <c r="N698" s="283"/>
      <c r="O698" s="283"/>
      <c r="P698" s="283"/>
      <c r="Q698" s="283"/>
      <c r="R698" s="283"/>
      <c r="S698" s="283"/>
      <c r="T698" s="283"/>
      <c r="U698" s="284"/>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2" t="s">
        <v>307</v>
      </c>
      <c r="C699" s="284"/>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5" t="s">
        <v>222</v>
      </c>
      <c r="C703" s="286"/>
      <c r="D703" s="287" t="s">
        <v>223</v>
      </c>
      <c r="E703" s="288"/>
      <c r="F703" s="88"/>
      <c r="G703" s="289" t="s">
        <v>224</v>
      </c>
      <c r="H703" s="290"/>
      <c r="I703" s="28">
        <f>SUM(E714:E738)</f>
        <v>36</v>
      </c>
      <c r="J703" s="291" t="s">
        <v>225</v>
      </c>
      <c r="K703" s="292"/>
      <c r="L703" s="288"/>
      <c r="M703" s="196">
        <v>2</v>
      </c>
      <c r="N703" s="35">
        <f>SUM(AI703,AI714)</f>
        <v>0</v>
      </c>
      <c r="O703" s="35">
        <v>0</v>
      </c>
      <c r="P703" s="35">
        <f>SUM(AJ703,AJ714)</f>
        <v>0</v>
      </c>
      <c r="Q703" s="35">
        <v>0</v>
      </c>
      <c r="R703" s="35">
        <f>COUNTIFS($E714:$E738,"2",$F714:$F738,"Pole",$C714:$C738,"FST")</f>
        <v>1</v>
      </c>
      <c r="S703" s="35">
        <f>SUM(AL703,AK714)</f>
        <v>0</v>
      </c>
      <c r="T703" s="35">
        <v>0</v>
      </c>
      <c r="U703" s="35">
        <f>SUM(AK703,AL714)</f>
        <v>1</v>
      </c>
      <c r="V703" s="35">
        <v>0</v>
      </c>
      <c r="W703" s="34">
        <f>COUNTIFS($E714:$E738,"2",$F714:$F738,"HH",$C714:$C738,"FST")</f>
        <v>0</v>
      </c>
      <c r="X703" s="35">
        <f>COUNTIFS($E714:$E738,"2",$F714:$F738,"Ped",$C714:$C738,"FST")</f>
        <v>0</v>
      </c>
      <c r="Y703" s="25"/>
      <c r="Z703" s="298" t="s">
        <v>226</v>
      </c>
      <c r="AA703" s="299"/>
      <c r="AB703" s="300"/>
      <c r="AC703" s="25"/>
      <c r="AD703" s="25"/>
      <c r="AH703" s="109">
        <v>2</v>
      </c>
      <c r="AI703" s="109" t="str">
        <f>IF($E704="SS",COUNTIFS($C714:$C738,"FST",$E714:$E738,"2"),"0")</f>
        <v>0</v>
      </c>
      <c r="AJ703" s="109" t="str">
        <f>IF($E704="RPX",COUNTIFS($C714:$C738,"FST",$E714:$E738,"2"),"0")</f>
        <v>0</v>
      </c>
      <c r="AK703" s="109">
        <f>IF($E704="EUC",COUNTIFS($C714:$C738,"FST",$E714:$E738,"2"),"0")</f>
        <v>1</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1" t="s">
        <v>230</v>
      </c>
      <c r="H704" s="288"/>
      <c r="I704" s="33">
        <f>E705-I703</f>
        <v>12</v>
      </c>
      <c r="J704" s="302" t="s">
        <v>231</v>
      </c>
      <c r="K704" s="303"/>
      <c r="L704" s="34">
        <f>I708</f>
        <v>469</v>
      </c>
      <c r="M704" s="196">
        <v>4</v>
      </c>
      <c r="N704" s="35">
        <f>SUM(AI704,AI715)</f>
        <v>0</v>
      </c>
      <c r="O704" s="35">
        <v>0</v>
      </c>
      <c r="P704" s="35">
        <f>SUM(AJ704,AJ715)</f>
        <v>0</v>
      </c>
      <c r="Q704" s="35">
        <v>0</v>
      </c>
      <c r="R704" s="35">
        <f>COUNTIFS($E714:$E738,"4",$F714:$F738,"Pole",$C714:$C738,"FST")</f>
        <v>4</v>
      </c>
      <c r="S704" s="35">
        <f>SUM(AL704,AK715)</f>
        <v>0</v>
      </c>
      <c r="T704" s="35">
        <v>0</v>
      </c>
      <c r="U704" s="35">
        <f>SUM(AK704,AL715)</f>
        <v>4</v>
      </c>
      <c r="V704" s="35">
        <v>0</v>
      </c>
      <c r="W704" s="34">
        <f>COUNTIFS($E714:$E738,"4",$F714:$F738,"HH",$C714:$C738,"FST")</f>
        <v>0</v>
      </c>
      <c r="X704" s="35">
        <f>COUNTIFS($E714:$E738,"4",$F714:$F738,"Ped",$C714:$C738,"FST")</f>
        <v>0</v>
      </c>
      <c r="Y704" s="25"/>
      <c r="Z704" s="304" t="s">
        <v>232</v>
      </c>
      <c r="AA704" s="306" t="s">
        <v>233</v>
      </c>
      <c r="AB704" s="307"/>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48</v>
      </c>
      <c r="F705" s="88"/>
      <c r="G705" s="310" t="s">
        <v>237</v>
      </c>
      <c r="H705" s="311"/>
      <c r="I705" s="35">
        <f>IF(E705=0,0,12-(MOD(I703,12)))</f>
        <v>12</v>
      </c>
      <c r="J705" s="302" t="s">
        <v>238</v>
      </c>
      <c r="K705" s="303"/>
      <c r="L705" s="39">
        <f>I709-I703</f>
        <v>468</v>
      </c>
      <c r="M705" s="196">
        <v>6</v>
      </c>
      <c r="N705" s="35">
        <f>SUM(AI705,AI716)</f>
        <v>0</v>
      </c>
      <c r="O705" s="35">
        <v>0</v>
      </c>
      <c r="P705" s="35">
        <f>SUM(AJ705,AJ716)</f>
        <v>0</v>
      </c>
      <c r="Q705" s="35">
        <v>0</v>
      </c>
      <c r="R705" s="35">
        <f>COUNTIFS($E714:$E738,"6",$F714:$F738,"Pole",$C714:$C738,"FST")</f>
        <v>0</v>
      </c>
      <c r="S705" s="35">
        <f>SUM(AL705,AK716)</f>
        <v>0</v>
      </c>
      <c r="T705" s="35">
        <v>0</v>
      </c>
      <c r="U705" s="35">
        <f>SUM(AK705,AL716)</f>
        <v>1</v>
      </c>
      <c r="V705" s="35">
        <v>0</v>
      </c>
      <c r="W705" s="34">
        <f>COUNTIFS($E714:$E738,"6",$F714:$F738,"HH",$C714:$C738,"FST")</f>
        <v>0</v>
      </c>
      <c r="X705" s="35">
        <f>COUNTIFS($E714:$E738,"6",$F714:$F738,"Ped",$C714:$C738,"FST")</f>
        <v>0</v>
      </c>
      <c r="Y705" s="25"/>
      <c r="Z705" s="305"/>
      <c r="AA705" s="308"/>
      <c r="AB705" s="309"/>
      <c r="AC705" s="25"/>
      <c r="AD705" s="25"/>
      <c r="AH705" s="109">
        <v>6</v>
      </c>
      <c r="AI705" s="109" t="str">
        <f>IF($E704="SS",COUNTIFS($C714:$C738,"FST",$E714:$E738,"6"),"0")</f>
        <v>0</v>
      </c>
      <c r="AJ705" s="109" t="str">
        <f>IF($E704="RPX",COUNTIFS($C714:$C738,"FST",$E714:$E738,"6"),"0")</f>
        <v>0</v>
      </c>
      <c r="AK705" s="109">
        <f>IF($E704="EUC",COUNTIFS($C714:$C738,"FST",$E714:$E738,"6"),"0")</f>
        <v>1</v>
      </c>
      <c r="AL705" s="109" t="str">
        <f>IF($E704="RPX-T",COUNTIFS($C714:$C738,"FST",$E714:$E738,"6"),"0")</f>
        <v>0</v>
      </c>
      <c r="AS705" s="109" t="str">
        <f>IF(AND(E709="Y",E705=48,E706=12),"Y","N")</f>
        <v>Y</v>
      </c>
      <c r="AT705" s="110" t="s">
        <v>239</v>
      </c>
      <c r="AU705" s="109">
        <f>COUNTIFS($E704,"SS",$AS705,"Y")</f>
        <v>0</v>
      </c>
      <c r="AV705" s="108">
        <f>COUNTIFS($E704,"RPX",$AS705,"Y")</f>
        <v>0</v>
      </c>
      <c r="AW705" s="108">
        <f>COUNTIFS($E704,"EUC",$AS705,"Y")</f>
        <v>1</v>
      </c>
      <c r="AX705" s="109">
        <f>COUNTIFS($E704,"RPX-T",$AS705,"Y")</f>
        <v>0</v>
      </c>
      <c r="BA705" s="227"/>
    </row>
    <row r="706" spans="1:53" ht="16.5" customHeight="1" thickTop="1" thickBot="1" x14ac:dyDescent="0.3">
      <c r="A706" s="88"/>
      <c r="B706" s="40" t="s">
        <v>240</v>
      </c>
      <c r="C706" s="30">
        <v>0</v>
      </c>
      <c r="D706" s="41" t="s">
        <v>241</v>
      </c>
      <c r="E706" s="42">
        <v>12</v>
      </c>
      <c r="F706" s="88"/>
      <c r="G706" s="278" t="s">
        <v>242</v>
      </c>
      <c r="H706" s="43" t="s">
        <v>243</v>
      </c>
      <c r="I706" s="35">
        <f>IF(E706&lt;&gt;0,1,0)</f>
        <v>1</v>
      </c>
      <c r="J706" s="310" t="s">
        <v>244</v>
      </c>
      <c r="K706" s="311"/>
      <c r="L706" s="44">
        <f>'Cable Calculator'!CK3</f>
        <v>1799</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469</v>
      </c>
      <c r="F707" s="88"/>
      <c r="G707" s="279"/>
      <c r="H707" s="47" t="s">
        <v>248</v>
      </c>
      <c r="I707" s="35">
        <f>IF(E706&lt;&gt;0,E706,0)</f>
        <v>12</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1</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4</v>
      </c>
      <c r="F708" s="88"/>
      <c r="G708" s="278" t="s">
        <v>251</v>
      </c>
      <c r="H708" s="51" t="s">
        <v>252</v>
      </c>
      <c r="I708" s="112">
        <f>E707</f>
        <v>469</v>
      </c>
      <c r="J708" s="312" t="s">
        <v>253</v>
      </c>
      <c r="K708" s="313"/>
      <c r="L708" s="31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279"/>
      <c r="H709" s="47" t="s">
        <v>257</v>
      </c>
      <c r="I709" s="35">
        <f>IF(E707="","0",IF(AND(E704="EUC",E705=432), I708+(203-E706),IF(E707=0,0,(E707+(E705-E706)-1))))</f>
        <v>504</v>
      </c>
      <c r="J709" s="293" t="str">
        <f>IFERROR(IF(OR(E704="EUC",E704="SS"),"---",IF(OR(P703,S703),"NO 2F Tethers for RPX!",IF(OR(P705,S705),"NO 6F Tethers for RPX!","---"))),"---")</f>
        <v>---</v>
      </c>
      <c r="K709" s="294"/>
      <c r="L709" s="295"/>
      <c r="M709" s="293" t="str">
        <f>IF(E706&gt;60,"Dead Count &gt;60: Consider Downsize","---")</f>
        <v>---</v>
      </c>
      <c r="N709" s="294"/>
      <c r="O709" s="294"/>
      <c r="P709" s="294"/>
      <c r="Q709" s="294"/>
      <c r="R709" s="294"/>
      <c r="S709" s="294"/>
      <c r="T709" s="294"/>
      <c r="U709" s="295"/>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36</v>
      </c>
      <c r="D710" s="31" t="s">
        <v>259</v>
      </c>
      <c r="E710" s="101" t="str">
        <f>IF(AS704="Y","DBL",IF(AS705="Y","TRPL",IF(AS706="Y","QUAD","")))</f>
        <v>TRPL</v>
      </c>
      <c r="F710" s="88"/>
      <c r="G710" s="192"/>
      <c r="H710" s="57"/>
      <c r="I710" s="192"/>
      <c r="J710" s="293"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4"/>
      <c r="L710" s="295"/>
      <c r="M710" s="293" t="str">
        <f>IF(AND(OR(E704="SS",E704="RPX",E704="EUC",E704="RPX-T"),(OR(C714="",C714="Field SPL"))),"Cannot have FlexNap cables without tethers","---")</f>
        <v>---</v>
      </c>
      <c r="N710" s="294"/>
      <c r="O710" s="294"/>
      <c r="P710" s="294"/>
      <c r="Q710" s="294"/>
      <c r="R710" s="294"/>
      <c r="S710" s="294"/>
      <c r="T710" s="294"/>
      <c r="U710" s="295"/>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3" t="str">
        <f>IF(AND(OR(E704="RPX", E704="RPX-T", E704="SS"),E705=216),"NO 216 For RPX, RPX-T, OR SS CABLE","---")</f>
        <v>---</v>
      </c>
      <c r="K711" s="294"/>
      <c r="L711" s="295"/>
      <c r="M711" s="293" t="str" cm="1">
        <f t="array" ref="M711">IF(AND(E704="",OR(C714:C738="FST",C714:C738="REV T",C714:C738="DBL REV",C714:C738="TPL REV", C714:C738="QD REV")),"Non-FlexNap cables cannot have tethers","---")</f>
        <v>---</v>
      </c>
      <c r="N711" s="294"/>
      <c r="O711" s="294"/>
      <c r="P711" s="294"/>
      <c r="Q711" s="294"/>
      <c r="R711" s="294"/>
      <c r="S711" s="294"/>
      <c r="T711" s="294"/>
      <c r="U711" s="295"/>
      <c r="V711" s="25"/>
      <c r="W711" s="58"/>
      <c r="X711" s="58"/>
      <c r="Y711" s="25"/>
      <c r="Z711" s="45">
        <v>6</v>
      </c>
      <c r="AA711" s="65">
        <v>61</v>
      </c>
      <c r="AB711" s="65">
        <v>72</v>
      </c>
      <c r="AC711" s="25"/>
      <c r="AD711" s="25"/>
      <c r="BA711" s="226"/>
    </row>
    <row r="712" spans="1:53" ht="15.75" customHeight="1" thickBot="1" x14ac:dyDescent="0.3">
      <c r="A712" s="88"/>
      <c r="B712" s="278" t="s">
        <v>260</v>
      </c>
      <c r="C712" s="315" t="s">
        <v>261</v>
      </c>
      <c r="D712" s="315" t="s">
        <v>262</v>
      </c>
      <c r="E712" s="317" t="s">
        <v>263</v>
      </c>
      <c r="F712" s="315" t="s">
        <v>264</v>
      </c>
      <c r="G712" s="280" t="s">
        <v>265</v>
      </c>
      <c r="H712" s="280" t="s">
        <v>266</v>
      </c>
      <c r="I712" s="280" t="s">
        <v>267</v>
      </c>
      <c r="J712" s="319" t="s">
        <v>268</v>
      </c>
      <c r="K712" s="315" t="s">
        <v>269</v>
      </c>
      <c r="L712" s="321" t="s">
        <v>270</v>
      </c>
      <c r="M712" s="323" t="s">
        <v>271</v>
      </c>
      <c r="N712" s="323"/>
      <c r="O712" s="323"/>
      <c r="P712" s="323"/>
      <c r="Q712" s="323"/>
      <c r="R712" s="323"/>
      <c r="S712" s="323"/>
      <c r="T712" s="323"/>
      <c r="U712" s="324"/>
      <c r="V712" s="107"/>
      <c r="W712" s="72"/>
      <c r="X712" s="72"/>
      <c r="Y712" s="72"/>
      <c r="Z712" s="45">
        <v>7</v>
      </c>
      <c r="AA712" s="65">
        <v>73</v>
      </c>
      <c r="AB712" s="65">
        <v>84</v>
      </c>
      <c r="AC712" s="25"/>
      <c r="AD712" s="25"/>
      <c r="BA712" s="228"/>
    </row>
    <row r="713" spans="1:53" ht="15.75" thickBot="1" x14ac:dyDescent="0.3">
      <c r="A713" s="88"/>
      <c r="B713" s="279"/>
      <c r="C713" s="316"/>
      <c r="D713" s="316"/>
      <c r="E713" s="318"/>
      <c r="F713" s="316"/>
      <c r="G713" s="281"/>
      <c r="H713" s="281"/>
      <c r="I713" s="281"/>
      <c r="J713" s="320"/>
      <c r="K713" s="316"/>
      <c r="L713" s="322"/>
      <c r="M713" s="325"/>
      <c r="N713" s="325"/>
      <c r="O713" s="325"/>
      <c r="P713" s="325"/>
      <c r="Q713" s="325"/>
      <c r="R713" s="325"/>
      <c r="S713" s="325"/>
      <c r="T713" s="325"/>
      <c r="U713" s="326"/>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494</v>
      </c>
      <c r="D714" s="102"/>
      <c r="E714" s="32">
        <v>12</v>
      </c>
      <c r="F714" s="32"/>
      <c r="G714" s="68" t="s">
        <v>277</v>
      </c>
      <c r="H714" s="69">
        <f>IF(I714=0,0,I714-(E714-1))</f>
        <v>493</v>
      </c>
      <c r="I714" s="70">
        <f>IF(E714=0,0,I709)</f>
        <v>504</v>
      </c>
      <c r="J714" s="71" t="s">
        <v>278</v>
      </c>
      <c r="K714" s="32"/>
      <c r="L714" s="233"/>
      <c r="M714" s="296" t="s">
        <v>766</v>
      </c>
      <c r="N714" s="296"/>
      <c r="O714" s="296"/>
      <c r="P714" s="296"/>
      <c r="Q714" s="296"/>
      <c r="R714" s="296"/>
      <c r="S714" s="296"/>
      <c r="T714" s="296"/>
      <c r="U714" s="297"/>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493-504</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1</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t="s">
        <v>484</v>
      </c>
      <c r="D715" s="102" t="s">
        <v>818</v>
      </c>
      <c r="E715" s="32">
        <v>4</v>
      </c>
      <c r="F715" s="32" t="s">
        <v>483</v>
      </c>
      <c r="G715" s="68" t="s">
        <v>277</v>
      </c>
      <c r="H715" s="69">
        <f t="shared" ref="H715:H738" si="298">IF(E715=0,0,I715-(E715-1))</f>
        <v>489</v>
      </c>
      <c r="I715" s="70">
        <f t="shared" ref="I715:I738" si="299">IF(E715=0,0,H714-1)</f>
        <v>492</v>
      </c>
      <c r="J715" s="73" t="str">
        <f>IF(C715="","--",IF(AND(C715&lt;&gt;"FST",C715&lt;&gt;"TCF",BA714&lt;&gt;0),BA714,"--"))</f>
        <v>--</v>
      </c>
      <c r="K715" s="32"/>
      <c r="L715" s="233"/>
      <c r="M715" s="296"/>
      <c r="N715" s="296"/>
      <c r="O715" s="296"/>
      <c r="P715" s="296"/>
      <c r="Q715" s="296"/>
      <c r="R715" s="296"/>
      <c r="S715" s="296"/>
      <c r="T715" s="296"/>
      <c r="U715" s="297"/>
      <c r="V715" s="103"/>
      <c r="W715" s="72"/>
      <c r="X715" s="72"/>
      <c r="Y715" s="72"/>
      <c r="Z715" s="45">
        <v>10</v>
      </c>
      <c r="AA715" s="46">
        <v>109</v>
      </c>
      <c r="AB715" s="46">
        <v>120</v>
      </c>
      <c r="AC715" s="72">
        <f t="shared" si="289"/>
        <v>1</v>
      </c>
      <c r="AD715" s="72">
        <f t="shared" si="290"/>
        <v>0</v>
      </c>
      <c r="AE715" s="109" t="str">
        <f t="shared" si="291"/>
        <v>489-492</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4</v>
      </c>
    </row>
    <row r="716" spans="1:53" ht="15.75" thickBot="1" x14ac:dyDescent="0.3">
      <c r="A716" s="88"/>
      <c r="B716" s="74" t="s">
        <v>280</v>
      </c>
      <c r="C716" s="67" t="s">
        <v>484</v>
      </c>
      <c r="D716" s="102" t="s">
        <v>819</v>
      </c>
      <c r="E716" s="32">
        <v>4</v>
      </c>
      <c r="F716" s="32" t="s">
        <v>483</v>
      </c>
      <c r="G716" s="75" t="s">
        <v>277</v>
      </c>
      <c r="H716" s="69">
        <f t="shared" si="298"/>
        <v>485</v>
      </c>
      <c r="I716" s="70">
        <f t="shared" si="299"/>
        <v>488</v>
      </c>
      <c r="J716" s="73" t="str">
        <f t="shared" ref="J716:J738" si="300">IF(C716="","--",IF(AND(C716&lt;&gt;"FST",C716&lt;&gt;"TCF",BA715&lt;&gt;0),BA715,"--"))</f>
        <v>--</v>
      </c>
      <c r="K716" s="32"/>
      <c r="L716" s="233"/>
      <c r="M716" s="296"/>
      <c r="N716" s="296"/>
      <c r="O716" s="296"/>
      <c r="P716" s="296"/>
      <c r="Q716" s="296"/>
      <c r="R716" s="296"/>
      <c r="S716" s="296"/>
      <c r="T716" s="296"/>
      <c r="U716" s="297"/>
      <c r="V716" s="103"/>
      <c r="W716" s="72"/>
      <c r="X716" s="72"/>
      <c r="Y716" s="72"/>
      <c r="Z716" s="45">
        <v>11</v>
      </c>
      <c r="AA716" s="46">
        <v>121</v>
      </c>
      <c r="AB716" s="46">
        <v>132</v>
      </c>
      <c r="AC716" s="72">
        <f t="shared" si="289"/>
        <v>1</v>
      </c>
      <c r="AD716" s="72">
        <f t="shared" si="290"/>
        <v>0</v>
      </c>
      <c r="AE716" s="109" t="str">
        <f t="shared" si="291"/>
        <v>485-488</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t="s">
        <v>484</v>
      </c>
      <c r="D717" s="102" t="s">
        <v>820</v>
      </c>
      <c r="E717" s="32">
        <v>4</v>
      </c>
      <c r="F717" s="32" t="s">
        <v>483</v>
      </c>
      <c r="G717" s="68" t="s">
        <v>277</v>
      </c>
      <c r="H717" s="69">
        <f t="shared" si="298"/>
        <v>481</v>
      </c>
      <c r="I717" s="70">
        <f t="shared" si="299"/>
        <v>484</v>
      </c>
      <c r="J717" s="73" t="str">
        <f t="shared" si="300"/>
        <v>--</v>
      </c>
      <c r="K717" s="32"/>
      <c r="L717" s="233"/>
      <c r="M717" s="296"/>
      <c r="N717" s="296"/>
      <c r="O717" s="296"/>
      <c r="P717" s="296"/>
      <c r="Q717" s="296"/>
      <c r="R717" s="296"/>
      <c r="S717" s="296"/>
      <c r="T717" s="296"/>
      <c r="U717" s="297"/>
      <c r="V717" s="103"/>
      <c r="W717" s="72"/>
      <c r="X717" s="72"/>
      <c r="Y717" s="72"/>
      <c r="Z717" s="45">
        <v>12</v>
      </c>
      <c r="AA717" s="76">
        <v>133</v>
      </c>
      <c r="AB717" s="76">
        <v>144</v>
      </c>
      <c r="AC717" s="72">
        <f t="shared" si="289"/>
        <v>1</v>
      </c>
      <c r="AD717" s="72">
        <f t="shared" si="290"/>
        <v>0</v>
      </c>
      <c r="AE717" s="109" t="str">
        <f t="shared" si="291"/>
        <v>481-484</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4</v>
      </c>
    </row>
    <row r="718" spans="1:53" ht="15.75" thickBot="1" x14ac:dyDescent="0.3">
      <c r="A718" s="88"/>
      <c r="B718" s="66" t="s">
        <v>282</v>
      </c>
      <c r="C718" s="67" t="s">
        <v>484</v>
      </c>
      <c r="D718" s="102" t="s">
        <v>821</v>
      </c>
      <c r="E718" s="32">
        <v>4</v>
      </c>
      <c r="F718" s="32" t="s">
        <v>483</v>
      </c>
      <c r="G718" s="68" t="s">
        <v>277</v>
      </c>
      <c r="H718" s="69">
        <f t="shared" si="298"/>
        <v>477</v>
      </c>
      <c r="I718" s="70">
        <f t="shared" si="299"/>
        <v>480</v>
      </c>
      <c r="J718" s="73" t="str">
        <f t="shared" si="300"/>
        <v>--</v>
      </c>
      <c r="K718" s="32"/>
      <c r="L718" s="233"/>
      <c r="M718" s="296"/>
      <c r="N718" s="296"/>
      <c r="O718" s="296"/>
      <c r="P718" s="296"/>
      <c r="Q718" s="296"/>
      <c r="R718" s="296"/>
      <c r="S718" s="296"/>
      <c r="T718" s="296"/>
      <c r="U718" s="297"/>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477-480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6</v>
      </c>
    </row>
    <row r="719" spans="1:53" ht="15.75" thickBot="1" x14ac:dyDescent="0.3">
      <c r="A719" s="88"/>
      <c r="B719" s="66" t="s">
        <v>283</v>
      </c>
      <c r="C719" s="67" t="s">
        <v>484</v>
      </c>
      <c r="D719" s="102" t="s">
        <v>822</v>
      </c>
      <c r="E719" s="32">
        <v>2</v>
      </c>
      <c r="F719" s="32" t="s">
        <v>483</v>
      </c>
      <c r="G719" s="68" t="s">
        <v>277</v>
      </c>
      <c r="H719" s="69">
        <f t="shared" si="298"/>
        <v>475</v>
      </c>
      <c r="I719" s="70">
        <f t="shared" si="299"/>
        <v>476</v>
      </c>
      <c r="J719" s="73" t="str">
        <f t="shared" si="300"/>
        <v>--</v>
      </c>
      <c r="K719" s="32"/>
      <c r="L719" s="233"/>
      <c r="M719" s="296"/>
      <c r="N719" s="296"/>
      <c r="O719" s="296"/>
      <c r="P719" s="296"/>
      <c r="Q719" s="296"/>
      <c r="R719" s="296"/>
      <c r="S719" s="296"/>
      <c r="T719" s="296"/>
      <c r="U719" s="297"/>
      <c r="V719" s="103"/>
      <c r="W719" s="72"/>
      <c r="X719" s="72"/>
      <c r="Y719" s="72"/>
      <c r="Z719" s="45">
        <v>14</v>
      </c>
      <c r="AA719" s="77">
        <f t="shared" si="301"/>
        <v>157</v>
      </c>
      <c r="AB719" s="77">
        <f t="shared" si="302"/>
        <v>168</v>
      </c>
      <c r="AC719" s="72">
        <f t="shared" si="289"/>
        <v>1</v>
      </c>
      <c r="AD719" s="72">
        <f t="shared" si="290"/>
        <v>0</v>
      </c>
      <c r="AE719" s="109" t="str">
        <f t="shared" si="291"/>
        <v>475-476</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t="s">
        <v>484</v>
      </c>
      <c r="D720" s="102" t="s">
        <v>771</v>
      </c>
      <c r="E720" s="32">
        <v>6</v>
      </c>
      <c r="F720" s="32"/>
      <c r="G720" s="68" t="s">
        <v>277</v>
      </c>
      <c r="H720" s="69">
        <f t="shared" si="298"/>
        <v>469</v>
      </c>
      <c r="I720" s="70">
        <f t="shared" si="299"/>
        <v>474</v>
      </c>
      <c r="J720" s="73" t="str">
        <f t="shared" si="300"/>
        <v>--</v>
      </c>
      <c r="K720" s="32"/>
      <c r="L720" s="233"/>
      <c r="M720" s="296" t="s">
        <v>769</v>
      </c>
      <c r="N720" s="296"/>
      <c r="O720" s="296"/>
      <c r="P720" s="296"/>
      <c r="Q720" s="296"/>
      <c r="R720" s="296"/>
      <c r="S720" s="296"/>
      <c r="T720" s="296"/>
      <c r="U720" s="297"/>
      <c r="V720" s="103"/>
      <c r="W720" s="72"/>
      <c r="X720" s="72"/>
      <c r="Y720" s="72"/>
      <c r="Z720" s="45">
        <v>15</v>
      </c>
      <c r="AA720" s="77">
        <f t="shared" si="301"/>
        <v>169</v>
      </c>
      <c r="AB720" s="77">
        <f t="shared" si="302"/>
        <v>180</v>
      </c>
      <c r="AC720" s="72">
        <f t="shared" si="289"/>
        <v>1</v>
      </c>
      <c r="AD720" s="72">
        <f t="shared" si="290"/>
        <v>0</v>
      </c>
      <c r="AE720" s="109" t="str">
        <f t="shared" si="291"/>
        <v>469-474</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6"/>
      <c r="N721" s="296"/>
      <c r="O721" s="296"/>
      <c r="P721" s="296"/>
      <c r="Q721" s="296"/>
      <c r="R721" s="296"/>
      <c r="S721" s="296"/>
      <c r="T721" s="296"/>
      <c r="U721" s="297"/>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6"/>
      <c r="N722" s="296"/>
      <c r="O722" s="296"/>
      <c r="P722" s="296"/>
      <c r="Q722" s="296"/>
      <c r="R722" s="296"/>
      <c r="S722" s="296"/>
      <c r="T722" s="296"/>
      <c r="U722" s="297"/>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6"/>
      <c r="N723" s="296"/>
      <c r="O723" s="296"/>
      <c r="P723" s="296"/>
      <c r="Q723" s="296"/>
      <c r="R723" s="296"/>
      <c r="S723" s="296"/>
      <c r="T723" s="296"/>
      <c r="U723" s="297"/>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6"/>
      <c r="N724" s="296"/>
      <c r="O724" s="296"/>
      <c r="P724" s="296"/>
      <c r="Q724" s="296"/>
      <c r="R724" s="296"/>
      <c r="S724" s="296"/>
      <c r="T724" s="296"/>
      <c r="U724" s="297"/>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6"/>
      <c r="N725" s="296"/>
      <c r="O725" s="296"/>
      <c r="P725" s="296"/>
      <c r="Q725" s="296"/>
      <c r="R725" s="296"/>
      <c r="S725" s="296"/>
      <c r="T725" s="296"/>
      <c r="U725" s="297"/>
      <c r="V725" s="103"/>
      <c r="W725" s="84">
        <f>Y725+1</f>
        <v>37</v>
      </c>
      <c r="X725" s="84"/>
      <c r="Y725" s="78">
        <f>SUM(E714:E725)</f>
        <v>36</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6"/>
      <c r="N726" s="296"/>
      <c r="O726" s="296"/>
      <c r="P726" s="296"/>
      <c r="Q726" s="296"/>
      <c r="R726" s="296"/>
      <c r="S726" s="296"/>
      <c r="T726" s="296"/>
      <c r="U726" s="297"/>
      <c r="V726" s="103"/>
      <c r="W726" s="84">
        <f>Y726+1</f>
        <v>37</v>
      </c>
      <c r="X726" s="84"/>
      <c r="Y726" s="78">
        <f>SUM(E714:E726)</f>
        <v>36</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6"/>
      <c r="N727" s="296"/>
      <c r="O727" s="296"/>
      <c r="P727" s="296"/>
      <c r="Q727" s="296"/>
      <c r="R727" s="296"/>
      <c r="S727" s="296"/>
      <c r="T727" s="296"/>
      <c r="U727" s="297"/>
      <c r="V727" s="103"/>
      <c r="W727" s="84">
        <f>Y727+1</f>
        <v>37</v>
      </c>
      <c r="X727" s="84"/>
      <c r="Y727" s="78">
        <f>SUM(E714:E727)</f>
        <v>36</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6"/>
      <c r="N728" s="296"/>
      <c r="O728" s="296"/>
      <c r="P728" s="296"/>
      <c r="Q728" s="296"/>
      <c r="R728" s="296"/>
      <c r="S728" s="296"/>
      <c r="T728" s="296"/>
      <c r="U728" s="297"/>
      <c r="V728" s="103"/>
      <c r="W728" s="84">
        <f>Y728+1</f>
        <v>37</v>
      </c>
      <c r="X728" s="84"/>
      <c r="Y728" s="78">
        <f>SUM(E714:E728)</f>
        <v>36</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6"/>
      <c r="N729" s="296"/>
      <c r="O729" s="296"/>
      <c r="P729" s="296"/>
      <c r="Q729" s="296"/>
      <c r="R729" s="296"/>
      <c r="S729" s="296"/>
      <c r="T729" s="296"/>
      <c r="U729" s="297"/>
      <c r="V729" s="103"/>
      <c r="W729" s="84">
        <f t="shared" ref="W729:W737" si="305">Y729+1</f>
        <v>37</v>
      </c>
      <c r="X729" s="84"/>
      <c r="Y729" s="78">
        <f>SUM(E714:E729)</f>
        <v>36</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6"/>
      <c r="N730" s="296"/>
      <c r="O730" s="296"/>
      <c r="P730" s="296"/>
      <c r="Q730" s="296"/>
      <c r="R730" s="296"/>
      <c r="S730" s="296"/>
      <c r="T730" s="296"/>
      <c r="U730" s="297"/>
      <c r="V730" s="103"/>
      <c r="W730" s="84">
        <f t="shared" si="305"/>
        <v>37</v>
      </c>
      <c r="X730" s="84"/>
      <c r="Y730" s="78">
        <f>SUM(E714:E730)</f>
        <v>36</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6"/>
      <c r="N731" s="296"/>
      <c r="O731" s="296"/>
      <c r="P731" s="296"/>
      <c r="Q731" s="296"/>
      <c r="R731" s="296"/>
      <c r="S731" s="296"/>
      <c r="T731" s="296"/>
      <c r="U731" s="297"/>
      <c r="V731" s="103"/>
      <c r="W731" s="84">
        <f t="shared" si="305"/>
        <v>37</v>
      </c>
      <c r="X731" s="84"/>
      <c r="Y731" s="78">
        <f>SUM(E714:E731)</f>
        <v>36</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6"/>
      <c r="N732" s="296"/>
      <c r="O732" s="296"/>
      <c r="P732" s="296"/>
      <c r="Q732" s="296"/>
      <c r="R732" s="296"/>
      <c r="S732" s="296"/>
      <c r="T732" s="296"/>
      <c r="U732" s="297"/>
      <c r="V732" s="103"/>
      <c r="W732" s="84">
        <f t="shared" si="305"/>
        <v>37</v>
      </c>
      <c r="X732" s="84"/>
      <c r="Y732" s="78">
        <f>SUM(E714:E732)</f>
        <v>36</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6"/>
      <c r="N733" s="296"/>
      <c r="O733" s="296"/>
      <c r="P733" s="296"/>
      <c r="Q733" s="296"/>
      <c r="R733" s="296"/>
      <c r="S733" s="296"/>
      <c r="T733" s="296"/>
      <c r="U733" s="297"/>
      <c r="V733" s="103"/>
      <c r="W733" s="84">
        <f t="shared" si="305"/>
        <v>37</v>
      </c>
      <c r="X733" s="84"/>
      <c r="Y733" s="78">
        <f>SUM(E714:E733)</f>
        <v>36</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6"/>
      <c r="N734" s="296"/>
      <c r="O734" s="296"/>
      <c r="P734" s="296"/>
      <c r="Q734" s="296"/>
      <c r="R734" s="296"/>
      <c r="S734" s="296"/>
      <c r="T734" s="296"/>
      <c r="U734" s="297"/>
      <c r="V734" s="103"/>
      <c r="W734" s="84">
        <f t="shared" si="305"/>
        <v>37</v>
      </c>
      <c r="X734" s="84"/>
      <c r="Y734" s="78">
        <f>SUM(E714:E734)</f>
        <v>36</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6"/>
      <c r="N735" s="296"/>
      <c r="O735" s="296"/>
      <c r="P735" s="296"/>
      <c r="Q735" s="296"/>
      <c r="R735" s="296"/>
      <c r="S735" s="296"/>
      <c r="T735" s="296"/>
      <c r="U735" s="297"/>
      <c r="V735" s="103"/>
      <c r="W735" s="84">
        <f t="shared" si="305"/>
        <v>37</v>
      </c>
      <c r="X735" s="84"/>
      <c r="Y735" s="78">
        <f>SUM(E714:E735)</f>
        <v>36</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6"/>
      <c r="N736" s="296"/>
      <c r="O736" s="296"/>
      <c r="P736" s="296"/>
      <c r="Q736" s="296"/>
      <c r="R736" s="296"/>
      <c r="S736" s="296"/>
      <c r="T736" s="296"/>
      <c r="U736" s="297"/>
      <c r="V736" s="103"/>
      <c r="W736" s="84">
        <f t="shared" si="305"/>
        <v>37</v>
      </c>
      <c r="X736" s="84"/>
      <c r="Y736" s="78">
        <f>SUM(E714:E736)</f>
        <v>36</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6"/>
      <c r="N737" s="296"/>
      <c r="O737" s="296"/>
      <c r="P737" s="296"/>
      <c r="Q737" s="296"/>
      <c r="R737" s="296"/>
      <c r="S737" s="296"/>
      <c r="T737" s="296"/>
      <c r="U737" s="297"/>
      <c r="V737" s="103"/>
      <c r="W737" s="84">
        <f t="shared" si="305"/>
        <v>37</v>
      </c>
      <c r="X737" s="84"/>
      <c r="Y737" s="78">
        <f>SUM(E714:E737)</f>
        <v>36</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6"/>
      <c r="N738" s="296"/>
      <c r="O738" s="296"/>
      <c r="P738" s="296"/>
      <c r="Q738" s="296"/>
      <c r="R738" s="296"/>
      <c r="S738" s="296"/>
      <c r="T738" s="296"/>
      <c r="U738" s="297"/>
      <c r="V738" s="103"/>
      <c r="W738" s="72"/>
      <c r="X738" s="72"/>
      <c r="Y738" s="78">
        <f>SUM(E714:E738)</f>
        <v>36</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2" t="s">
        <v>339</v>
      </c>
      <c r="C739" s="284"/>
      <c r="D739" s="79"/>
      <c r="E739" s="80"/>
      <c r="F739" s="80"/>
      <c r="G739" s="81"/>
      <c r="H739" s="192"/>
      <c r="I739" s="192"/>
      <c r="J739" s="192"/>
      <c r="K739" s="82"/>
      <c r="L739" s="282" t="s">
        <v>306</v>
      </c>
      <c r="M739" s="283"/>
      <c r="N739" s="283"/>
      <c r="O739" s="283"/>
      <c r="P739" s="283"/>
      <c r="Q739" s="283"/>
      <c r="R739" s="283"/>
      <c r="S739" s="283"/>
      <c r="T739" s="283"/>
      <c r="U739" s="284"/>
      <c r="V739" s="104"/>
      <c r="W739" s="72"/>
      <c r="X739" s="72"/>
      <c r="Y739" s="72"/>
      <c r="Z739" s="72"/>
      <c r="AA739" s="72" t="str">
        <f t="shared" si="304"/>
        <v/>
      </c>
      <c r="AB739" s="72"/>
      <c r="AC739" s="72">
        <f>SUM(AC714:AC738)</f>
        <v>25</v>
      </c>
      <c r="AD739" s="72">
        <f>SUM(AD714:AD738)</f>
        <v>19</v>
      </c>
      <c r="AM739" s="109">
        <f>SUM(AM714:AM738)</f>
        <v>1</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2" t="s">
        <v>307</v>
      </c>
      <c r="C740" s="284"/>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5" t="s">
        <v>222</v>
      </c>
      <c r="C744" s="286"/>
      <c r="D744" s="287" t="s">
        <v>223</v>
      </c>
      <c r="E744" s="288"/>
      <c r="F744" s="88"/>
      <c r="G744" s="289" t="s">
        <v>224</v>
      </c>
      <c r="H744" s="290"/>
      <c r="I744" s="28">
        <f>SUM(E755:E779)</f>
        <v>6</v>
      </c>
      <c r="J744" s="291" t="s">
        <v>225</v>
      </c>
      <c r="K744" s="292"/>
      <c r="L744" s="288"/>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8" t="s">
        <v>226</v>
      </c>
      <c r="AA744" s="299"/>
      <c r="AB744" s="300"/>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1" t="s">
        <v>230</v>
      </c>
      <c r="H745" s="288"/>
      <c r="I745" s="33">
        <f>E746-I744</f>
        <v>18</v>
      </c>
      <c r="J745" s="302" t="s">
        <v>231</v>
      </c>
      <c r="K745" s="303"/>
      <c r="L745" s="34">
        <f>I749</f>
        <v>673</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4" t="s">
        <v>232</v>
      </c>
      <c r="AA745" s="306" t="s">
        <v>233</v>
      </c>
      <c r="AB745" s="307"/>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310" t="s">
        <v>237</v>
      </c>
      <c r="H746" s="311"/>
      <c r="I746" s="35">
        <f>IF(E746=0,0,12-(MOD(I744,12)))</f>
        <v>6</v>
      </c>
      <c r="J746" s="302" t="s">
        <v>238</v>
      </c>
      <c r="K746" s="303"/>
      <c r="L746" s="39">
        <f>I750-I744</f>
        <v>678</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5"/>
      <c r="AA746" s="308"/>
      <c r="AB746" s="309"/>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278" t="s">
        <v>242</v>
      </c>
      <c r="H747" s="43" t="s">
        <v>243</v>
      </c>
      <c r="I747" s="35">
        <f>IF(E747&lt;&gt;0,1,0)</f>
        <v>1</v>
      </c>
      <c r="J747" s="310" t="s">
        <v>244</v>
      </c>
      <c r="K747" s="311"/>
      <c r="L747" s="44">
        <f>'Cable Calculator'!CP3</f>
        <v>438</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673</v>
      </c>
      <c r="F748" s="88"/>
      <c r="G748" s="279"/>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278" t="s">
        <v>251</v>
      </c>
      <c r="H749" s="51" t="s">
        <v>252</v>
      </c>
      <c r="I749" s="112">
        <f>E748</f>
        <v>673</v>
      </c>
      <c r="J749" s="312" t="s">
        <v>253</v>
      </c>
      <c r="K749" s="313"/>
      <c r="L749" s="31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79"/>
      <c r="H750" s="47" t="s">
        <v>257</v>
      </c>
      <c r="I750" s="35">
        <f>IF(E748="","0",IF(AND(E745="EUC",E746=432), I749+(203-E747),IF(E748=0,0,(E748+(E746-E747)-1))))</f>
        <v>684</v>
      </c>
      <c r="J750" s="293" t="str">
        <f>IFERROR(IF(OR(E745="EUC",E745="SS"),"---",IF(OR(P744,S744),"NO 2F Tethers for RPX!",IF(OR(P746,S746),"NO 6F Tethers for RPX!","---"))),"---")</f>
        <v>---</v>
      </c>
      <c r="K750" s="294"/>
      <c r="L750" s="295"/>
      <c r="M750" s="293" t="str">
        <f>IF(E747&gt;60,"Dead Count &gt;60: Consider Downsize","---")</f>
        <v>---</v>
      </c>
      <c r="N750" s="294"/>
      <c r="O750" s="294"/>
      <c r="P750" s="294"/>
      <c r="Q750" s="294"/>
      <c r="R750" s="294"/>
      <c r="S750" s="294"/>
      <c r="T750" s="294"/>
      <c r="U750" s="295"/>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v>
      </c>
      <c r="D751" s="31" t="s">
        <v>259</v>
      </c>
      <c r="E751" s="101" t="str">
        <f>IF(AS745="Y","DBL",IF(AS746="Y","TRPL",IF(AS747="Y","QUAD","")))</f>
        <v/>
      </c>
      <c r="F751" s="88"/>
      <c r="G751" s="192"/>
      <c r="H751" s="57"/>
      <c r="I751" s="192"/>
      <c r="J751" s="293"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4"/>
      <c r="L751" s="295"/>
      <c r="M751" s="293" t="str">
        <f>IF(AND(OR(E745="SS",E745="RPX",E745="EUC",E745="RPX-T"),(OR(C755="",C755="Field SPL"))),"Cannot have FlexNap cables without tethers","---")</f>
        <v>---</v>
      </c>
      <c r="N751" s="294"/>
      <c r="O751" s="294"/>
      <c r="P751" s="294"/>
      <c r="Q751" s="294"/>
      <c r="R751" s="294"/>
      <c r="S751" s="294"/>
      <c r="T751" s="294"/>
      <c r="U751" s="295"/>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3" t="str">
        <f>IF(AND(OR(E745="RPX", E745="RPX-T", E745="SS"),E746=216),"NO 216 For RPX, RPX-T, OR SS CABLE","---")</f>
        <v>---</v>
      </c>
      <c r="K752" s="294"/>
      <c r="L752" s="295"/>
      <c r="M752" s="293" t="str" cm="1">
        <f t="array" ref="M752">IF(AND(E745="",OR(C755:C779="FST",C755:C779="REV T",C755:C779="DBL REV",C755:C779="TPL REV", C755:C779="QD REV")),"Non-FlexNap cables cannot have tethers","---")</f>
        <v>Non-FlexNap cables cannot have tethers</v>
      </c>
      <c r="N752" s="294"/>
      <c r="O752" s="294"/>
      <c r="P752" s="294"/>
      <c r="Q752" s="294"/>
      <c r="R752" s="294"/>
      <c r="S752" s="294"/>
      <c r="T752" s="294"/>
      <c r="U752" s="295"/>
      <c r="V752" s="25"/>
      <c r="W752" s="58"/>
      <c r="X752" s="58"/>
      <c r="Y752" s="25"/>
      <c r="Z752" s="45">
        <v>6</v>
      </c>
      <c r="AA752" s="65">
        <v>61</v>
      </c>
      <c r="AB752" s="65">
        <v>72</v>
      </c>
      <c r="AC752" s="25"/>
      <c r="AD752" s="25"/>
      <c r="BA752" s="226"/>
    </row>
    <row r="753" spans="1:53" ht="15.75" customHeight="1" thickBot="1" x14ac:dyDescent="0.3">
      <c r="A753" s="88"/>
      <c r="B753" s="278" t="s">
        <v>260</v>
      </c>
      <c r="C753" s="315" t="s">
        <v>261</v>
      </c>
      <c r="D753" s="315" t="s">
        <v>262</v>
      </c>
      <c r="E753" s="317" t="s">
        <v>263</v>
      </c>
      <c r="F753" s="315" t="s">
        <v>264</v>
      </c>
      <c r="G753" s="280" t="s">
        <v>265</v>
      </c>
      <c r="H753" s="280" t="s">
        <v>266</v>
      </c>
      <c r="I753" s="280" t="s">
        <v>267</v>
      </c>
      <c r="J753" s="319" t="s">
        <v>268</v>
      </c>
      <c r="K753" s="315" t="s">
        <v>269</v>
      </c>
      <c r="L753" s="321" t="s">
        <v>270</v>
      </c>
      <c r="M753" s="323" t="s">
        <v>271</v>
      </c>
      <c r="N753" s="323"/>
      <c r="O753" s="323"/>
      <c r="P753" s="323"/>
      <c r="Q753" s="323"/>
      <c r="R753" s="323"/>
      <c r="S753" s="323"/>
      <c r="T753" s="323"/>
      <c r="U753" s="324"/>
      <c r="V753" s="107"/>
      <c r="W753" s="72"/>
      <c r="X753" s="72"/>
      <c r="Y753" s="72"/>
      <c r="Z753" s="45">
        <v>7</v>
      </c>
      <c r="AA753" s="65">
        <v>73</v>
      </c>
      <c r="AB753" s="65">
        <v>84</v>
      </c>
      <c r="AC753" s="25"/>
      <c r="AD753" s="25"/>
      <c r="BA753" s="228"/>
    </row>
    <row r="754" spans="1:53" ht="15.75" thickBot="1" x14ac:dyDescent="0.3">
      <c r="A754" s="88"/>
      <c r="B754" s="279"/>
      <c r="C754" s="316"/>
      <c r="D754" s="316"/>
      <c r="E754" s="318"/>
      <c r="F754" s="316"/>
      <c r="G754" s="281"/>
      <c r="H754" s="281"/>
      <c r="I754" s="281"/>
      <c r="J754" s="320"/>
      <c r="K754" s="316"/>
      <c r="L754" s="322"/>
      <c r="M754" s="325"/>
      <c r="N754" s="325"/>
      <c r="O754" s="325"/>
      <c r="P754" s="325"/>
      <c r="Q754" s="325"/>
      <c r="R754" s="325"/>
      <c r="S754" s="325"/>
      <c r="T754" s="325"/>
      <c r="U754" s="326"/>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772</v>
      </c>
      <c r="E755" s="32">
        <v>6</v>
      </c>
      <c r="F755" s="32"/>
      <c r="G755" s="68" t="s">
        <v>277</v>
      </c>
      <c r="H755" s="69">
        <f>IF(I755=0,0,I755-(E755-1))</f>
        <v>679</v>
      </c>
      <c r="I755" s="70">
        <f>IF(E755=0,0,I750)</f>
        <v>684</v>
      </c>
      <c r="J755" s="71" t="s">
        <v>278</v>
      </c>
      <c r="K755" s="32"/>
      <c r="L755" s="233"/>
      <c r="M755" s="296" t="s">
        <v>762</v>
      </c>
      <c r="N755" s="296"/>
      <c r="O755" s="296"/>
      <c r="P755" s="296"/>
      <c r="Q755" s="296"/>
      <c r="R755" s="296"/>
      <c r="S755" s="296"/>
      <c r="T755" s="296"/>
      <c r="U755" s="297"/>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679-684</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6</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6"/>
      <c r="N756" s="296"/>
      <c r="O756" s="296"/>
      <c r="P756" s="296"/>
      <c r="Q756" s="296"/>
      <c r="R756" s="296"/>
      <c r="S756" s="296"/>
      <c r="T756" s="296"/>
      <c r="U756" s="297"/>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6</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6"/>
      <c r="N757" s="296"/>
      <c r="O757" s="296"/>
      <c r="P757" s="296"/>
      <c r="Q757" s="296"/>
      <c r="R757" s="296"/>
      <c r="S757" s="296"/>
      <c r="T757" s="296"/>
      <c r="U757" s="297"/>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6</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6"/>
      <c r="N758" s="296"/>
      <c r="O758" s="296"/>
      <c r="P758" s="296"/>
      <c r="Q758" s="296"/>
      <c r="R758" s="296"/>
      <c r="S758" s="296"/>
      <c r="T758" s="296"/>
      <c r="U758" s="297"/>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6</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6"/>
      <c r="N759" s="296"/>
      <c r="O759" s="296"/>
      <c r="P759" s="296"/>
      <c r="Q759" s="296"/>
      <c r="R759" s="296"/>
      <c r="S759" s="296"/>
      <c r="T759" s="296"/>
      <c r="U759" s="297"/>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6</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6"/>
      <c r="N760" s="296"/>
      <c r="O760" s="296"/>
      <c r="P760" s="296"/>
      <c r="Q760" s="296"/>
      <c r="R760" s="296"/>
      <c r="S760" s="296"/>
      <c r="T760" s="296"/>
      <c r="U760" s="297"/>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6</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6"/>
      <c r="N761" s="296"/>
      <c r="O761" s="296"/>
      <c r="P761" s="296"/>
      <c r="Q761" s="296"/>
      <c r="R761" s="296"/>
      <c r="S761" s="296"/>
      <c r="T761" s="296"/>
      <c r="U761" s="297"/>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6</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6"/>
      <c r="N762" s="296"/>
      <c r="O762" s="296"/>
      <c r="P762" s="296"/>
      <c r="Q762" s="296"/>
      <c r="R762" s="296"/>
      <c r="S762" s="296"/>
      <c r="T762" s="296"/>
      <c r="U762" s="297"/>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6</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6"/>
      <c r="N763" s="296"/>
      <c r="O763" s="296"/>
      <c r="P763" s="296"/>
      <c r="Q763" s="296"/>
      <c r="R763" s="296"/>
      <c r="S763" s="296"/>
      <c r="T763" s="296"/>
      <c r="U763" s="297"/>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6</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6"/>
      <c r="N764" s="296"/>
      <c r="O764" s="296"/>
      <c r="P764" s="296"/>
      <c r="Q764" s="296"/>
      <c r="R764" s="296"/>
      <c r="S764" s="296"/>
      <c r="T764" s="296"/>
      <c r="U764" s="297"/>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6</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6"/>
      <c r="N765" s="296"/>
      <c r="O765" s="296"/>
      <c r="P765" s="296"/>
      <c r="Q765" s="296"/>
      <c r="R765" s="296"/>
      <c r="S765" s="296"/>
      <c r="T765" s="296"/>
      <c r="U765" s="297"/>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6</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6"/>
      <c r="N766" s="296"/>
      <c r="O766" s="296"/>
      <c r="P766" s="296"/>
      <c r="Q766" s="296"/>
      <c r="R766" s="296"/>
      <c r="S766" s="296"/>
      <c r="T766" s="296"/>
      <c r="U766" s="297"/>
      <c r="V766" s="103"/>
      <c r="W766" s="84">
        <f>Y766+1</f>
        <v>7</v>
      </c>
      <c r="X766" s="84"/>
      <c r="Y766" s="78">
        <f>SUM(E755:E766)</f>
        <v>6</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6</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6"/>
      <c r="N767" s="296"/>
      <c r="O767" s="296"/>
      <c r="P767" s="296"/>
      <c r="Q767" s="296"/>
      <c r="R767" s="296"/>
      <c r="S767" s="296"/>
      <c r="T767" s="296"/>
      <c r="U767" s="297"/>
      <c r="V767" s="103"/>
      <c r="W767" s="84">
        <f>Y767+1</f>
        <v>7</v>
      </c>
      <c r="X767" s="84"/>
      <c r="Y767" s="78">
        <f>SUM(E755:E767)</f>
        <v>6</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6</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6"/>
      <c r="N768" s="296"/>
      <c r="O768" s="296"/>
      <c r="P768" s="296"/>
      <c r="Q768" s="296"/>
      <c r="R768" s="296"/>
      <c r="S768" s="296"/>
      <c r="T768" s="296"/>
      <c r="U768" s="297"/>
      <c r="V768" s="103"/>
      <c r="W768" s="84">
        <f>Y768+1</f>
        <v>7</v>
      </c>
      <c r="X768" s="84"/>
      <c r="Y768" s="78">
        <f>SUM(E755:E768)</f>
        <v>6</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6</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6"/>
      <c r="N769" s="296"/>
      <c r="O769" s="296"/>
      <c r="P769" s="296"/>
      <c r="Q769" s="296"/>
      <c r="R769" s="296"/>
      <c r="S769" s="296"/>
      <c r="T769" s="296"/>
      <c r="U769" s="297"/>
      <c r="V769" s="103"/>
      <c r="W769" s="84">
        <f>Y769+1</f>
        <v>7</v>
      </c>
      <c r="X769" s="84"/>
      <c r="Y769" s="78">
        <f>SUM(E755:E769)</f>
        <v>6</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6</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6"/>
      <c r="N770" s="296"/>
      <c r="O770" s="296"/>
      <c r="P770" s="296"/>
      <c r="Q770" s="296"/>
      <c r="R770" s="296"/>
      <c r="S770" s="296"/>
      <c r="T770" s="296"/>
      <c r="U770" s="297"/>
      <c r="V770" s="103"/>
      <c r="W770" s="84">
        <f t="shared" ref="W770:W778" si="322">Y770+1</f>
        <v>7</v>
      </c>
      <c r="X770" s="84"/>
      <c r="Y770" s="78">
        <f>SUM(E755:E770)</f>
        <v>6</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6</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6"/>
      <c r="N771" s="296"/>
      <c r="O771" s="296"/>
      <c r="P771" s="296"/>
      <c r="Q771" s="296"/>
      <c r="R771" s="296"/>
      <c r="S771" s="296"/>
      <c r="T771" s="296"/>
      <c r="U771" s="297"/>
      <c r="V771" s="103"/>
      <c r="W771" s="84">
        <f t="shared" si="322"/>
        <v>7</v>
      </c>
      <c r="X771" s="84"/>
      <c r="Y771" s="78">
        <f>SUM(E755:E771)</f>
        <v>6</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6</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6"/>
      <c r="N772" s="296"/>
      <c r="O772" s="296"/>
      <c r="P772" s="296"/>
      <c r="Q772" s="296"/>
      <c r="R772" s="296"/>
      <c r="S772" s="296"/>
      <c r="T772" s="296"/>
      <c r="U772" s="297"/>
      <c r="V772" s="103"/>
      <c r="W772" s="84">
        <f t="shared" si="322"/>
        <v>7</v>
      </c>
      <c r="X772" s="84"/>
      <c r="Y772" s="78">
        <f>SUM(E755:E772)</f>
        <v>6</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6</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6"/>
      <c r="N773" s="296"/>
      <c r="O773" s="296"/>
      <c r="P773" s="296"/>
      <c r="Q773" s="296"/>
      <c r="R773" s="296"/>
      <c r="S773" s="296"/>
      <c r="T773" s="296"/>
      <c r="U773" s="297"/>
      <c r="V773" s="103"/>
      <c r="W773" s="84">
        <f t="shared" si="322"/>
        <v>7</v>
      </c>
      <c r="X773" s="84"/>
      <c r="Y773" s="78">
        <f>SUM(E755:E773)</f>
        <v>6</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6</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6"/>
      <c r="N774" s="296"/>
      <c r="O774" s="296"/>
      <c r="P774" s="296"/>
      <c r="Q774" s="296"/>
      <c r="R774" s="296"/>
      <c r="S774" s="296"/>
      <c r="T774" s="296"/>
      <c r="U774" s="297"/>
      <c r="V774" s="103"/>
      <c r="W774" s="84">
        <f t="shared" si="322"/>
        <v>7</v>
      </c>
      <c r="X774" s="84"/>
      <c r="Y774" s="78">
        <f>SUM(E755:E774)</f>
        <v>6</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6</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6"/>
      <c r="N775" s="296"/>
      <c r="O775" s="296"/>
      <c r="P775" s="296"/>
      <c r="Q775" s="296"/>
      <c r="R775" s="296"/>
      <c r="S775" s="296"/>
      <c r="T775" s="296"/>
      <c r="U775" s="297"/>
      <c r="V775" s="103"/>
      <c r="W775" s="84">
        <f t="shared" si="322"/>
        <v>7</v>
      </c>
      <c r="X775" s="84"/>
      <c r="Y775" s="78">
        <f>SUM(E755:E775)</f>
        <v>6</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6</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6"/>
      <c r="N776" s="296"/>
      <c r="O776" s="296"/>
      <c r="P776" s="296"/>
      <c r="Q776" s="296"/>
      <c r="R776" s="296"/>
      <c r="S776" s="296"/>
      <c r="T776" s="296"/>
      <c r="U776" s="297"/>
      <c r="V776" s="103"/>
      <c r="W776" s="84">
        <f t="shared" si="322"/>
        <v>7</v>
      </c>
      <c r="X776" s="84"/>
      <c r="Y776" s="78">
        <f>SUM(E755:E776)</f>
        <v>6</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6</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6"/>
      <c r="N777" s="296"/>
      <c r="O777" s="296"/>
      <c r="P777" s="296"/>
      <c r="Q777" s="296"/>
      <c r="R777" s="296"/>
      <c r="S777" s="296"/>
      <c r="T777" s="296"/>
      <c r="U777" s="297"/>
      <c r="V777" s="103"/>
      <c r="W777" s="84">
        <f t="shared" si="322"/>
        <v>7</v>
      </c>
      <c r="X777" s="84"/>
      <c r="Y777" s="78">
        <f>SUM(E755:E777)</f>
        <v>6</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6</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6"/>
      <c r="N778" s="296"/>
      <c r="O778" s="296"/>
      <c r="P778" s="296"/>
      <c r="Q778" s="296"/>
      <c r="R778" s="296"/>
      <c r="S778" s="296"/>
      <c r="T778" s="296"/>
      <c r="U778" s="297"/>
      <c r="V778" s="103"/>
      <c r="W778" s="84">
        <f t="shared" si="322"/>
        <v>7</v>
      </c>
      <c r="X778" s="84"/>
      <c r="Y778" s="78">
        <f>SUM(E755:E778)</f>
        <v>6</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6</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6"/>
      <c r="N779" s="296"/>
      <c r="O779" s="296"/>
      <c r="P779" s="296"/>
      <c r="Q779" s="296"/>
      <c r="R779" s="296"/>
      <c r="S779" s="296"/>
      <c r="T779" s="296"/>
      <c r="U779" s="297"/>
      <c r="V779" s="103"/>
      <c r="W779" s="72"/>
      <c r="X779" s="72"/>
      <c r="Y779" s="78">
        <f>SUM(E755:E779)</f>
        <v>6</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2" t="s">
        <v>341</v>
      </c>
      <c r="C780" s="284"/>
      <c r="D780" s="79"/>
      <c r="E780" s="80"/>
      <c r="F780" s="80"/>
      <c r="G780" s="81"/>
      <c r="H780" s="192"/>
      <c r="I780" s="192"/>
      <c r="J780" s="192"/>
      <c r="K780" s="82"/>
      <c r="L780" s="282" t="s">
        <v>306</v>
      </c>
      <c r="M780" s="283"/>
      <c r="N780" s="283"/>
      <c r="O780" s="283"/>
      <c r="P780" s="283"/>
      <c r="Q780" s="283"/>
      <c r="R780" s="283"/>
      <c r="S780" s="283"/>
      <c r="T780" s="283"/>
      <c r="U780" s="284"/>
      <c r="V780" s="104"/>
      <c r="W780" s="72"/>
      <c r="X780" s="72"/>
      <c r="Y780" s="72"/>
      <c r="Z780" s="72"/>
      <c r="AA780" s="72" t="str">
        <f t="shared" si="321"/>
        <v/>
      </c>
      <c r="AB780" s="72"/>
      <c r="AC780" s="72">
        <f>SUM(AC755:AC779)</f>
        <v>25</v>
      </c>
      <c r="AD780" s="72">
        <f>SUM(AD755:AD779)</f>
        <v>24</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2" t="s">
        <v>307</v>
      </c>
      <c r="C781" s="284"/>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5" t="s">
        <v>222</v>
      </c>
      <c r="C785" s="286"/>
      <c r="D785" s="287" t="s">
        <v>223</v>
      </c>
      <c r="E785" s="288"/>
      <c r="F785" s="88"/>
      <c r="G785" s="289" t="s">
        <v>224</v>
      </c>
      <c r="H785" s="290"/>
      <c r="I785" s="28">
        <f>SUM(E796:E820)</f>
        <v>12</v>
      </c>
      <c r="J785" s="291" t="s">
        <v>225</v>
      </c>
      <c r="K785" s="292"/>
      <c r="L785" s="288"/>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8" t="s">
        <v>226</v>
      </c>
      <c r="AA785" s="299"/>
      <c r="AB785" s="300"/>
      <c r="AC785" s="25"/>
      <c r="AD785" s="25"/>
      <c r="AH785" s="109">
        <v>2</v>
      </c>
      <c r="AI785" s="109" t="str">
        <f>IF($E786="SS",COUNTIFS($C796:$C820,"FST",$E796:$E820,"2"),"0")</f>
        <v>0</v>
      </c>
      <c r="AJ785" s="109">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1</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RPX</v>
      </c>
      <c r="F786" s="88"/>
      <c r="G786" s="301" t="s">
        <v>230</v>
      </c>
      <c r="H786" s="288"/>
      <c r="I786" s="33">
        <f>E787-I785</f>
        <v>12</v>
      </c>
      <c r="J786" s="302" t="s">
        <v>231</v>
      </c>
      <c r="K786" s="303"/>
      <c r="L786" s="34">
        <f>I790</f>
        <v>493</v>
      </c>
      <c r="M786" s="196">
        <v>4</v>
      </c>
      <c r="N786" s="35">
        <f>SUM(AI786,AI797)</f>
        <v>0</v>
      </c>
      <c r="O786" s="35">
        <v>0</v>
      </c>
      <c r="P786" s="35">
        <f>SUM(AJ786,AJ797)</f>
        <v>3</v>
      </c>
      <c r="Q786" s="35">
        <v>0</v>
      </c>
      <c r="R786" s="35">
        <f>COUNTIFS($E796:$E820,"4",$F796:$F820,"Pole",$C796:$C820,"FST")</f>
        <v>3</v>
      </c>
      <c r="S786" s="35">
        <f>SUM(AL786,AK797)</f>
        <v>0</v>
      </c>
      <c r="T786" s="35">
        <v>0</v>
      </c>
      <c r="U786" s="35">
        <f>SUM(AK786,AL797)</f>
        <v>0</v>
      </c>
      <c r="V786" s="35">
        <v>0</v>
      </c>
      <c r="W786" s="34">
        <f>COUNTIFS($E796:$E820,"4",$F796:$F820,"HH",$C796:$C820,"FST")</f>
        <v>0</v>
      </c>
      <c r="X786" s="35">
        <f>COUNTIFS($E796:$E820,"4",$F796:$F820,"Ped",$C796:$C820,"FST")</f>
        <v>0</v>
      </c>
      <c r="Y786" s="25"/>
      <c r="Z786" s="304" t="s">
        <v>232</v>
      </c>
      <c r="AA786" s="306" t="s">
        <v>233</v>
      </c>
      <c r="AB786" s="307"/>
      <c r="AC786" s="25"/>
      <c r="AD786" s="25"/>
      <c r="AH786" s="109">
        <v>4</v>
      </c>
      <c r="AI786" s="109" t="str">
        <f>IF($E786="SS",COUNTIFS($C796:$C820,"FST",$E796:$E820,"4"),"0")</f>
        <v>0</v>
      </c>
      <c r="AJ786" s="109">
        <f>IF($E786="RPX",COUNTIFS($C796:$C820,"FST",$E796:$E820,"4"),"0")</f>
        <v>3</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310" t="s">
        <v>237</v>
      </c>
      <c r="H787" s="311"/>
      <c r="I787" s="35">
        <f>IF(E787=0,0,12-(MOD(I785,12)))</f>
        <v>12</v>
      </c>
      <c r="J787" s="302" t="s">
        <v>238</v>
      </c>
      <c r="K787" s="303"/>
      <c r="L787" s="39">
        <f>I791-I785</f>
        <v>492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5"/>
      <c r="AA787" s="308"/>
      <c r="AB787" s="309"/>
      <c r="AC787" s="25"/>
      <c r="AD787" s="25"/>
      <c r="AH787" s="109">
        <v>6</v>
      </c>
      <c r="AI787" s="109" t="str">
        <f>IF($E786="SS",COUNTIFS($C796:$C820,"FST",$E796:$E820,"6"),"0")</f>
        <v>0</v>
      </c>
      <c r="AJ787" s="109">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278" t="s">
        <v>242</v>
      </c>
      <c r="H788" s="43" t="s">
        <v>243</v>
      </c>
      <c r="I788" s="35">
        <f>IF(E788&lt;&gt;0,1,0)</f>
        <v>1</v>
      </c>
      <c r="J788" s="310" t="s">
        <v>244</v>
      </c>
      <c r="K788" s="311"/>
      <c r="L788" s="44">
        <f>'Cable Calculator'!CU3</f>
        <v>564</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493</v>
      </c>
      <c r="F789" s="88"/>
      <c r="G789" s="279"/>
      <c r="H789" s="47" t="s">
        <v>248</v>
      </c>
      <c r="I789" s="35">
        <f>IF(E788&lt;&gt;0,E788,0)</f>
        <v>12</v>
      </c>
      <c r="J789" s="194"/>
      <c r="K789" s="195"/>
      <c r="L789" s="48"/>
      <c r="M789" s="196">
        <v>12</v>
      </c>
      <c r="N789" s="35" t="str">
        <f>IF($E786="SS",SUM(AI789,AJ800,AM821,AO821,AQ821),"0")</f>
        <v>0</v>
      </c>
      <c r="O789" s="35" t="str">
        <f>IF($E786="SS",SUM(AN821,AP821,AR821),"0")</f>
        <v>0</v>
      </c>
      <c r="P789" s="35">
        <f>IF($E786="RPX",SUM(AJ789,AJ800,AM821,AO821,AQ821),"0")</f>
        <v>0</v>
      </c>
      <c r="Q789" s="35">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278" t="s">
        <v>251</v>
      </c>
      <c r="H790" s="51" t="s">
        <v>252</v>
      </c>
      <c r="I790" s="112">
        <f>E789</f>
        <v>493</v>
      </c>
      <c r="J790" s="312" t="s">
        <v>253</v>
      </c>
      <c r="K790" s="313"/>
      <c r="L790" s="31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279"/>
      <c r="H791" s="47" t="s">
        <v>257</v>
      </c>
      <c r="I791" s="35">
        <f>IF(E789="","0",IF(AND(E786="EUC",E787=432), I790+(203-E788),IF(E789=0,0,(E789+(E787-E788)-1))))</f>
        <v>504</v>
      </c>
      <c r="J791" s="293" t="str">
        <f>IFERROR(IF(OR(E786="EUC",E786="SS"),"---",IF(OR(P785,S785),"NO 2F Tethers for RPX!",IF(OR(P787,S787),"NO 6F Tethers for RPX!","---"))),"---")</f>
        <v>---</v>
      </c>
      <c r="K791" s="294"/>
      <c r="L791" s="295"/>
      <c r="M791" s="293" t="str">
        <f>IF(E788&gt;60,"Dead Count &gt;60: Consider Downsize","---")</f>
        <v>---</v>
      </c>
      <c r="N791" s="294"/>
      <c r="O791" s="294"/>
      <c r="P791" s="294"/>
      <c r="Q791" s="294"/>
      <c r="R791" s="294"/>
      <c r="S791" s="294"/>
      <c r="T791" s="294"/>
      <c r="U791" s="295"/>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93"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4"/>
      <c r="L792" s="295"/>
      <c r="M792" s="293" t="str">
        <f>IF(AND(OR(E786="SS",E786="RPX",E786="EUC",E786="RPX-T"),(OR(C796="",C796="Field SPL"))),"Cannot have FlexNap cables without tethers","---")</f>
        <v>---</v>
      </c>
      <c r="N792" s="294"/>
      <c r="O792" s="294"/>
      <c r="P792" s="294"/>
      <c r="Q792" s="294"/>
      <c r="R792" s="294"/>
      <c r="S792" s="294"/>
      <c r="T792" s="294"/>
      <c r="U792" s="295"/>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3" t="str">
        <f>IF(AND(OR(E786="RPX", E786="RPX-T", E786="SS"),E787=216),"NO 216 For RPX, RPX-T, OR SS CABLE","---")</f>
        <v>---</v>
      </c>
      <c r="K793" s="294"/>
      <c r="L793" s="295"/>
      <c r="M793" s="293" t="str" cm="1">
        <f t="array" ref="M793">IF(AND(E786="",OR(C796:C820="FST",C796:C820="REV T",C796:C820="DBL REV",C796:C820="TPL REV", C796:C820="QD REV")),"Non-FlexNap cables cannot have tethers","---")</f>
        <v>---</v>
      </c>
      <c r="N793" s="294"/>
      <c r="O793" s="294"/>
      <c r="P793" s="294"/>
      <c r="Q793" s="294"/>
      <c r="R793" s="294"/>
      <c r="S793" s="294"/>
      <c r="T793" s="294"/>
      <c r="U793" s="295"/>
      <c r="V793" s="25"/>
      <c r="W793" s="58"/>
      <c r="X793" s="58"/>
      <c r="Y793" s="25"/>
      <c r="Z793" s="45">
        <v>6</v>
      </c>
      <c r="AA793" s="65">
        <v>61</v>
      </c>
      <c r="AB793" s="65">
        <v>72</v>
      </c>
      <c r="AC793" s="25"/>
      <c r="AD793" s="25"/>
      <c r="BA793" s="226"/>
    </row>
    <row r="794" spans="1:53" ht="15.75" customHeight="1" thickBot="1" x14ac:dyDescent="0.3">
      <c r="A794" s="88"/>
      <c r="B794" s="278" t="s">
        <v>260</v>
      </c>
      <c r="C794" s="315" t="s">
        <v>261</v>
      </c>
      <c r="D794" s="315" t="s">
        <v>262</v>
      </c>
      <c r="E794" s="317" t="s">
        <v>263</v>
      </c>
      <c r="F794" s="315" t="s">
        <v>264</v>
      </c>
      <c r="G794" s="280" t="s">
        <v>265</v>
      </c>
      <c r="H794" s="280" t="s">
        <v>266</v>
      </c>
      <c r="I794" s="280" t="s">
        <v>267</v>
      </c>
      <c r="J794" s="319" t="s">
        <v>268</v>
      </c>
      <c r="K794" s="315" t="s">
        <v>269</v>
      </c>
      <c r="L794" s="321" t="s">
        <v>270</v>
      </c>
      <c r="M794" s="323" t="s">
        <v>271</v>
      </c>
      <c r="N794" s="323"/>
      <c r="O794" s="323"/>
      <c r="P794" s="323"/>
      <c r="Q794" s="323"/>
      <c r="R794" s="323"/>
      <c r="S794" s="323"/>
      <c r="T794" s="323"/>
      <c r="U794" s="324"/>
      <c r="V794" s="107"/>
      <c r="W794" s="72"/>
      <c r="X794" s="72"/>
      <c r="Y794" s="72"/>
      <c r="Z794" s="45">
        <v>7</v>
      </c>
      <c r="AA794" s="65">
        <v>73</v>
      </c>
      <c r="AB794" s="65">
        <v>84</v>
      </c>
      <c r="AC794" s="25"/>
      <c r="AD794" s="25"/>
      <c r="BA794" s="228"/>
    </row>
    <row r="795" spans="1:53" ht="15.75" thickBot="1" x14ac:dyDescent="0.3">
      <c r="A795" s="88"/>
      <c r="B795" s="279"/>
      <c r="C795" s="316"/>
      <c r="D795" s="316"/>
      <c r="E795" s="318"/>
      <c r="F795" s="316"/>
      <c r="G795" s="281"/>
      <c r="H795" s="281"/>
      <c r="I795" s="281"/>
      <c r="J795" s="320"/>
      <c r="K795" s="316"/>
      <c r="L795" s="322"/>
      <c r="M795" s="325"/>
      <c r="N795" s="325"/>
      <c r="O795" s="325"/>
      <c r="P795" s="325"/>
      <c r="Q795" s="325"/>
      <c r="R795" s="325"/>
      <c r="S795" s="325"/>
      <c r="T795" s="325"/>
      <c r="U795" s="326"/>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828</v>
      </c>
      <c r="E796" s="32">
        <v>4</v>
      </c>
      <c r="F796" s="32" t="s">
        <v>483</v>
      </c>
      <c r="G796" s="68" t="s">
        <v>277</v>
      </c>
      <c r="H796" s="69">
        <f>IF(I796=0,0,I796-(E796-1))</f>
        <v>501</v>
      </c>
      <c r="I796" s="70">
        <f>IF(E796=0,0,I791)</f>
        <v>504</v>
      </c>
      <c r="J796" s="71" t="s">
        <v>278</v>
      </c>
      <c r="K796" s="32"/>
      <c r="L796" s="233"/>
      <c r="M796" s="296"/>
      <c r="N796" s="296"/>
      <c r="O796" s="296"/>
      <c r="P796" s="296"/>
      <c r="Q796" s="296"/>
      <c r="R796" s="296"/>
      <c r="S796" s="296"/>
      <c r="T796" s="296"/>
      <c r="U796" s="297"/>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501-504</v>
      </c>
      <c r="AF796" s="109" t="str">
        <f t="shared" ref="AF796:AF820" si="326">IF(C796="Field SPL","N","Y")</f>
        <v>Y</v>
      </c>
      <c r="AG796" s="109" t="str">
        <f t="shared" ref="AG796:AG820" si="327">IF(OR(E$786="RPX",E$786="SS"),"A","B")</f>
        <v>A</v>
      </c>
      <c r="AH796" s="109">
        <v>2</v>
      </c>
      <c r="AI796" s="109" t="str">
        <f>IF(E786="SS",COUNTIFS(C796:C820,"TCF",E796:E820,"2"),"")</f>
        <v/>
      </c>
      <c r="AJ796" s="109">
        <f>IF(E786="RPX",COUNTIFS(C796:C820,"TCF",E796:E820,"2"),"")</f>
        <v>0</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827</v>
      </c>
      <c r="E797" s="32">
        <v>4</v>
      </c>
      <c r="F797" s="32" t="s">
        <v>483</v>
      </c>
      <c r="G797" s="68" t="s">
        <v>277</v>
      </c>
      <c r="H797" s="69">
        <f t="shared" ref="H797:H820" si="332">IF(E797=0,0,I797-(E797-1))</f>
        <v>497</v>
      </c>
      <c r="I797" s="70">
        <f t="shared" ref="I797:I820" si="333">IF(E797=0,0,H796-1)</f>
        <v>500</v>
      </c>
      <c r="J797" s="73" t="str">
        <f>IF(C797="","--",IF(AND(C797&lt;&gt;"FST",C797&lt;&gt;"TCF",BA796&lt;&gt;0),BA796,"--"))</f>
        <v>--</v>
      </c>
      <c r="K797" s="32"/>
      <c r="L797" s="233"/>
      <c r="M797" s="296"/>
      <c r="N797" s="296"/>
      <c r="O797" s="296"/>
      <c r="P797" s="296"/>
      <c r="Q797" s="296"/>
      <c r="R797" s="296"/>
      <c r="S797" s="296"/>
      <c r="T797" s="296"/>
      <c r="U797" s="297"/>
      <c r="V797" s="103"/>
      <c r="W797" s="72"/>
      <c r="X797" s="72"/>
      <c r="Y797" s="72"/>
      <c r="Z797" s="45">
        <v>10</v>
      </c>
      <c r="AA797" s="46">
        <v>109</v>
      </c>
      <c r="AB797" s="46">
        <v>120</v>
      </c>
      <c r="AC797" s="72">
        <f t="shared" si="323"/>
        <v>1</v>
      </c>
      <c r="AD797" s="72">
        <f t="shared" si="324"/>
        <v>0</v>
      </c>
      <c r="AE797" s="109" t="str">
        <f t="shared" si="325"/>
        <v>497-500</v>
      </c>
      <c r="AF797" s="109" t="str">
        <f t="shared" si="326"/>
        <v>Y</v>
      </c>
      <c r="AG797" s="109" t="str">
        <f t="shared" si="327"/>
        <v>A</v>
      </c>
      <c r="AH797" s="109">
        <v>4</v>
      </c>
      <c r="AI797" s="109" t="str">
        <f>IF(E786="SS",COUNTIFS(C796:C820,"TCF",E796:E820,"4"),"")</f>
        <v/>
      </c>
      <c r="AJ797" s="109">
        <f>IF(E786="RPX",COUNTIFS(C796:C820,"TCF",E796:E820,"4"),"")</f>
        <v>0</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8</v>
      </c>
    </row>
    <row r="798" spans="1:53" ht="15.75" thickBot="1" x14ac:dyDescent="0.3">
      <c r="A798" s="88"/>
      <c r="B798" s="74" t="s">
        <v>280</v>
      </c>
      <c r="C798" s="67" t="s">
        <v>484</v>
      </c>
      <c r="D798" s="102" t="s">
        <v>831</v>
      </c>
      <c r="E798" s="32">
        <v>4</v>
      </c>
      <c r="F798" s="32" t="s">
        <v>483</v>
      </c>
      <c r="G798" s="75" t="s">
        <v>277</v>
      </c>
      <c r="H798" s="69">
        <f t="shared" si="332"/>
        <v>493</v>
      </c>
      <c r="I798" s="70">
        <f t="shared" si="333"/>
        <v>496</v>
      </c>
      <c r="J798" s="73" t="str">
        <f t="shared" ref="J798:J820" si="334">IF(C798="","--",IF(AND(C798&lt;&gt;"FST",C798&lt;&gt;"TCF",BA797&lt;&gt;0),BA797,"--"))</f>
        <v>--</v>
      </c>
      <c r="K798" s="32"/>
      <c r="L798" s="233"/>
      <c r="M798" s="296"/>
      <c r="N798" s="296"/>
      <c r="O798" s="296"/>
      <c r="P798" s="296"/>
      <c r="Q798" s="296"/>
      <c r="R798" s="296"/>
      <c r="S798" s="296"/>
      <c r="T798" s="296"/>
      <c r="U798" s="297"/>
      <c r="V798" s="103"/>
      <c r="W798" s="72"/>
      <c r="X798" s="72"/>
      <c r="Y798" s="72"/>
      <c r="Z798" s="45">
        <v>11</v>
      </c>
      <c r="AA798" s="46">
        <v>121</v>
      </c>
      <c r="AB798" s="46">
        <v>132</v>
      </c>
      <c r="AC798" s="72">
        <f t="shared" si="323"/>
        <v>1</v>
      </c>
      <c r="AD798" s="72">
        <f t="shared" si="324"/>
        <v>0</v>
      </c>
      <c r="AE798" s="109" t="str">
        <f t="shared" si="325"/>
        <v>493-496</v>
      </c>
      <c r="AF798" s="109" t="str">
        <f t="shared" si="326"/>
        <v>Y</v>
      </c>
      <c r="AG798" s="109" t="str">
        <f t="shared" si="327"/>
        <v>A</v>
      </c>
      <c r="AH798" s="109">
        <v>6</v>
      </c>
      <c r="AI798" s="109" t="str">
        <f>IF(E786="SS",COUNTIFS(C796:C820,"TCF",E796:E820,"6"),"")</f>
        <v/>
      </c>
      <c r="AJ798" s="109">
        <f>IF(E786="RPX",COUNTIFS(C796:C820,"TCF",E796:E820,"6"),"")</f>
        <v>0</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6"/>
      <c r="N799" s="296"/>
      <c r="O799" s="296"/>
      <c r="P799" s="296"/>
      <c r="Q799" s="296"/>
      <c r="R799" s="296"/>
      <c r="S799" s="296"/>
      <c r="T799" s="296"/>
      <c r="U799" s="297"/>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A</v>
      </c>
      <c r="AH799" s="109">
        <v>8</v>
      </c>
      <c r="AI799" s="109" t="str">
        <f>IF(E786="SS",COUNTIFS(C796:C820,"TCF",E796:E820,"8"),"")</f>
        <v/>
      </c>
      <c r="AJ799" s="109">
        <f>IF(E786="RPX",COUNTIFS(C796:C820,"TCF",E796:E820,"8"),"")</f>
        <v>0</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6"/>
      <c r="N800" s="296"/>
      <c r="O800" s="296"/>
      <c r="P800" s="296"/>
      <c r="Q800" s="296"/>
      <c r="R800" s="296"/>
      <c r="S800" s="296"/>
      <c r="T800" s="296"/>
      <c r="U800" s="297"/>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A</v>
      </c>
      <c r="AH800" s="109">
        <v>12</v>
      </c>
      <c r="AI800" s="109" t="str">
        <f>IF(E786="SS",COUNTIFS(C796:C820,"TCF",E796:E820,"12"),"")</f>
        <v/>
      </c>
      <c r="AJ800" s="109">
        <f>IF(E786="RPX",COUNTIFS(C796:C820,"TCF",E796:E820,"12"),"")</f>
        <v>0</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6"/>
      <c r="N801" s="296"/>
      <c r="O801" s="296"/>
      <c r="P801" s="296"/>
      <c r="Q801" s="296"/>
      <c r="R801" s="296"/>
      <c r="S801" s="296"/>
      <c r="T801" s="296"/>
      <c r="U801" s="297"/>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A</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6"/>
      <c r="N802" s="296"/>
      <c r="O802" s="296"/>
      <c r="P802" s="296"/>
      <c r="Q802" s="296"/>
      <c r="R802" s="296"/>
      <c r="S802" s="296"/>
      <c r="T802" s="296"/>
      <c r="U802" s="297"/>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A</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6"/>
      <c r="N803" s="296"/>
      <c r="O803" s="296"/>
      <c r="P803" s="296"/>
      <c r="Q803" s="296"/>
      <c r="R803" s="296"/>
      <c r="S803" s="296"/>
      <c r="T803" s="296"/>
      <c r="U803" s="297"/>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A</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6"/>
      <c r="N804" s="296"/>
      <c r="O804" s="296"/>
      <c r="P804" s="296"/>
      <c r="Q804" s="296"/>
      <c r="R804" s="296"/>
      <c r="S804" s="296"/>
      <c r="T804" s="296"/>
      <c r="U804" s="297"/>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A</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6"/>
      <c r="N805" s="296"/>
      <c r="O805" s="296"/>
      <c r="P805" s="296"/>
      <c r="Q805" s="296"/>
      <c r="R805" s="296"/>
      <c r="S805" s="296"/>
      <c r="T805" s="296"/>
      <c r="U805" s="297"/>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A</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6"/>
      <c r="N806" s="296"/>
      <c r="O806" s="296"/>
      <c r="P806" s="296"/>
      <c r="Q806" s="296"/>
      <c r="R806" s="296"/>
      <c r="S806" s="296"/>
      <c r="T806" s="296"/>
      <c r="U806" s="297"/>
      <c r="V806" s="103"/>
      <c r="W806" s="84"/>
      <c r="X806" s="84"/>
      <c r="Y806" s="72"/>
      <c r="Z806" s="72"/>
      <c r="AA806" s="72"/>
      <c r="AB806" s="72"/>
      <c r="AC806" s="72">
        <f t="shared" si="323"/>
        <v>1</v>
      </c>
      <c r="AD806" s="72">
        <f t="shared" si="324"/>
        <v>1</v>
      </c>
      <c r="AE806" s="109" t="str">
        <f t="shared" si="325"/>
        <v>0-0</v>
      </c>
      <c r="AF806" s="109" t="str">
        <f t="shared" si="326"/>
        <v>Y</v>
      </c>
      <c r="AG806" s="109" t="str">
        <f t="shared" si="327"/>
        <v>A</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6"/>
      <c r="N807" s="296"/>
      <c r="O807" s="296"/>
      <c r="P807" s="296"/>
      <c r="Q807" s="296"/>
      <c r="R807" s="296"/>
      <c r="S807" s="296"/>
      <c r="T807" s="296"/>
      <c r="U807" s="297"/>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A</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6"/>
      <c r="N808" s="296"/>
      <c r="O808" s="296"/>
      <c r="P808" s="296"/>
      <c r="Q808" s="296"/>
      <c r="R808" s="296"/>
      <c r="S808" s="296"/>
      <c r="T808" s="296"/>
      <c r="U808" s="297"/>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A</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6"/>
      <c r="N809" s="296"/>
      <c r="O809" s="296"/>
      <c r="P809" s="296"/>
      <c r="Q809" s="296"/>
      <c r="R809" s="296"/>
      <c r="S809" s="296"/>
      <c r="T809" s="296"/>
      <c r="U809" s="297"/>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A</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6"/>
      <c r="N810" s="296"/>
      <c r="O810" s="296"/>
      <c r="P810" s="296"/>
      <c r="Q810" s="296"/>
      <c r="R810" s="296"/>
      <c r="S810" s="296"/>
      <c r="T810" s="296"/>
      <c r="U810" s="297"/>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A</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6"/>
      <c r="N811" s="296"/>
      <c r="O811" s="296"/>
      <c r="P811" s="296"/>
      <c r="Q811" s="296"/>
      <c r="R811" s="296"/>
      <c r="S811" s="296"/>
      <c r="T811" s="296"/>
      <c r="U811" s="297"/>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A</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6"/>
      <c r="N812" s="296"/>
      <c r="O812" s="296"/>
      <c r="P812" s="296"/>
      <c r="Q812" s="296"/>
      <c r="R812" s="296"/>
      <c r="S812" s="296"/>
      <c r="T812" s="296"/>
      <c r="U812" s="297"/>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A</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6"/>
      <c r="N813" s="296"/>
      <c r="O813" s="296"/>
      <c r="P813" s="296"/>
      <c r="Q813" s="296"/>
      <c r="R813" s="296"/>
      <c r="S813" s="296"/>
      <c r="T813" s="296"/>
      <c r="U813" s="297"/>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A</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6"/>
      <c r="N814" s="296"/>
      <c r="O814" s="296"/>
      <c r="P814" s="296"/>
      <c r="Q814" s="296"/>
      <c r="R814" s="296"/>
      <c r="S814" s="296"/>
      <c r="T814" s="296"/>
      <c r="U814" s="297"/>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A</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6"/>
      <c r="N815" s="296"/>
      <c r="O815" s="296"/>
      <c r="P815" s="296"/>
      <c r="Q815" s="296"/>
      <c r="R815" s="296"/>
      <c r="S815" s="296"/>
      <c r="T815" s="296"/>
      <c r="U815" s="297"/>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A</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6"/>
      <c r="N816" s="296"/>
      <c r="O816" s="296"/>
      <c r="P816" s="296"/>
      <c r="Q816" s="296"/>
      <c r="R816" s="296"/>
      <c r="S816" s="296"/>
      <c r="T816" s="296"/>
      <c r="U816" s="297"/>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A</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6"/>
      <c r="N817" s="296"/>
      <c r="O817" s="296"/>
      <c r="P817" s="296"/>
      <c r="Q817" s="296"/>
      <c r="R817" s="296"/>
      <c r="S817" s="296"/>
      <c r="T817" s="296"/>
      <c r="U817" s="297"/>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A</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6"/>
      <c r="N818" s="296"/>
      <c r="O818" s="296"/>
      <c r="P818" s="296"/>
      <c r="Q818" s="296"/>
      <c r="R818" s="296"/>
      <c r="S818" s="296"/>
      <c r="T818" s="296"/>
      <c r="U818" s="297"/>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A</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6"/>
      <c r="N819" s="296"/>
      <c r="O819" s="296"/>
      <c r="P819" s="296"/>
      <c r="Q819" s="296"/>
      <c r="R819" s="296"/>
      <c r="S819" s="296"/>
      <c r="T819" s="296"/>
      <c r="U819" s="297"/>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A</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6"/>
      <c r="N820" s="296"/>
      <c r="O820" s="296"/>
      <c r="P820" s="296"/>
      <c r="Q820" s="296"/>
      <c r="R820" s="296"/>
      <c r="S820" s="296"/>
      <c r="T820" s="296"/>
      <c r="U820" s="297"/>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A</v>
      </c>
      <c r="AM820" s="109">
        <f t="shared" si="328"/>
        <v>0</v>
      </c>
      <c r="AN820" s="109">
        <f t="shared" si="329"/>
        <v>0</v>
      </c>
      <c r="AO820" s="109" t="str">
        <f t="shared" si="330"/>
        <v/>
      </c>
      <c r="AQ820" s="109" t="str">
        <f t="shared" si="331"/>
        <v/>
      </c>
      <c r="BA820" s="228"/>
    </row>
    <row r="821" spans="1:53" ht="16.5" thickBot="1" x14ac:dyDescent="0.3">
      <c r="A821" s="88"/>
      <c r="B821" s="282" t="s">
        <v>343</v>
      </c>
      <c r="C821" s="284"/>
      <c r="D821" s="79"/>
      <c r="E821" s="80"/>
      <c r="F821" s="80"/>
      <c r="G821" s="81"/>
      <c r="H821" s="192"/>
      <c r="I821" s="192"/>
      <c r="J821" s="192"/>
      <c r="K821" s="82"/>
      <c r="L821" s="282" t="s">
        <v>306</v>
      </c>
      <c r="M821" s="283"/>
      <c r="N821" s="283"/>
      <c r="O821" s="283"/>
      <c r="P821" s="283"/>
      <c r="Q821" s="283"/>
      <c r="R821" s="283"/>
      <c r="S821" s="283"/>
      <c r="T821" s="283"/>
      <c r="U821" s="284"/>
      <c r="V821" s="104"/>
      <c r="W821" s="72"/>
      <c r="X821" s="72"/>
      <c r="Y821" s="72"/>
      <c r="Z821" s="72"/>
      <c r="AA821" s="72" t="str">
        <f t="shared" si="338"/>
        <v/>
      </c>
      <c r="AB821" s="72"/>
      <c r="AC821" s="72">
        <f>SUM(AC796:AC820)</f>
        <v>25</v>
      </c>
      <c r="AD821" s="72">
        <f>SUM(AD796:AD820)</f>
        <v>22</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2" t="s">
        <v>307</v>
      </c>
      <c r="C822" s="284"/>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5" t="s">
        <v>222</v>
      </c>
      <c r="C826" s="286"/>
      <c r="D826" s="287" t="s">
        <v>223</v>
      </c>
      <c r="E826" s="288"/>
      <c r="F826" s="88"/>
      <c r="G826" s="289" t="s">
        <v>224</v>
      </c>
      <c r="H826" s="290"/>
      <c r="I826" s="28">
        <f>SUM(E837:E861)</f>
        <v>48</v>
      </c>
      <c r="J826" s="291" t="s">
        <v>225</v>
      </c>
      <c r="K826" s="292"/>
      <c r="L826" s="288"/>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8" t="s">
        <v>226</v>
      </c>
      <c r="AA826" s="299"/>
      <c r="AB826" s="300"/>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1" t="s">
        <v>230</v>
      </c>
      <c r="H827" s="288"/>
      <c r="I827" s="33">
        <f>E828-I826</f>
        <v>0</v>
      </c>
      <c r="J827" s="302" t="s">
        <v>231</v>
      </c>
      <c r="K827" s="303"/>
      <c r="L827" s="34">
        <f>I831</f>
        <v>385</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4" t="s">
        <v>232</v>
      </c>
      <c r="AA827" s="306" t="s">
        <v>233</v>
      </c>
      <c r="AB827" s="307"/>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48</v>
      </c>
      <c r="F828" s="88"/>
      <c r="G828" s="310" t="s">
        <v>237</v>
      </c>
      <c r="H828" s="311"/>
      <c r="I828" s="35">
        <f>IF(E828=0,0,12-(MOD(I826,12)))</f>
        <v>12</v>
      </c>
      <c r="J828" s="302" t="s">
        <v>238</v>
      </c>
      <c r="K828" s="303"/>
      <c r="L828" s="39">
        <f>I832-I826</f>
        <v>384</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5"/>
      <c r="AA828" s="308"/>
      <c r="AB828" s="309"/>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278" t="s">
        <v>242</v>
      </c>
      <c r="H829" s="43" t="s">
        <v>243</v>
      </c>
      <c r="I829" s="35">
        <f>IF(E829&lt;&gt;0,1,0)</f>
        <v>0</v>
      </c>
      <c r="J829" s="310" t="s">
        <v>244</v>
      </c>
      <c r="K829" s="311"/>
      <c r="L829" s="44">
        <f>'Cable Calculator'!CZ3</f>
        <v>120</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385</v>
      </c>
      <c r="F830" s="88"/>
      <c r="G830" s="279"/>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4</v>
      </c>
      <c r="F831" s="88"/>
      <c r="G831" s="278" t="s">
        <v>251</v>
      </c>
      <c r="H831" s="51" t="s">
        <v>252</v>
      </c>
      <c r="I831" s="112">
        <f>E830</f>
        <v>385</v>
      </c>
      <c r="J831" s="312" t="s">
        <v>253</v>
      </c>
      <c r="K831" s="313"/>
      <c r="L831" s="31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79"/>
      <c r="H832" s="47" t="s">
        <v>257</v>
      </c>
      <c r="I832" s="35">
        <f>IF(E830="","0",IF(AND(E827="EUC",E828=432), I831+(203-E829),IF(E830=0,0,(E830+(E828-E829)-1))))</f>
        <v>432</v>
      </c>
      <c r="J832" s="293" t="str">
        <f>IFERROR(IF(OR(E827="EUC",E827="SS"),"---",IF(OR(P826,S826),"NO 2F Tethers for RPX!",IF(OR(P828,S828),"NO 6F Tethers for RPX!","---"))),"---")</f>
        <v>---</v>
      </c>
      <c r="K832" s="294"/>
      <c r="L832" s="295"/>
      <c r="M832" s="293" t="str">
        <f>IF(E829&gt;60,"Dead Count &gt;60: Consider Downsize","---")</f>
        <v>---</v>
      </c>
      <c r="N832" s="294"/>
      <c r="O832" s="294"/>
      <c r="P832" s="294"/>
      <c r="Q832" s="294"/>
      <c r="R832" s="294"/>
      <c r="S832" s="294"/>
      <c r="T832" s="294"/>
      <c r="U832" s="295"/>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48</v>
      </c>
      <c r="D833" s="31" t="s">
        <v>259</v>
      </c>
      <c r="E833" s="101" t="str">
        <f>IF(AS827="Y","DBL",IF(AS828="Y","TRPL",IF(AS829="Y","QUAD","")))</f>
        <v/>
      </c>
      <c r="F833" s="88"/>
      <c r="G833" s="192"/>
      <c r="H833" s="57"/>
      <c r="I833" s="192"/>
      <c r="J833" s="293"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4"/>
      <c r="L833" s="295"/>
      <c r="M833" s="293" t="str">
        <f>IF(AND(OR(E827="SS",E827="RPX",E827="EUC",E827="RPX-T"),(OR(C837="",C837="Field SPL"))),"Cannot have FlexNap cables without tethers","---")</f>
        <v>---</v>
      </c>
      <c r="N833" s="294"/>
      <c r="O833" s="294"/>
      <c r="P833" s="294"/>
      <c r="Q833" s="294"/>
      <c r="R833" s="294"/>
      <c r="S833" s="294"/>
      <c r="T833" s="294"/>
      <c r="U833" s="295"/>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3" t="str">
        <f>IF(AND(OR(E827="RPX", E827="RPX-T", E827="SS"),E828=216),"NO 216 For RPX, RPX-T, OR SS CABLE","---")</f>
        <v>---</v>
      </c>
      <c r="K834" s="294"/>
      <c r="L834" s="295"/>
      <c r="M834" s="293" t="str" cm="1">
        <f t="array" ref="M834">IF(AND(E827="",OR(C837:C861="FST",C837:C861="REV T",C837:C861="DBL REV",C837:C861="TPL REV", C837:C861="QD REV")),"Non-FlexNap cables cannot have tethers","---")</f>
        <v>---</v>
      </c>
      <c r="N834" s="294"/>
      <c r="O834" s="294"/>
      <c r="P834" s="294"/>
      <c r="Q834" s="294"/>
      <c r="R834" s="294"/>
      <c r="S834" s="294"/>
      <c r="T834" s="294"/>
      <c r="U834" s="295"/>
      <c r="V834" s="25"/>
      <c r="W834" s="58"/>
      <c r="X834" s="58"/>
      <c r="Y834" s="25"/>
      <c r="Z834" s="45">
        <v>6</v>
      </c>
      <c r="AA834" s="65">
        <v>61</v>
      </c>
      <c r="AB834" s="65">
        <v>72</v>
      </c>
      <c r="AC834" s="25"/>
      <c r="AD834" s="25"/>
      <c r="BA834" s="226"/>
    </row>
    <row r="835" spans="1:53" ht="15.75" customHeight="1" thickBot="1" x14ac:dyDescent="0.3">
      <c r="A835" s="88"/>
      <c r="B835" s="278" t="s">
        <v>260</v>
      </c>
      <c r="C835" s="315" t="s">
        <v>261</v>
      </c>
      <c r="D835" s="315" t="s">
        <v>262</v>
      </c>
      <c r="E835" s="317" t="s">
        <v>263</v>
      </c>
      <c r="F835" s="315" t="s">
        <v>264</v>
      </c>
      <c r="G835" s="280" t="s">
        <v>265</v>
      </c>
      <c r="H835" s="280" t="s">
        <v>266</v>
      </c>
      <c r="I835" s="280" t="s">
        <v>267</v>
      </c>
      <c r="J835" s="319" t="s">
        <v>268</v>
      </c>
      <c r="K835" s="315" t="s">
        <v>269</v>
      </c>
      <c r="L835" s="321" t="s">
        <v>270</v>
      </c>
      <c r="M835" s="323" t="s">
        <v>271</v>
      </c>
      <c r="N835" s="323"/>
      <c r="O835" s="323"/>
      <c r="P835" s="323"/>
      <c r="Q835" s="323"/>
      <c r="R835" s="323"/>
      <c r="S835" s="323"/>
      <c r="T835" s="323"/>
      <c r="U835" s="324"/>
      <c r="V835" s="107"/>
      <c r="W835" s="72"/>
      <c r="X835" s="72"/>
      <c r="Y835" s="72"/>
      <c r="Z835" s="45">
        <v>7</v>
      </c>
      <c r="AA835" s="65">
        <v>73</v>
      </c>
      <c r="AB835" s="65">
        <v>84</v>
      </c>
      <c r="AC835" s="25"/>
      <c r="AD835" s="25"/>
      <c r="BA835" s="228"/>
    </row>
    <row r="836" spans="1:53" ht="15.75" thickBot="1" x14ac:dyDescent="0.3">
      <c r="A836" s="88"/>
      <c r="B836" s="279"/>
      <c r="C836" s="316"/>
      <c r="D836" s="316"/>
      <c r="E836" s="318"/>
      <c r="F836" s="316"/>
      <c r="G836" s="281"/>
      <c r="H836" s="281"/>
      <c r="I836" s="281"/>
      <c r="J836" s="320"/>
      <c r="K836" s="316"/>
      <c r="L836" s="322"/>
      <c r="M836" s="325"/>
      <c r="N836" s="325"/>
      <c r="O836" s="325"/>
      <c r="P836" s="325"/>
      <c r="Q836" s="325"/>
      <c r="R836" s="325"/>
      <c r="S836" s="325"/>
      <c r="T836" s="325"/>
      <c r="U836" s="326"/>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502</v>
      </c>
      <c r="D837" s="102"/>
      <c r="E837" s="32">
        <v>48</v>
      </c>
      <c r="F837" s="32"/>
      <c r="G837" s="68" t="s">
        <v>277</v>
      </c>
      <c r="H837" s="69">
        <f>IF(I837=0,0,I837-(E837-1))</f>
        <v>385</v>
      </c>
      <c r="I837" s="70">
        <f>IF(E837=0,0,I832)</f>
        <v>432</v>
      </c>
      <c r="J837" s="71" t="s">
        <v>278</v>
      </c>
      <c r="K837" s="32"/>
      <c r="L837" s="233"/>
      <c r="M837" s="296" t="s">
        <v>768</v>
      </c>
      <c r="N837" s="296"/>
      <c r="O837" s="296"/>
      <c r="P837" s="296"/>
      <c r="Q837" s="296"/>
      <c r="R837" s="296"/>
      <c r="S837" s="296"/>
      <c r="T837" s="296"/>
      <c r="U837" s="297"/>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385-432</v>
      </c>
      <c r="AF837" s="109" t="str">
        <f t="shared" ref="AF837:AF861" si="343">IF(C837="Field SPL","N","Y")</f>
        <v>N</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6"/>
      <c r="N838" s="296"/>
      <c r="O838" s="296"/>
      <c r="P838" s="296"/>
      <c r="Q838" s="296"/>
      <c r="R838" s="296"/>
      <c r="S838" s="296"/>
      <c r="T838" s="296"/>
      <c r="U838" s="297"/>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6"/>
      <c r="N839" s="296"/>
      <c r="O839" s="296"/>
      <c r="P839" s="296"/>
      <c r="Q839" s="296"/>
      <c r="R839" s="296"/>
      <c r="S839" s="296"/>
      <c r="T839" s="296"/>
      <c r="U839" s="297"/>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6"/>
      <c r="N840" s="296"/>
      <c r="O840" s="296"/>
      <c r="P840" s="296"/>
      <c r="Q840" s="296"/>
      <c r="R840" s="296"/>
      <c r="S840" s="296"/>
      <c r="T840" s="296"/>
      <c r="U840" s="297"/>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6"/>
      <c r="N841" s="296"/>
      <c r="O841" s="296"/>
      <c r="P841" s="296"/>
      <c r="Q841" s="296"/>
      <c r="R841" s="296"/>
      <c r="S841" s="296"/>
      <c r="T841" s="296"/>
      <c r="U841" s="297"/>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6"/>
      <c r="N842" s="296"/>
      <c r="O842" s="296"/>
      <c r="P842" s="296"/>
      <c r="Q842" s="296"/>
      <c r="R842" s="296"/>
      <c r="S842" s="296"/>
      <c r="T842" s="296"/>
      <c r="U842" s="297"/>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6"/>
      <c r="N843" s="296"/>
      <c r="O843" s="296"/>
      <c r="P843" s="296"/>
      <c r="Q843" s="296"/>
      <c r="R843" s="296"/>
      <c r="S843" s="296"/>
      <c r="T843" s="296"/>
      <c r="U843" s="297"/>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6"/>
      <c r="N844" s="296"/>
      <c r="O844" s="296"/>
      <c r="P844" s="296"/>
      <c r="Q844" s="296"/>
      <c r="R844" s="296"/>
      <c r="S844" s="296"/>
      <c r="T844" s="296"/>
      <c r="U844" s="297"/>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6"/>
      <c r="N845" s="296"/>
      <c r="O845" s="296"/>
      <c r="P845" s="296"/>
      <c r="Q845" s="296"/>
      <c r="R845" s="296"/>
      <c r="S845" s="296"/>
      <c r="T845" s="296"/>
      <c r="U845" s="297"/>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6"/>
      <c r="N846" s="296"/>
      <c r="O846" s="296"/>
      <c r="P846" s="296"/>
      <c r="Q846" s="296"/>
      <c r="R846" s="296"/>
      <c r="S846" s="296"/>
      <c r="T846" s="296"/>
      <c r="U846" s="297"/>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6"/>
      <c r="N847" s="296"/>
      <c r="O847" s="296"/>
      <c r="P847" s="296"/>
      <c r="Q847" s="296"/>
      <c r="R847" s="296"/>
      <c r="S847" s="296"/>
      <c r="T847" s="296"/>
      <c r="U847" s="297"/>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6"/>
      <c r="N848" s="296"/>
      <c r="O848" s="296"/>
      <c r="P848" s="296"/>
      <c r="Q848" s="296"/>
      <c r="R848" s="296"/>
      <c r="S848" s="296"/>
      <c r="T848" s="296"/>
      <c r="U848" s="297"/>
      <c r="V848" s="103"/>
      <c r="W848" s="84">
        <f>Y848+1</f>
        <v>49</v>
      </c>
      <c r="X848" s="84"/>
      <c r="Y848" s="78">
        <f>SUM(E837:E848)</f>
        <v>48</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6"/>
      <c r="N849" s="296"/>
      <c r="O849" s="296"/>
      <c r="P849" s="296"/>
      <c r="Q849" s="296"/>
      <c r="R849" s="296"/>
      <c r="S849" s="296"/>
      <c r="T849" s="296"/>
      <c r="U849" s="297"/>
      <c r="V849" s="103"/>
      <c r="W849" s="84">
        <f>Y849+1</f>
        <v>49</v>
      </c>
      <c r="X849" s="84"/>
      <c r="Y849" s="78">
        <f>SUM(E837:E849)</f>
        <v>48</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6"/>
      <c r="N850" s="296"/>
      <c r="O850" s="296"/>
      <c r="P850" s="296"/>
      <c r="Q850" s="296"/>
      <c r="R850" s="296"/>
      <c r="S850" s="296"/>
      <c r="T850" s="296"/>
      <c r="U850" s="297"/>
      <c r="V850" s="103"/>
      <c r="W850" s="84">
        <f>Y850+1</f>
        <v>49</v>
      </c>
      <c r="X850" s="84"/>
      <c r="Y850" s="78">
        <f>SUM(E837:E850)</f>
        <v>48</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6"/>
      <c r="N851" s="296"/>
      <c r="O851" s="296"/>
      <c r="P851" s="296"/>
      <c r="Q851" s="296"/>
      <c r="R851" s="296"/>
      <c r="S851" s="296"/>
      <c r="T851" s="296"/>
      <c r="U851" s="297"/>
      <c r="V851" s="103"/>
      <c r="W851" s="84">
        <f>Y851+1</f>
        <v>49</v>
      </c>
      <c r="X851" s="84"/>
      <c r="Y851" s="78">
        <f>SUM(E837:E851)</f>
        <v>48</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6"/>
      <c r="N852" s="296"/>
      <c r="O852" s="296"/>
      <c r="P852" s="296"/>
      <c r="Q852" s="296"/>
      <c r="R852" s="296"/>
      <c r="S852" s="296"/>
      <c r="T852" s="296"/>
      <c r="U852" s="297"/>
      <c r="V852" s="103"/>
      <c r="W852" s="84">
        <f t="shared" ref="W852:W860" si="356">Y852+1</f>
        <v>49</v>
      </c>
      <c r="X852" s="84"/>
      <c r="Y852" s="78">
        <f>SUM(E837:E852)</f>
        <v>48</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6"/>
      <c r="N853" s="296"/>
      <c r="O853" s="296"/>
      <c r="P853" s="296"/>
      <c r="Q853" s="296"/>
      <c r="R853" s="296"/>
      <c r="S853" s="296"/>
      <c r="T853" s="296"/>
      <c r="U853" s="297"/>
      <c r="V853" s="103"/>
      <c r="W853" s="84">
        <f t="shared" si="356"/>
        <v>49</v>
      </c>
      <c r="X853" s="84"/>
      <c r="Y853" s="78">
        <f>SUM(E837:E853)</f>
        <v>48</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6"/>
      <c r="N854" s="296"/>
      <c r="O854" s="296"/>
      <c r="P854" s="296"/>
      <c r="Q854" s="296"/>
      <c r="R854" s="296"/>
      <c r="S854" s="296"/>
      <c r="T854" s="296"/>
      <c r="U854" s="297"/>
      <c r="V854" s="103"/>
      <c r="W854" s="84">
        <f t="shared" si="356"/>
        <v>49</v>
      </c>
      <c r="X854" s="84"/>
      <c r="Y854" s="78">
        <f>SUM(E837:E854)</f>
        <v>48</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6"/>
      <c r="N855" s="296"/>
      <c r="O855" s="296"/>
      <c r="P855" s="296"/>
      <c r="Q855" s="296"/>
      <c r="R855" s="296"/>
      <c r="S855" s="296"/>
      <c r="T855" s="296"/>
      <c r="U855" s="297"/>
      <c r="V855" s="103"/>
      <c r="W855" s="84">
        <f t="shared" si="356"/>
        <v>49</v>
      </c>
      <c r="X855" s="84"/>
      <c r="Y855" s="78">
        <f>SUM(E837:E855)</f>
        <v>48</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6"/>
      <c r="N856" s="296"/>
      <c r="O856" s="296"/>
      <c r="P856" s="296"/>
      <c r="Q856" s="296"/>
      <c r="R856" s="296"/>
      <c r="S856" s="296"/>
      <c r="T856" s="296"/>
      <c r="U856" s="297"/>
      <c r="V856" s="103"/>
      <c r="W856" s="84">
        <f t="shared" si="356"/>
        <v>49</v>
      </c>
      <c r="X856" s="84"/>
      <c r="Y856" s="78">
        <f>SUM(E837:E856)</f>
        <v>48</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6"/>
      <c r="N857" s="296"/>
      <c r="O857" s="296"/>
      <c r="P857" s="296"/>
      <c r="Q857" s="296"/>
      <c r="R857" s="296"/>
      <c r="S857" s="296"/>
      <c r="T857" s="296"/>
      <c r="U857" s="297"/>
      <c r="V857" s="103"/>
      <c r="W857" s="84">
        <f t="shared" si="356"/>
        <v>49</v>
      </c>
      <c r="X857" s="84"/>
      <c r="Y857" s="78">
        <f>SUM(E837:E857)</f>
        <v>48</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6"/>
      <c r="N858" s="296"/>
      <c r="O858" s="296"/>
      <c r="P858" s="296"/>
      <c r="Q858" s="296"/>
      <c r="R858" s="296"/>
      <c r="S858" s="296"/>
      <c r="T858" s="296"/>
      <c r="U858" s="297"/>
      <c r="V858" s="103"/>
      <c r="W858" s="84">
        <f t="shared" si="356"/>
        <v>49</v>
      </c>
      <c r="X858" s="84"/>
      <c r="Y858" s="78">
        <f>SUM(E837:E858)</f>
        <v>48</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6"/>
      <c r="N859" s="296"/>
      <c r="O859" s="296"/>
      <c r="P859" s="296"/>
      <c r="Q859" s="296"/>
      <c r="R859" s="296"/>
      <c r="S859" s="296"/>
      <c r="T859" s="296"/>
      <c r="U859" s="297"/>
      <c r="V859" s="103"/>
      <c r="W859" s="84">
        <f t="shared" si="356"/>
        <v>49</v>
      </c>
      <c r="X859" s="84"/>
      <c r="Y859" s="78">
        <f>SUM(E837:E859)</f>
        <v>48</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6"/>
      <c r="N860" s="296"/>
      <c r="O860" s="296"/>
      <c r="P860" s="296"/>
      <c r="Q860" s="296"/>
      <c r="R860" s="296"/>
      <c r="S860" s="296"/>
      <c r="T860" s="296"/>
      <c r="U860" s="297"/>
      <c r="V860" s="103"/>
      <c r="W860" s="84">
        <f t="shared" si="356"/>
        <v>49</v>
      </c>
      <c r="X860" s="84"/>
      <c r="Y860" s="78">
        <f>SUM(E837:E860)</f>
        <v>48</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6"/>
      <c r="N861" s="296"/>
      <c r="O861" s="296"/>
      <c r="P861" s="296"/>
      <c r="Q861" s="296"/>
      <c r="R861" s="296"/>
      <c r="S861" s="296"/>
      <c r="T861" s="296"/>
      <c r="U861" s="297"/>
      <c r="V861" s="103"/>
      <c r="W861" s="72"/>
      <c r="X861" s="72"/>
      <c r="Y861" s="78">
        <f>SUM(E837:E861)</f>
        <v>48</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2" t="s">
        <v>345</v>
      </c>
      <c r="C862" s="284"/>
      <c r="D862" s="79"/>
      <c r="E862" s="80"/>
      <c r="F862" s="80"/>
      <c r="G862" s="81"/>
      <c r="H862" s="192"/>
      <c r="I862" s="192"/>
      <c r="J862" s="192"/>
      <c r="K862" s="82"/>
      <c r="L862" s="282" t="s">
        <v>306</v>
      </c>
      <c r="M862" s="283"/>
      <c r="N862" s="283"/>
      <c r="O862" s="283"/>
      <c r="P862" s="283"/>
      <c r="Q862" s="283"/>
      <c r="R862" s="283"/>
      <c r="S862" s="283"/>
      <c r="T862" s="283"/>
      <c r="U862" s="284"/>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2" t="s">
        <v>307</v>
      </c>
      <c r="C863" s="284"/>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5" t="s">
        <v>222</v>
      </c>
      <c r="C867" s="286"/>
      <c r="D867" s="287" t="s">
        <v>223</v>
      </c>
      <c r="E867" s="288"/>
      <c r="F867" s="88"/>
      <c r="G867" s="289" t="s">
        <v>224</v>
      </c>
      <c r="H867" s="290"/>
      <c r="I867" s="28">
        <f>SUM(E878:E902)</f>
        <v>0</v>
      </c>
      <c r="J867" s="291" t="s">
        <v>225</v>
      </c>
      <c r="K867" s="292"/>
      <c r="L867" s="288"/>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8" t="s">
        <v>226</v>
      </c>
      <c r="AA867" s="299"/>
      <c r="AB867" s="300"/>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1" t="s">
        <v>230</v>
      </c>
      <c r="H868" s="288"/>
      <c r="I868" s="33">
        <f>E869-I867</f>
        <v>0</v>
      </c>
      <c r="J868" s="302" t="s">
        <v>231</v>
      </c>
      <c r="K868" s="303"/>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4" t="s">
        <v>232</v>
      </c>
      <c r="AA868" s="306" t="s">
        <v>233</v>
      </c>
      <c r="AB868" s="307"/>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10" t="s">
        <v>237</v>
      </c>
      <c r="H869" s="311"/>
      <c r="I869" s="35">
        <f>IF(E869=0,0,12-(MOD(I867,12)))</f>
        <v>0</v>
      </c>
      <c r="J869" s="302" t="s">
        <v>238</v>
      </c>
      <c r="K869" s="303"/>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5"/>
      <c r="AA869" s="308"/>
      <c r="AB869" s="309"/>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8" t="s">
        <v>242</v>
      </c>
      <c r="H870" s="43" t="s">
        <v>243</v>
      </c>
      <c r="I870" s="35">
        <f>IF(E870&lt;&gt;0,1,0)</f>
        <v>0</v>
      </c>
      <c r="J870" s="310" t="s">
        <v>244</v>
      </c>
      <c r="K870" s="311"/>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9"/>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8" t="s">
        <v>251</v>
      </c>
      <c r="H872" s="51" t="s">
        <v>252</v>
      </c>
      <c r="I872" s="112">
        <f>E871</f>
        <v>0</v>
      </c>
      <c r="J872" s="312" t="s">
        <v>253</v>
      </c>
      <c r="K872" s="313"/>
      <c r="L872" s="31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9"/>
      <c r="H873" s="47" t="s">
        <v>257</v>
      </c>
      <c r="I873" s="35" t="str">
        <f>IF(E871="","0",IF(AND(E868="EUC",E869=432), I872+(203-E870),IF(E871=0,0,(E871+(E869-E870)-1))))</f>
        <v>0</v>
      </c>
      <c r="J873" s="293" t="str">
        <f>IFERROR(IF(OR(E868="EUC",E868="SS"),"---",IF(OR(P867,S867),"NO 2F Tethers for RPX!",IF(OR(P869,S869),"NO 6F Tethers for RPX!","---"))),"---")</f>
        <v>---</v>
      </c>
      <c r="K873" s="294"/>
      <c r="L873" s="295"/>
      <c r="M873" s="293" t="str">
        <f>IF(E870&gt;60,"Dead Count &gt;60: Consider Downsize","---")</f>
        <v>---</v>
      </c>
      <c r="N873" s="294"/>
      <c r="O873" s="294"/>
      <c r="P873" s="294"/>
      <c r="Q873" s="294"/>
      <c r="R873" s="294"/>
      <c r="S873" s="294"/>
      <c r="T873" s="294"/>
      <c r="U873" s="295"/>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3"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4"/>
      <c r="L874" s="295"/>
      <c r="M874" s="293" t="str">
        <f>IF(AND(OR(E868="SS",E868="RPX",E868="EUC",E868="RPX-T"),(OR(C878="",C878="Field SPL"))),"Cannot have FlexNap cables without tethers","---")</f>
        <v>---</v>
      </c>
      <c r="N874" s="294"/>
      <c r="O874" s="294"/>
      <c r="P874" s="294"/>
      <c r="Q874" s="294"/>
      <c r="R874" s="294"/>
      <c r="S874" s="294"/>
      <c r="T874" s="294"/>
      <c r="U874" s="295"/>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3" t="str">
        <f>IF(AND(OR(E868="RPX", E868="RPX-T", E868="SS"),E869=216),"NO 216 For RPX, RPX-T, OR SS CABLE","---")</f>
        <v>---</v>
      </c>
      <c r="K875" s="294"/>
      <c r="L875" s="295"/>
      <c r="M875" s="293" t="str" cm="1">
        <f t="array" ref="M875">IF(AND(E868="",OR(C878:C902="FST",C878:C902="REV T",C878:C902="DBL REV",C878:C902="TPL REV", C878:C902="QD REV")),"Non-FlexNap cables cannot have tethers","---")</f>
        <v>---</v>
      </c>
      <c r="N875" s="294"/>
      <c r="O875" s="294"/>
      <c r="P875" s="294"/>
      <c r="Q875" s="294"/>
      <c r="R875" s="294"/>
      <c r="S875" s="294"/>
      <c r="T875" s="294"/>
      <c r="U875" s="295"/>
      <c r="V875" s="25"/>
      <c r="W875" s="58"/>
      <c r="X875" s="58"/>
      <c r="Y875" s="25"/>
      <c r="Z875" s="45">
        <v>6</v>
      </c>
      <c r="AA875" s="65">
        <v>61</v>
      </c>
      <c r="AB875" s="65">
        <v>72</v>
      </c>
      <c r="AC875" s="25"/>
      <c r="AD875" s="25"/>
      <c r="BA875" s="226"/>
    </row>
    <row r="876" spans="1:53" ht="15.75" customHeight="1" thickBot="1" x14ac:dyDescent="0.3">
      <c r="A876" s="88"/>
      <c r="B876" s="278" t="s">
        <v>260</v>
      </c>
      <c r="C876" s="315" t="s">
        <v>261</v>
      </c>
      <c r="D876" s="315" t="s">
        <v>262</v>
      </c>
      <c r="E876" s="317" t="s">
        <v>263</v>
      </c>
      <c r="F876" s="315" t="s">
        <v>264</v>
      </c>
      <c r="G876" s="280" t="s">
        <v>265</v>
      </c>
      <c r="H876" s="280" t="s">
        <v>266</v>
      </c>
      <c r="I876" s="280" t="s">
        <v>267</v>
      </c>
      <c r="J876" s="319" t="s">
        <v>268</v>
      </c>
      <c r="K876" s="315" t="s">
        <v>269</v>
      </c>
      <c r="L876" s="321" t="s">
        <v>270</v>
      </c>
      <c r="M876" s="323" t="s">
        <v>271</v>
      </c>
      <c r="N876" s="323"/>
      <c r="O876" s="323"/>
      <c r="P876" s="323"/>
      <c r="Q876" s="323"/>
      <c r="R876" s="323"/>
      <c r="S876" s="323"/>
      <c r="T876" s="323"/>
      <c r="U876" s="324"/>
      <c r="V876" s="107"/>
      <c r="W876" s="72"/>
      <c r="X876" s="72"/>
      <c r="Y876" s="72"/>
      <c r="Z876" s="45">
        <v>7</v>
      </c>
      <c r="AA876" s="65">
        <v>73</v>
      </c>
      <c r="AB876" s="65">
        <v>84</v>
      </c>
      <c r="AC876" s="25"/>
      <c r="AD876" s="25"/>
      <c r="BA876" s="228"/>
    </row>
    <row r="877" spans="1:53" ht="15.75" thickBot="1" x14ac:dyDescent="0.3">
      <c r="A877" s="88"/>
      <c r="B877" s="279"/>
      <c r="C877" s="316"/>
      <c r="D877" s="316"/>
      <c r="E877" s="318"/>
      <c r="F877" s="316"/>
      <c r="G877" s="281"/>
      <c r="H877" s="281"/>
      <c r="I877" s="281"/>
      <c r="J877" s="320"/>
      <c r="K877" s="316"/>
      <c r="L877" s="322"/>
      <c r="M877" s="325"/>
      <c r="N877" s="325"/>
      <c r="O877" s="325"/>
      <c r="P877" s="325"/>
      <c r="Q877" s="325"/>
      <c r="R877" s="325"/>
      <c r="S877" s="325"/>
      <c r="T877" s="325"/>
      <c r="U877" s="326"/>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6"/>
      <c r="N878" s="296"/>
      <c r="O878" s="296"/>
      <c r="P878" s="296"/>
      <c r="Q878" s="296"/>
      <c r="R878" s="296"/>
      <c r="S878" s="296"/>
      <c r="T878" s="296"/>
      <c r="U878" s="297"/>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6"/>
      <c r="N879" s="296"/>
      <c r="O879" s="296"/>
      <c r="P879" s="296"/>
      <c r="Q879" s="296"/>
      <c r="R879" s="296"/>
      <c r="S879" s="296"/>
      <c r="T879" s="296"/>
      <c r="U879" s="297"/>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6"/>
      <c r="N880" s="296"/>
      <c r="O880" s="296"/>
      <c r="P880" s="296"/>
      <c r="Q880" s="296"/>
      <c r="R880" s="296"/>
      <c r="S880" s="296"/>
      <c r="T880" s="296"/>
      <c r="U880" s="297"/>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6"/>
      <c r="N881" s="296"/>
      <c r="O881" s="296"/>
      <c r="P881" s="296"/>
      <c r="Q881" s="296"/>
      <c r="R881" s="296"/>
      <c r="S881" s="296"/>
      <c r="T881" s="296"/>
      <c r="U881" s="297"/>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6"/>
      <c r="N882" s="296"/>
      <c r="O882" s="296"/>
      <c r="P882" s="296"/>
      <c r="Q882" s="296"/>
      <c r="R882" s="296"/>
      <c r="S882" s="296"/>
      <c r="T882" s="296"/>
      <c r="U882" s="297"/>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6"/>
      <c r="N883" s="296"/>
      <c r="O883" s="296"/>
      <c r="P883" s="296"/>
      <c r="Q883" s="296"/>
      <c r="R883" s="296"/>
      <c r="S883" s="296"/>
      <c r="T883" s="296"/>
      <c r="U883" s="297"/>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6"/>
      <c r="N884" s="296"/>
      <c r="O884" s="296"/>
      <c r="P884" s="296"/>
      <c r="Q884" s="296"/>
      <c r="R884" s="296"/>
      <c r="S884" s="296"/>
      <c r="T884" s="296"/>
      <c r="U884" s="297"/>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6"/>
      <c r="N885" s="296"/>
      <c r="O885" s="296"/>
      <c r="P885" s="296"/>
      <c r="Q885" s="296"/>
      <c r="R885" s="296"/>
      <c r="S885" s="296"/>
      <c r="T885" s="296"/>
      <c r="U885" s="297"/>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6"/>
      <c r="N886" s="296"/>
      <c r="O886" s="296"/>
      <c r="P886" s="296"/>
      <c r="Q886" s="296"/>
      <c r="R886" s="296"/>
      <c r="S886" s="296"/>
      <c r="T886" s="296"/>
      <c r="U886" s="297"/>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6"/>
      <c r="N887" s="296"/>
      <c r="O887" s="296"/>
      <c r="P887" s="296"/>
      <c r="Q887" s="296"/>
      <c r="R887" s="296"/>
      <c r="S887" s="296"/>
      <c r="T887" s="296"/>
      <c r="U887" s="297"/>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6"/>
      <c r="N888" s="296"/>
      <c r="O888" s="296"/>
      <c r="P888" s="296"/>
      <c r="Q888" s="296"/>
      <c r="R888" s="296"/>
      <c r="S888" s="296"/>
      <c r="T888" s="296"/>
      <c r="U888" s="297"/>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6"/>
      <c r="N889" s="296"/>
      <c r="O889" s="296"/>
      <c r="P889" s="296"/>
      <c r="Q889" s="296"/>
      <c r="R889" s="296"/>
      <c r="S889" s="296"/>
      <c r="T889" s="296"/>
      <c r="U889" s="297"/>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6"/>
      <c r="N890" s="296"/>
      <c r="O890" s="296"/>
      <c r="P890" s="296"/>
      <c r="Q890" s="296"/>
      <c r="R890" s="296"/>
      <c r="S890" s="296"/>
      <c r="T890" s="296"/>
      <c r="U890" s="297"/>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6"/>
      <c r="N891" s="296"/>
      <c r="O891" s="296"/>
      <c r="P891" s="296"/>
      <c r="Q891" s="296"/>
      <c r="R891" s="296"/>
      <c r="S891" s="296"/>
      <c r="T891" s="296"/>
      <c r="U891" s="297"/>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6"/>
      <c r="N892" s="296"/>
      <c r="O892" s="296"/>
      <c r="P892" s="296"/>
      <c r="Q892" s="296"/>
      <c r="R892" s="296"/>
      <c r="S892" s="296"/>
      <c r="T892" s="296"/>
      <c r="U892" s="297"/>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6"/>
      <c r="N893" s="296"/>
      <c r="O893" s="296"/>
      <c r="P893" s="296"/>
      <c r="Q893" s="296"/>
      <c r="R893" s="296"/>
      <c r="S893" s="296"/>
      <c r="T893" s="296"/>
      <c r="U893" s="297"/>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6"/>
      <c r="N894" s="296"/>
      <c r="O894" s="296"/>
      <c r="P894" s="296"/>
      <c r="Q894" s="296"/>
      <c r="R894" s="296"/>
      <c r="S894" s="296"/>
      <c r="T894" s="296"/>
      <c r="U894" s="297"/>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6"/>
      <c r="N895" s="296"/>
      <c r="O895" s="296"/>
      <c r="P895" s="296"/>
      <c r="Q895" s="296"/>
      <c r="R895" s="296"/>
      <c r="S895" s="296"/>
      <c r="T895" s="296"/>
      <c r="U895" s="297"/>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6"/>
      <c r="N896" s="296"/>
      <c r="O896" s="296"/>
      <c r="P896" s="296"/>
      <c r="Q896" s="296"/>
      <c r="R896" s="296"/>
      <c r="S896" s="296"/>
      <c r="T896" s="296"/>
      <c r="U896" s="297"/>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6"/>
      <c r="N897" s="296"/>
      <c r="O897" s="296"/>
      <c r="P897" s="296"/>
      <c r="Q897" s="296"/>
      <c r="R897" s="296"/>
      <c r="S897" s="296"/>
      <c r="T897" s="296"/>
      <c r="U897" s="297"/>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6"/>
      <c r="N898" s="296"/>
      <c r="O898" s="296"/>
      <c r="P898" s="296"/>
      <c r="Q898" s="296"/>
      <c r="R898" s="296"/>
      <c r="S898" s="296"/>
      <c r="T898" s="296"/>
      <c r="U898" s="297"/>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6"/>
      <c r="N899" s="296"/>
      <c r="O899" s="296"/>
      <c r="P899" s="296"/>
      <c r="Q899" s="296"/>
      <c r="R899" s="296"/>
      <c r="S899" s="296"/>
      <c r="T899" s="296"/>
      <c r="U899" s="297"/>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6"/>
      <c r="N900" s="296"/>
      <c r="O900" s="296"/>
      <c r="P900" s="296"/>
      <c r="Q900" s="296"/>
      <c r="R900" s="296"/>
      <c r="S900" s="296"/>
      <c r="T900" s="296"/>
      <c r="U900" s="297"/>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6"/>
      <c r="N901" s="296"/>
      <c r="O901" s="296"/>
      <c r="P901" s="296"/>
      <c r="Q901" s="296"/>
      <c r="R901" s="296"/>
      <c r="S901" s="296"/>
      <c r="T901" s="296"/>
      <c r="U901" s="297"/>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6"/>
      <c r="N902" s="296"/>
      <c r="O902" s="296"/>
      <c r="P902" s="296"/>
      <c r="Q902" s="296"/>
      <c r="R902" s="296"/>
      <c r="S902" s="296"/>
      <c r="T902" s="296"/>
      <c r="U902" s="297"/>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2" t="s">
        <v>347</v>
      </c>
      <c r="C903" s="284"/>
      <c r="D903" s="79"/>
      <c r="E903" s="80"/>
      <c r="F903" s="80"/>
      <c r="G903" s="81"/>
      <c r="H903" s="192"/>
      <c r="I903" s="192"/>
      <c r="J903" s="192"/>
      <c r="K903" s="82"/>
      <c r="L903" s="282" t="s">
        <v>306</v>
      </c>
      <c r="M903" s="283"/>
      <c r="N903" s="283"/>
      <c r="O903" s="283"/>
      <c r="P903" s="283"/>
      <c r="Q903" s="283"/>
      <c r="R903" s="283"/>
      <c r="S903" s="283"/>
      <c r="T903" s="283"/>
      <c r="U903" s="284"/>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2" t="s">
        <v>307</v>
      </c>
      <c r="C904" s="284"/>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5" t="s">
        <v>222</v>
      </c>
      <c r="C908" s="286"/>
      <c r="D908" s="287" t="s">
        <v>223</v>
      </c>
      <c r="E908" s="288"/>
      <c r="F908" s="88"/>
      <c r="G908" s="289" t="s">
        <v>224</v>
      </c>
      <c r="H908" s="290"/>
      <c r="I908" s="28">
        <f>SUM(E919:E943)</f>
        <v>0</v>
      </c>
      <c r="J908" s="291" t="s">
        <v>225</v>
      </c>
      <c r="K908" s="292"/>
      <c r="L908" s="288"/>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8" t="s">
        <v>226</v>
      </c>
      <c r="AA908" s="299"/>
      <c r="AB908" s="300"/>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1" t="s">
        <v>230</v>
      </c>
      <c r="H909" s="288"/>
      <c r="I909" s="33">
        <f>E910-I908</f>
        <v>0</v>
      </c>
      <c r="J909" s="302" t="s">
        <v>231</v>
      </c>
      <c r="K909" s="303"/>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4" t="s">
        <v>232</v>
      </c>
      <c r="AA909" s="306" t="s">
        <v>233</v>
      </c>
      <c r="AB909" s="307"/>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10" t="s">
        <v>237</v>
      </c>
      <c r="H910" s="311"/>
      <c r="I910" s="35">
        <f>IF(E910=0,0,12-(MOD(I908,12)))</f>
        <v>0</v>
      </c>
      <c r="J910" s="302" t="s">
        <v>238</v>
      </c>
      <c r="K910" s="303"/>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5"/>
      <c r="AA910" s="308"/>
      <c r="AB910" s="309"/>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8" t="s">
        <v>242</v>
      </c>
      <c r="H911" s="43" t="s">
        <v>243</v>
      </c>
      <c r="I911" s="35">
        <f>IF(E911&lt;&gt;0,1,0)</f>
        <v>0</v>
      </c>
      <c r="J911" s="310" t="s">
        <v>244</v>
      </c>
      <c r="K911" s="311"/>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9"/>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8" t="s">
        <v>251</v>
      </c>
      <c r="H913" s="51" t="s">
        <v>252</v>
      </c>
      <c r="I913" s="112">
        <f>E912</f>
        <v>0</v>
      </c>
      <c r="J913" s="312" t="s">
        <v>253</v>
      </c>
      <c r="K913" s="313"/>
      <c r="L913" s="31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9"/>
      <c r="H914" s="47" t="s">
        <v>257</v>
      </c>
      <c r="I914" s="35" t="str">
        <f>IF(E912="","0",IF(AND(E909="EUC",E910=432), I913+(203-E911),IF(E912=0,0,(E912+(E910-E911)-1))))</f>
        <v>0</v>
      </c>
      <c r="J914" s="293" t="str">
        <f>IFERROR(IF(OR(E909="EUC",E909="SS"),"---",IF(OR(P908,S908),"NO 2F Tethers for RPX!",IF(OR(P910,S910),"NO 6F Tethers for RPX!","---"))),"---")</f>
        <v>---</v>
      </c>
      <c r="K914" s="294"/>
      <c r="L914" s="295"/>
      <c r="M914" s="293" t="str">
        <f>IF(E911&gt;60,"Dead Count &gt;60: Consider Downsize","---")</f>
        <v>---</v>
      </c>
      <c r="N914" s="294"/>
      <c r="O914" s="294"/>
      <c r="P914" s="294"/>
      <c r="Q914" s="294"/>
      <c r="R914" s="294"/>
      <c r="S914" s="294"/>
      <c r="T914" s="294"/>
      <c r="U914" s="295"/>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3"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4"/>
      <c r="L915" s="295"/>
      <c r="M915" s="293" t="str">
        <f>IF(AND(OR(E909="SS",E909="RPX",E909="EUC",E909="RPX-T"),(OR(C919="",C919="Field SPL"))),"Cannot have FlexNap cables without tethers","---")</f>
        <v>---</v>
      </c>
      <c r="N915" s="294"/>
      <c r="O915" s="294"/>
      <c r="P915" s="294"/>
      <c r="Q915" s="294"/>
      <c r="R915" s="294"/>
      <c r="S915" s="294"/>
      <c r="T915" s="294"/>
      <c r="U915" s="295"/>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3" t="str">
        <f>IF(AND(OR(E909="RPX", E909="RPX-T", E909="SS"),E910=216),"NO 216 For RPX, RPX-T, OR SS CABLE","---")</f>
        <v>---</v>
      </c>
      <c r="K916" s="294"/>
      <c r="L916" s="295"/>
      <c r="M916" s="293" t="str" cm="1">
        <f t="array" ref="M916">IF(AND(E909="",OR(C919:C943="FST",C919:C943="REV T",C919:C943="DBL REV",C919:C943="TPL REV", C919:C943="QD REV")),"Non-FlexNap cables cannot have tethers","---")</f>
        <v>---</v>
      </c>
      <c r="N916" s="294"/>
      <c r="O916" s="294"/>
      <c r="P916" s="294"/>
      <c r="Q916" s="294"/>
      <c r="R916" s="294"/>
      <c r="S916" s="294"/>
      <c r="T916" s="294"/>
      <c r="U916" s="295"/>
      <c r="V916" s="25"/>
      <c r="W916" s="58"/>
      <c r="X916" s="58"/>
      <c r="Y916" s="25"/>
      <c r="Z916" s="45">
        <v>6</v>
      </c>
      <c r="AA916" s="65">
        <v>61</v>
      </c>
      <c r="AB916" s="65">
        <v>72</v>
      </c>
      <c r="AC916" s="25"/>
      <c r="AD916" s="25"/>
      <c r="BA916" s="226"/>
    </row>
    <row r="917" spans="1:53" ht="15.75" customHeight="1" thickBot="1" x14ac:dyDescent="0.3">
      <c r="A917" s="88"/>
      <c r="B917" s="278" t="s">
        <v>260</v>
      </c>
      <c r="C917" s="315" t="s">
        <v>261</v>
      </c>
      <c r="D917" s="315" t="s">
        <v>262</v>
      </c>
      <c r="E917" s="317" t="s">
        <v>263</v>
      </c>
      <c r="F917" s="315" t="s">
        <v>264</v>
      </c>
      <c r="G917" s="280" t="s">
        <v>265</v>
      </c>
      <c r="H917" s="280" t="s">
        <v>266</v>
      </c>
      <c r="I917" s="280" t="s">
        <v>267</v>
      </c>
      <c r="J917" s="319" t="s">
        <v>268</v>
      </c>
      <c r="K917" s="315" t="s">
        <v>269</v>
      </c>
      <c r="L917" s="321" t="s">
        <v>270</v>
      </c>
      <c r="M917" s="323" t="s">
        <v>271</v>
      </c>
      <c r="N917" s="323"/>
      <c r="O917" s="323"/>
      <c r="P917" s="323"/>
      <c r="Q917" s="323"/>
      <c r="R917" s="323"/>
      <c r="S917" s="323"/>
      <c r="T917" s="323"/>
      <c r="U917" s="324"/>
      <c r="V917" s="107"/>
      <c r="W917" s="72"/>
      <c r="X917" s="72"/>
      <c r="Y917" s="72"/>
      <c r="Z917" s="45">
        <v>7</v>
      </c>
      <c r="AA917" s="65">
        <v>73</v>
      </c>
      <c r="AB917" s="65">
        <v>84</v>
      </c>
      <c r="AC917" s="25"/>
      <c r="AD917" s="25"/>
      <c r="BA917" s="228"/>
    </row>
    <row r="918" spans="1:53" ht="15.75" thickBot="1" x14ac:dyDescent="0.3">
      <c r="A918" s="88"/>
      <c r="B918" s="279"/>
      <c r="C918" s="316"/>
      <c r="D918" s="316"/>
      <c r="E918" s="318"/>
      <c r="F918" s="316"/>
      <c r="G918" s="281"/>
      <c r="H918" s="281"/>
      <c r="I918" s="281"/>
      <c r="J918" s="320"/>
      <c r="K918" s="316"/>
      <c r="L918" s="322"/>
      <c r="M918" s="325"/>
      <c r="N918" s="325"/>
      <c r="O918" s="325"/>
      <c r="P918" s="325"/>
      <c r="Q918" s="325"/>
      <c r="R918" s="325"/>
      <c r="S918" s="325"/>
      <c r="T918" s="325"/>
      <c r="U918" s="326"/>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6"/>
      <c r="N919" s="296"/>
      <c r="O919" s="296"/>
      <c r="P919" s="296"/>
      <c r="Q919" s="296"/>
      <c r="R919" s="296"/>
      <c r="S919" s="296"/>
      <c r="T919" s="296"/>
      <c r="U919" s="297"/>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6"/>
      <c r="N920" s="296"/>
      <c r="O920" s="296"/>
      <c r="P920" s="296"/>
      <c r="Q920" s="296"/>
      <c r="R920" s="296"/>
      <c r="S920" s="296"/>
      <c r="T920" s="296"/>
      <c r="U920" s="297"/>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6"/>
      <c r="N921" s="296"/>
      <c r="O921" s="296"/>
      <c r="P921" s="296"/>
      <c r="Q921" s="296"/>
      <c r="R921" s="296"/>
      <c r="S921" s="296"/>
      <c r="T921" s="296"/>
      <c r="U921" s="297"/>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6"/>
      <c r="N922" s="296"/>
      <c r="O922" s="296"/>
      <c r="P922" s="296"/>
      <c r="Q922" s="296"/>
      <c r="R922" s="296"/>
      <c r="S922" s="296"/>
      <c r="T922" s="296"/>
      <c r="U922" s="297"/>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6"/>
      <c r="N923" s="296"/>
      <c r="O923" s="296"/>
      <c r="P923" s="296"/>
      <c r="Q923" s="296"/>
      <c r="R923" s="296"/>
      <c r="S923" s="296"/>
      <c r="T923" s="296"/>
      <c r="U923" s="297"/>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6"/>
      <c r="N924" s="296"/>
      <c r="O924" s="296"/>
      <c r="P924" s="296"/>
      <c r="Q924" s="296"/>
      <c r="R924" s="296"/>
      <c r="S924" s="296"/>
      <c r="T924" s="296"/>
      <c r="U924" s="297"/>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6"/>
      <c r="N925" s="296"/>
      <c r="O925" s="296"/>
      <c r="P925" s="296"/>
      <c r="Q925" s="296"/>
      <c r="R925" s="296"/>
      <c r="S925" s="296"/>
      <c r="T925" s="296"/>
      <c r="U925" s="297"/>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6"/>
      <c r="N926" s="296"/>
      <c r="O926" s="296"/>
      <c r="P926" s="296"/>
      <c r="Q926" s="296"/>
      <c r="R926" s="296"/>
      <c r="S926" s="296"/>
      <c r="T926" s="296"/>
      <c r="U926" s="297"/>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6"/>
      <c r="N927" s="296"/>
      <c r="O927" s="296"/>
      <c r="P927" s="296"/>
      <c r="Q927" s="296"/>
      <c r="R927" s="296"/>
      <c r="S927" s="296"/>
      <c r="T927" s="296"/>
      <c r="U927" s="297"/>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6"/>
      <c r="N928" s="296"/>
      <c r="O928" s="296"/>
      <c r="P928" s="296"/>
      <c r="Q928" s="296"/>
      <c r="R928" s="296"/>
      <c r="S928" s="296"/>
      <c r="T928" s="296"/>
      <c r="U928" s="297"/>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6"/>
      <c r="N929" s="296"/>
      <c r="O929" s="296"/>
      <c r="P929" s="296"/>
      <c r="Q929" s="296"/>
      <c r="R929" s="296"/>
      <c r="S929" s="296"/>
      <c r="T929" s="296"/>
      <c r="U929" s="297"/>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6"/>
      <c r="N930" s="296"/>
      <c r="O930" s="296"/>
      <c r="P930" s="296"/>
      <c r="Q930" s="296"/>
      <c r="R930" s="296"/>
      <c r="S930" s="296"/>
      <c r="T930" s="296"/>
      <c r="U930" s="297"/>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6"/>
      <c r="N931" s="296"/>
      <c r="O931" s="296"/>
      <c r="P931" s="296"/>
      <c r="Q931" s="296"/>
      <c r="R931" s="296"/>
      <c r="S931" s="296"/>
      <c r="T931" s="296"/>
      <c r="U931" s="297"/>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6"/>
      <c r="N932" s="296"/>
      <c r="O932" s="296"/>
      <c r="P932" s="296"/>
      <c r="Q932" s="296"/>
      <c r="R932" s="296"/>
      <c r="S932" s="296"/>
      <c r="T932" s="296"/>
      <c r="U932" s="297"/>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6"/>
      <c r="N933" s="296"/>
      <c r="O933" s="296"/>
      <c r="P933" s="296"/>
      <c r="Q933" s="296"/>
      <c r="R933" s="296"/>
      <c r="S933" s="296"/>
      <c r="T933" s="296"/>
      <c r="U933" s="297"/>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6"/>
      <c r="N934" s="296"/>
      <c r="O934" s="296"/>
      <c r="P934" s="296"/>
      <c r="Q934" s="296"/>
      <c r="R934" s="296"/>
      <c r="S934" s="296"/>
      <c r="T934" s="296"/>
      <c r="U934" s="297"/>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6"/>
      <c r="N935" s="296"/>
      <c r="O935" s="296"/>
      <c r="P935" s="296"/>
      <c r="Q935" s="296"/>
      <c r="R935" s="296"/>
      <c r="S935" s="296"/>
      <c r="T935" s="296"/>
      <c r="U935" s="297"/>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6"/>
      <c r="N936" s="296"/>
      <c r="O936" s="296"/>
      <c r="P936" s="296"/>
      <c r="Q936" s="296"/>
      <c r="R936" s="296"/>
      <c r="S936" s="296"/>
      <c r="T936" s="296"/>
      <c r="U936" s="297"/>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6"/>
      <c r="N937" s="296"/>
      <c r="O937" s="296"/>
      <c r="P937" s="296"/>
      <c r="Q937" s="296"/>
      <c r="R937" s="296"/>
      <c r="S937" s="296"/>
      <c r="T937" s="296"/>
      <c r="U937" s="297"/>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6"/>
      <c r="N938" s="296"/>
      <c r="O938" s="296"/>
      <c r="P938" s="296"/>
      <c r="Q938" s="296"/>
      <c r="R938" s="296"/>
      <c r="S938" s="296"/>
      <c r="T938" s="296"/>
      <c r="U938" s="297"/>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6"/>
      <c r="N939" s="296"/>
      <c r="O939" s="296"/>
      <c r="P939" s="296"/>
      <c r="Q939" s="296"/>
      <c r="R939" s="296"/>
      <c r="S939" s="296"/>
      <c r="T939" s="296"/>
      <c r="U939" s="297"/>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6"/>
      <c r="N940" s="296"/>
      <c r="O940" s="296"/>
      <c r="P940" s="296"/>
      <c r="Q940" s="296"/>
      <c r="R940" s="296"/>
      <c r="S940" s="296"/>
      <c r="T940" s="296"/>
      <c r="U940" s="297"/>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6"/>
      <c r="N941" s="296"/>
      <c r="O941" s="296"/>
      <c r="P941" s="296"/>
      <c r="Q941" s="296"/>
      <c r="R941" s="296"/>
      <c r="S941" s="296"/>
      <c r="T941" s="296"/>
      <c r="U941" s="297"/>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6"/>
      <c r="N942" s="296"/>
      <c r="O942" s="296"/>
      <c r="P942" s="296"/>
      <c r="Q942" s="296"/>
      <c r="R942" s="296"/>
      <c r="S942" s="296"/>
      <c r="T942" s="296"/>
      <c r="U942" s="297"/>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6"/>
      <c r="N943" s="296"/>
      <c r="O943" s="296"/>
      <c r="P943" s="296"/>
      <c r="Q943" s="296"/>
      <c r="R943" s="296"/>
      <c r="S943" s="296"/>
      <c r="T943" s="296"/>
      <c r="U943" s="297"/>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5" t="s">
        <v>222</v>
      </c>
      <c r="C949" s="286"/>
      <c r="D949" s="287" t="s">
        <v>223</v>
      </c>
      <c r="E949" s="288"/>
      <c r="F949" s="88"/>
      <c r="G949" s="289" t="s">
        <v>224</v>
      </c>
      <c r="H949" s="290"/>
      <c r="I949" s="28">
        <f>SUM(E960:E984)</f>
        <v>0</v>
      </c>
      <c r="J949" s="291" t="s">
        <v>225</v>
      </c>
      <c r="K949" s="292"/>
      <c r="L949" s="288"/>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8" t="s">
        <v>226</v>
      </c>
      <c r="AA949" s="299"/>
      <c r="AB949" s="300"/>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1" t="s">
        <v>230</v>
      </c>
      <c r="H950" s="288"/>
      <c r="I950" s="33">
        <f>E951-I949</f>
        <v>0</v>
      </c>
      <c r="J950" s="302" t="s">
        <v>231</v>
      </c>
      <c r="K950" s="303"/>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4" t="s">
        <v>232</v>
      </c>
      <c r="AA950" s="306" t="s">
        <v>233</v>
      </c>
      <c r="AB950" s="307"/>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10" t="s">
        <v>237</v>
      </c>
      <c r="H951" s="311"/>
      <c r="I951" s="35">
        <f>IF(E951=0,0,12-(MOD(I949,12)))</f>
        <v>0</v>
      </c>
      <c r="J951" s="302" t="s">
        <v>238</v>
      </c>
      <c r="K951" s="303"/>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5"/>
      <c r="AA951" s="308"/>
      <c r="AB951" s="309"/>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8" t="s">
        <v>242</v>
      </c>
      <c r="H952" s="43" t="s">
        <v>243</v>
      </c>
      <c r="I952" s="35">
        <f>IF(E952&lt;&gt;0,1,0)</f>
        <v>0</v>
      </c>
      <c r="J952" s="310" t="s">
        <v>244</v>
      </c>
      <c r="K952" s="311"/>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9"/>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8" t="s">
        <v>251</v>
      </c>
      <c r="H954" s="51" t="s">
        <v>252</v>
      </c>
      <c r="I954" s="112">
        <f>E953</f>
        <v>0</v>
      </c>
      <c r="J954" s="312" t="s">
        <v>253</v>
      </c>
      <c r="K954" s="313"/>
      <c r="L954" s="31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9"/>
      <c r="H955" s="47" t="s">
        <v>257</v>
      </c>
      <c r="I955" s="35" t="str">
        <f>IF(E953="","0",IF(AND(E950="EUC",E951=432), I954+(203-E952),IF(E953=0,0,(E953+(E951-E952)-1))))</f>
        <v>0</v>
      </c>
      <c r="J955" s="293" t="str">
        <f>IFERROR(IF(OR(E950="EUC",E950="SS"),"---",IF(OR(P949,S949),"NO 2F Tethers for RPX!",IF(OR(P951,S951),"NO 6F Tethers for RPX!","---"))),"---")</f>
        <v>---</v>
      </c>
      <c r="K955" s="294"/>
      <c r="L955" s="295"/>
      <c r="M955" s="293" t="str">
        <f>IF(E952&gt;60,"Dead Count &gt;60: Consider Downsize","---")</f>
        <v>---</v>
      </c>
      <c r="N955" s="294"/>
      <c r="O955" s="294"/>
      <c r="P955" s="294"/>
      <c r="Q955" s="294"/>
      <c r="R955" s="294"/>
      <c r="S955" s="294"/>
      <c r="T955" s="294"/>
      <c r="U955" s="295"/>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3"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4"/>
      <c r="L956" s="295"/>
      <c r="M956" s="293" t="str">
        <f>IF(AND(OR(E950="SS",E950="RPX",E950="EUC",E950="RPX-T"),(OR(C960="",C960="Field SPL"))),"Cannot have FlexNap cables without tethers","---")</f>
        <v>---</v>
      </c>
      <c r="N956" s="294"/>
      <c r="O956" s="294"/>
      <c r="P956" s="294"/>
      <c r="Q956" s="294"/>
      <c r="R956" s="294"/>
      <c r="S956" s="294"/>
      <c r="T956" s="294"/>
      <c r="U956" s="295"/>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3" t="str">
        <f>IF(AND(OR(E950="RPX", E950="RPX-T", E950="SS"),E951=216),"NO 216 For RPX, RPX-T, OR SS CABLE","---")</f>
        <v>---</v>
      </c>
      <c r="K957" s="294"/>
      <c r="L957" s="295"/>
      <c r="M957" s="293" t="str" cm="1">
        <f t="array" ref="M957">IF(AND(E950="",OR(C960:C984="FST",C960:C984="REV T",C960:C984="DBL REV",C960:C984="TPL REV", C960:C984="QD REV")),"Non-FlexNap cables cannot have tethers","---")</f>
        <v>---</v>
      </c>
      <c r="N957" s="294"/>
      <c r="O957" s="294"/>
      <c r="P957" s="294"/>
      <c r="Q957" s="294"/>
      <c r="R957" s="294"/>
      <c r="S957" s="294"/>
      <c r="T957" s="294"/>
      <c r="U957" s="295"/>
      <c r="V957" s="25"/>
      <c r="W957" s="58"/>
      <c r="X957" s="58"/>
      <c r="Y957" s="25"/>
      <c r="Z957" s="45">
        <v>6</v>
      </c>
      <c r="AA957" s="65">
        <v>61</v>
      </c>
      <c r="AB957" s="65">
        <v>72</v>
      </c>
      <c r="AC957" s="25"/>
      <c r="AD957" s="25"/>
      <c r="BA957" s="226"/>
    </row>
    <row r="958" spans="1:53" ht="15.75" customHeight="1" thickBot="1" x14ac:dyDescent="0.3">
      <c r="A958" s="88"/>
      <c r="B958" s="278" t="s">
        <v>260</v>
      </c>
      <c r="C958" s="315" t="s">
        <v>261</v>
      </c>
      <c r="D958" s="315" t="s">
        <v>262</v>
      </c>
      <c r="E958" s="317" t="s">
        <v>263</v>
      </c>
      <c r="F958" s="315" t="s">
        <v>264</v>
      </c>
      <c r="G958" s="280" t="s">
        <v>265</v>
      </c>
      <c r="H958" s="280" t="s">
        <v>266</v>
      </c>
      <c r="I958" s="280" t="s">
        <v>267</v>
      </c>
      <c r="J958" s="319" t="s">
        <v>268</v>
      </c>
      <c r="K958" s="315" t="s">
        <v>269</v>
      </c>
      <c r="L958" s="321" t="s">
        <v>270</v>
      </c>
      <c r="M958" s="323" t="s">
        <v>271</v>
      </c>
      <c r="N958" s="323"/>
      <c r="O958" s="323"/>
      <c r="P958" s="323"/>
      <c r="Q958" s="323"/>
      <c r="R958" s="323"/>
      <c r="S958" s="323"/>
      <c r="T958" s="323"/>
      <c r="U958" s="324"/>
      <c r="V958" s="107"/>
      <c r="W958" s="72"/>
      <c r="X958" s="72"/>
      <c r="Y958" s="72"/>
      <c r="Z958" s="45">
        <v>7</v>
      </c>
      <c r="AA958" s="65">
        <v>73</v>
      </c>
      <c r="AB958" s="65">
        <v>84</v>
      </c>
      <c r="AC958" s="25"/>
      <c r="AD958" s="25"/>
      <c r="BA958" s="228"/>
    </row>
    <row r="959" spans="1:53" ht="15.75" thickBot="1" x14ac:dyDescent="0.3">
      <c r="A959" s="88"/>
      <c r="B959" s="279"/>
      <c r="C959" s="316"/>
      <c r="D959" s="316"/>
      <c r="E959" s="318"/>
      <c r="F959" s="316"/>
      <c r="G959" s="281"/>
      <c r="H959" s="281"/>
      <c r="I959" s="281"/>
      <c r="J959" s="320"/>
      <c r="K959" s="316"/>
      <c r="L959" s="322"/>
      <c r="M959" s="325"/>
      <c r="N959" s="325"/>
      <c r="O959" s="325"/>
      <c r="P959" s="325"/>
      <c r="Q959" s="325"/>
      <c r="R959" s="325"/>
      <c r="S959" s="325"/>
      <c r="T959" s="325"/>
      <c r="U959" s="326"/>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6"/>
      <c r="N960" s="296"/>
      <c r="O960" s="296"/>
      <c r="P960" s="296"/>
      <c r="Q960" s="296"/>
      <c r="R960" s="296"/>
      <c r="S960" s="296"/>
      <c r="T960" s="296"/>
      <c r="U960" s="297"/>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6"/>
      <c r="N961" s="296"/>
      <c r="O961" s="296"/>
      <c r="P961" s="296"/>
      <c r="Q961" s="296"/>
      <c r="R961" s="296"/>
      <c r="S961" s="296"/>
      <c r="T961" s="296"/>
      <c r="U961" s="297"/>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6"/>
      <c r="N962" s="296"/>
      <c r="O962" s="296"/>
      <c r="P962" s="296"/>
      <c r="Q962" s="296"/>
      <c r="R962" s="296"/>
      <c r="S962" s="296"/>
      <c r="T962" s="296"/>
      <c r="U962" s="297"/>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6"/>
      <c r="N963" s="296"/>
      <c r="O963" s="296"/>
      <c r="P963" s="296"/>
      <c r="Q963" s="296"/>
      <c r="R963" s="296"/>
      <c r="S963" s="296"/>
      <c r="T963" s="296"/>
      <c r="U963" s="297"/>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6"/>
      <c r="N964" s="296"/>
      <c r="O964" s="296"/>
      <c r="P964" s="296"/>
      <c r="Q964" s="296"/>
      <c r="R964" s="296"/>
      <c r="S964" s="296"/>
      <c r="T964" s="296"/>
      <c r="U964" s="297"/>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6"/>
      <c r="N965" s="296"/>
      <c r="O965" s="296"/>
      <c r="P965" s="296"/>
      <c r="Q965" s="296"/>
      <c r="R965" s="296"/>
      <c r="S965" s="296"/>
      <c r="T965" s="296"/>
      <c r="U965" s="297"/>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6"/>
      <c r="N966" s="296"/>
      <c r="O966" s="296"/>
      <c r="P966" s="296"/>
      <c r="Q966" s="296"/>
      <c r="R966" s="296"/>
      <c r="S966" s="296"/>
      <c r="T966" s="296"/>
      <c r="U966" s="297"/>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6"/>
      <c r="N967" s="296"/>
      <c r="O967" s="296"/>
      <c r="P967" s="296"/>
      <c r="Q967" s="296"/>
      <c r="R967" s="296"/>
      <c r="S967" s="296"/>
      <c r="T967" s="296"/>
      <c r="U967" s="297"/>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6"/>
      <c r="N968" s="296"/>
      <c r="O968" s="296"/>
      <c r="P968" s="296"/>
      <c r="Q968" s="296"/>
      <c r="R968" s="296"/>
      <c r="S968" s="296"/>
      <c r="T968" s="296"/>
      <c r="U968" s="297"/>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6"/>
      <c r="N969" s="296"/>
      <c r="O969" s="296"/>
      <c r="P969" s="296"/>
      <c r="Q969" s="296"/>
      <c r="R969" s="296"/>
      <c r="S969" s="296"/>
      <c r="T969" s="296"/>
      <c r="U969" s="297"/>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6"/>
      <c r="N970" s="296"/>
      <c r="O970" s="296"/>
      <c r="P970" s="296"/>
      <c r="Q970" s="296"/>
      <c r="R970" s="296"/>
      <c r="S970" s="296"/>
      <c r="T970" s="296"/>
      <c r="U970" s="297"/>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6"/>
      <c r="N971" s="296"/>
      <c r="O971" s="296"/>
      <c r="P971" s="296"/>
      <c r="Q971" s="296"/>
      <c r="R971" s="296"/>
      <c r="S971" s="296"/>
      <c r="T971" s="296"/>
      <c r="U971" s="297"/>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6"/>
      <c r="N972" s="296"/>
      <c r="O972" s="296"/>
      <c r="P972" s="296"/>
      <c r="Q972" s="296"/>
      <c r="R972" s="296"/>
      <c r="S972" s="296"/>
      <c r="T972" s="296"/>
      <c r="U972" s="297"/>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6"/>
      <c r="N973" s="296"/>
      <c r="O973" s="296"/>
      <c r="P973" s="296"/>
      <c r="Q973" s="296"/>
      <c r="R973" s="296"/>
      <c r="S973" s="296"/>
      <c r="T973" s="296"/>
      <c r="U973" s="297"/>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6"/>
      <c r="N974" s="296"/>
      <c r="O974" s="296"/>
      <c r="P974" s="296"/>
      <c r="Q974" s="296"/>
      <c r="R974" s="296"/>
      <c r="S974" s="296"/>
      <c r="T974" s="296"/>
      <c r="U974" s="297"/>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6"/>
      <c r="N975" s="296"/>
      <c r="O975" s="296"/>
      <c r="P975" s="296"/>
      <c r="Q975" s="296"/>
      <c r="R975" s="296"/>
      <c r="S975" s="296"/>
      <c r="T975" s="296"/>
      <c r="U975" s="297"/>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6"/>
      <c r="N976" s="296"/>
      <c r="O976" s="296"/>
      <c r="P976" s="296"/>
      <c r="Q976" s="296"/>
      <c r="R976" s="296"/>
      <c r="S976" s="296"/>
      <c r="T976" s="296"/>
      <c r="U976" s="297"/>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6"/>
      <c r="N977" s="296"/>
      <c r="O977" s="296"/>
      <c r="P977" s="296"/>
      <c r="Q977" s="296"/>
      <c r="R977" s="296"/>
      <c r="S977" s="296"/>
      <c r="T977" s="296"/>
      <c r="U977" s="297"/>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6"/>
      <c r="N978" s="296"/>
      <c r="O978" s="296"/>
      <c r="P978" s="296"/>
      <c r="Q978" s="296"/>
      <c r="R978" s="296"/>
      <c r="S978" s="296"/>
      <c r="T978" s="296"/>
      <c r="U978" s="297"/>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6"/>
      <c r="N979" s="296"/>
      <c r="O979" s="296"/>
      <c r="P979" s="296"/>
      <c r="Q979" s="296"/>
      <c r="R979" s="296"/>
      <c r="S979" s="296"/>
      <c r="T979" s="296"/>
      <c r="U979" s="297"/>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6"/>
      <c r="N980" s="296"/>
      <c r="O980" s="296"/>
      <c r="P980" s="296"/>
      <c r="Q980" s="296"/>
      <c r="R980" s="296"/>
      <c r="S980" s="296"/>
      <c r="T980" s="296"/>
      <c r="U980" s="297"/>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6"/>
      <c r="N981" s="296"/>
      <c r="O981" s="296"/>
      <c r="P981" s="296"/>
      <c r="Q981" s="296"/>
      <c r="R981" s="296"/>
      <c r="S981" s="296"/>
      <c r="T981" s="296"/>
      <c r="U981" s="297"/>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6"/>
      <c r="N982" s="296"/>
      <c r="O982" s="296"/>
      <c r="P982" s="296"/>
      <c r="Q982" s="296"/>
      <c r="R982" s="296"/>
      <c r="S982" s="296"/>
      <c r="T982" s="296"/>
      <c r="U982" s="297"/>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6"/>
      <c r="N983" s="296"/>
      <c r="O983" s="296"/>
      <c r="P983" s="296"/>
      <c r="Q983" s="296"/>
      <c r="R983" s="296"/>
      <c r="S983" s="296"/>
      <c r="T983" s="296"/>
      <c r="U983" s="297"/>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6"/>
      <c r="N984" s="296"/>
      <c r="O984" s="296"/>
      <c r="P984" s="296"/>
      <c r="Q984" s="296"/>
      <c r="R984" s="296"/>
      <c r="S984" s="296"/>
      <c r="T984" s="296"/>
      <c r="U984" s="297"/>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2" t="s">
        <v>351</v>
      </c>
      <c r="C985" s="284"/>
      <c r="D985" s="79"/>
      <c r="E985" s="80"/>
      <c r="F985" s="80"/>
      <c r="G985" s="81"/>
      <c r="H985" s="192"/>
      <c r="I985" s="192"/>
      <c r="J985" s="192"/>
      <c r="K985" s="82"/>
      <c r="L985" s="282" t="s">
        <v>306</v>
      </c>
      <c r="M985" s="283"/>
      <c r="N985" s="283"/>
      <c r="O985" s="283"/>
      <c r="P985" s="283"/>
      <c r="Q985" s="283"/>
      <c r="R985" s="283"/>
      <c r="S985" s="283"/>
      <c r="T985" s="283"/>
      <c r="U985" s="284"/>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2" t="s">
        <v>307</v>
      </c>
      <c r="C986" s="284"/>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5" t="s">
        <v>222</v>
      </c>
      <c r="C990" s="286"/>
      <c r="D990" s="287" t="s">
        <v>223</v>
      </c>
      <c r="E990" s="288"/>
      <c r="F990" s="88"/>
      <c r="G990" s="289" t="s">
        <v>224</v>
      </c>
      <c r="H990" s="290"/>
      <c r="I990" s="28">
        <f>SUM(E1001:E1025)</f>
        <v>0</v>
      </c>
      <c r="J990" s="291" t="s">
        <v>225</v>
      </c>
      <c r="K990" s="292"/>
      <c r="L990" s="288"/>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8" t="s">
        <v>226</v>
      </c>
      <c r="AA990" s="299"/>
      <c r="AB990" s="300"/>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1" t="s">
        <v>230</v>
      </c>
      <c r="H991" s="288"/>
      <c r="I991" s="33">
        <f>E992-I990</f>
        <v>0</v>
      </c>
      <c r="J991" s="302" t="s">
        <v>231</v>
      </c>
      <c r="K991" s="303"/>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4" t="s">
        <v>232</v>
      </c>
      <c r="AA991" s="306" t="s">
        <v>233</v>
      </c>
      <c r="AB991" s="307"/>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10" t="s">
        <v>237</v>
      </c>
      <c r="H992" s="311"/>
      <c r="I992" s="35">
        <f>IF(E992=0,0,12-(MOD(I990,12)))</f>
        <v>0</v>
      </c>
      <c r="J992" s="302" t="s">
        <v>238</v>
      </c>
      <c r="K992" s="303"/>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5"/>
      <c r="AA992" s="308"/>
      <c r="AB992" s="309"/>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8" t="s">
        <v>242</v>
      </c>
      <c r="H993" s="43" t="s">
        <v>243</v>
      </c>
      <c r="I993" s="35">
        <f>IF(E993&lt;&gt;0,1,0)</f>
        <v>0</v>
      </c>
      <c r="J993" s="310" t="s">
        <v>244</v>
      </c>
      <c r="K993" s="311"/>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9"/>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8" t="s">
        <v>251</v>
      </c>
      <c r="H995" s="51" t="s">
        <v>252</v>
      </c>
      <c r="I995" s="112">
        <f>E994</f>
        <v>0</v>
      </c>
      <c r="J995" s="312" t="s">
        <v>253</v>
      </c>
      <c r="K995" s="313"/>
      <c r="L995" s="31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9"/>
      <c r="H996" s="47" t="s">
        <v>257</v>
      </c>
      <c r="I996" s="35" t="str">
        <f>IF(E994="","0",IF(AND(E991="EUC",E992=432), I995+(203-E993),IF(E994=0,0,(E994+(E992-E993)-1))))</f>
        <v>0</v>
      </c>
      <c r="J996" s="293" t="str">
        <f>IFERROR(IF(OR(E991="EUC",E991="SS"),"---",IF(OR(P990,S990),"NO 2F Tethers for RPX!",IF(OR(P992,S992),"NO 6F Tethers for RPX!","---"))),"---")</f>
        <v>---</v>
      </c>
      <c r="K996" s="294"/>
      <c r="L996" s="295"/>
      <c r="M996" s="293" t="str">
        <f>IF(E993&gt;60,"Dead Count &gt;60: Consider Downsize","---")</f>
        <v>---</v>
      </c>
      <c r="N996" s="294"/>
      <c r="O996" s="294"/>
      <c r="P996" s="294"/>
      <c r="Q996" s="294"/>
      <c r="R996" s="294"/>
      <c r="S996" s="294"/>
      <c r="T996" s="294"/>
      <c r="U996" s="295"/>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3"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4"/>
      <c r="L997" s="295"/>
      <c r="M997" s="293" t="str">
        <f>IF(AND(OR(E991="SS",E991="RPX",E991="EUC",E991="RPX-T"),(OR(C1001="",C1001="Field SPL"))),"Cannot have FlexNap cables without tethers","---")</f>
        <v>---</v>
      </c>
      <c r="N997" s="294"/>
      <c r="O997" s="294"/>
      <c r="P997" s="294"/>
      <c r="Q997" s="294"/>
      <c r="R997" s="294"/>
      <c r="S997" s="294"/>
      <c r="T997" s="294"/>
      <c r="U997" s="295"/>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3" t="str">
        <f>IF(AND(OR(E991="RPX", E991="RPX-T", E991="SS"),E992=216),"NO 216 For RPX, RPX-T, OR SS CABLE","---")</f>
        <v>---</v>
      </c>
      <c r="K998" s="294"/>
      <c r="L998" s="295"/>
      <c r="M998" s="293" t="str" cm="1">
        <f t="array" ref="M998">IF(AND(E991="",OR(C1001:C1025="FST",C1001:C1025="REV T",C1001:C1025="DBL REV",C1001:C1025="TPL REV", C1001:C1025="QD REV")),"Non-FlexNap cables cannot have tethers","---")</f>
        <v>---</v>
      </c>
      <c r="N998" s="294"/>
      <c r="O998" s="294"/>
      <c r="P998" s="294"/>
      <c r="Q998" s="294"/>
      <c r="R998" s="294"/>
      <c r="S998" s="294"/>
      <c r="T998" s="294"/>
      <c r="U998" s="295"/>
      <c r="V998" s="25"/>
      <c r="W998" s="58"/>
      <c r="X998" s="58"/>
      <c r="Y998" s="25"/>
      <c r="Z998" s="45">
        <v>6</v>
      </c>
      <c r="AA998" s="65">
        <v>61</v>
      </c>
      <c r="AB998" s="65">
        <v>72</v>
      </c>
      <c r="AC998" s="25"/>
      <c r="AD998" s="25"/>
      <c r="BA998" s="226"/>
    </row>
    <row r="999" spans="1:53" ht="15.75" customHeight="1" thickBot="1" x14ac:dyDescent="0.3">
      <c r="A999" s="88"/>
      <c r="B999" s="278" t="s">
        <v>260</v>
      </c>
      <c r="C999" s="315" t="s">
        <v>261</v>
      </c>
      <c r="D999" s="315" t="s">
        <v>262</v>
      </c>
      <c r="E999" s="317" t="s">
        <v>263</v>
      </c>
      <c r="F999" s="315" t="s">
        <v>264</v>
      </c>
      <c r="G999" s="280" t="s">
        <v>265</v>
      </c>
      <c r="H999" s="280" t="s">
        <v>266</v>
      </c>
      <c r="I999" s="280" t="s">
        <v>267</v>
      </c>
      <c r="J999" s="319" t="s">
        <v>268</v>
      </c>
      <c r="K999" s="315" t="s">
        <v>269</v>
      </c>
      <c r="L999" s="321" t="s">
        <v>270</v>
      </c>
      <c r="M999" s="323" t="s">
        <v>271</v>
      </c>
      <c r="N999" s="323"/>
      <c r="O999" s="323"/>
      <c r="P999" s="323"/>
      <c r="Q999" s="323"/>
      <c r="R999" s="323"/>
      <c r="S999" s="323"/>
      <c r="T999" s="323"/>
      <c r="U999" s="324"/>
      <c r="V999" s="107"/>
      <c r="W999" s="72"/>
      <c r="X999" s="72"/>
      <c r="Y999" s="72"/>
      <c r="Z999" s="45">
        <v>7</v>
      </c>
      <c r="AA999" s="65">
        <v>73</v>
      </c>
      <c r="AB999" s="65">
        <v>84</v>
      </c>
      <c r="AC999" s="25"/>
      <c r="AD999" s="25"/>
      <c r="BA999" s="228"/>
    </row>
    <row r="1000" spans="1:53" ht="15.75" thickBot="1" x14ac:dyDescent="0.3">
      <c r="A1000" s="88"/>
      <c r="B1000" s="279"/>
      <c r="C1000" s="316"/>
      <c r="D1000" s="316"/>
      <c r="E1000" s="318"/>
      <c r="F1000" s="316"/>
      <c r="G1000" s="281"/>
      <c r="H1000" s="281"/>
      <c r="I1000" s="281"/>
      <c r="J1000" s="320"/>
      <c r="K1000" s="316"/>
      <c r="L1000" s="322"/>
      <c r="M1000" s="325"/>
      <c r="N1000" s="325"/>
      <c r="O1000" s="325"/>
      <c r="P1000" s="325"/>
      <c r="Q1000" s="325"/>
      <c r="R1000" s="325"/>
      <c r="S1000" s="325"/>
      <c r="T1000" s="325"/>
      <c r="U1000" s="326"/>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6"/>
      <c r="N1001" s="296"/>
      <c r="O1001" s="296"/>
      <c r="P1001" s="296"/>
      <c r="Q1001" s="296"/>
      <c r="R1001" s="296"/>
      <c r="S1001" s="296"/>
      <c r="T1001" s="296"/>
      <c r="U1001" s="297"/>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6"/>
      <c r="N1002" s="296"/>
      <c r="O1002" s="296"/>
      <c r="P1002" s="296"/>
      <c r="Q1002" s="296"/>
      <c r="R1002" s="296"/>
      <c r="S1002" s="296"/>
      <c r="T1002" s="296"/>
      <c r="U1002" s="297"/>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6"/>
      <c r="N1003" s="296"/>
      <c r="O1003" s="296"/>
      <c r="P1003" s="296"/>
      <c r="Q1003" s="296"/>
      <c r="R1003" s="296"/>
      <c r="S1003" s="296"/>
      <c r="T1003" s="296"/>
      <c r="U1003" s="297"/>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6"/>
      <c r="N1004" s="296"/>
      <c r="O1004" s="296"/>
      <c r="P1004" s="296"/>
      <c r="Q1004" s="296"/>
      <c r="R1004" s="296"/>
      <c r="S1004" s="296"/>
      <c r="T1004" s="296"/>
      <c r="U1004" s="297"/>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6"/>
      <c r="N1005" s="296"/>
      <c r="O1005" s="296"/>
      <c r="P1005" s="296"/>
      <c r="Q1005" s="296"/>
      <c r="R1005" s="296"/>
      <c r="S1005" s="296"/>
      <c r="T1005" s="296"/>
      <c r="U1005" s="297"/>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6"/>
      <c r="N1006" s="296"/>
      <c r="O1006" s="296"/>
      <c r="P1006" s="296"/>
      <c r="Q1006" s="296"/>
      <c r="R1006" s="296"/>
      <c r="S1006" s="296"/>
      <c r="T1006" s="296"/>
      <c r="U1006" s="297"/>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6"/>
      <c r="N1007" s="296"/>
      <c r="O1007" s="296"/>
      <c r="P1007" s="296"/>
      <c r="Q1007" s="296"/>
      <c r="R1007" s="296"/>
      <c r="S1007" s="296"/>
      <c r="T1007" s="296"/>
      <c r="U1007" s="297"/>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6"/>
      <c r="N1008" s="296"/>
      <c r="O1008" s="296"/>
      <c r="P1008" s="296"/>
      <c r="Q1008" s="296"/>
      <c r="R1008" s="296"/>
      <c r="S1008" s="296"/>
      <c r="T1008" s="296"/>
      <c r="U1008" s="297"/>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6"/>
      <c r="N1009" s="296"/>
      <c r="O1009" s="296"/>
      <c r="P1009" s="296"/>
      <c r="Q1009" s="296"/>
      <c r="R1009" s="296"/>
      <c r="S1009" s="296"/>
      <c r="T1009" s="296"/>
      <c r="U1009" s="297"/>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6"/>
      <c r="N1010" s="296"/>
      <c r="O1010" s="296"/>
      <c r="P1010" s="296"/>
      <c r="Q1010" s="296"/>
      <c r="R1010" s="296"/>
      <c r="S1010" s="296"/>
      <c r="T1010" s="296"/>
      <c r="U1010" s="297"/>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6"/>
      <c r="N1011" s="296"/>
      <c r="O1011" s="296"/>
      <c r="P1011" s="296"/>
      <c r="Q1011" s="296"/>
      <c r="R1011" s="296"/>
      <c r="S1011" s="296"/>
      <c r="T1011" s="296"/>
      <c r="U1011" s="297"/>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6"/>
      <c r="N1012" s="296"/>
      <c r="O1012" s="296"/>
      <c r="P1012" s="296"/>
      <c r="Q1012" s="296"/>
      <c r="R1012" s="296"/>
      <c r="S1012" s="296"/>
      <c r="T1012" s="296"/>
      <c r="U1012" s="297"/>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6"/>
      <c r="N1013" s="296"/>
      <c r="O1013" s="296"/>
      <c r="P1013" s="296"/>
      <c r="Q1013" s="296"/>
      <c r="R1013" s="296"/>
      <c r="S1013" s="296"/>
      <c r="T1013" s="296"/>
      <c r="U1013" s="297"/>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6"/>
      <c r="N1014" s="296"/>
      <c r="O1014" s="296"/>
      <c r="P1014" s="296"/>
      <c r="Q1014" s="296"/>
      <c r="R1014" s="296"/>
      <c r="S1014" s="296"/>
      <c r="T1014" s="296"/>
      <c r="U1014" s="297"/>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6"/>
      <c r="N1015" s="296"/>
      <c r="O1015" s="296"/>
      <c r="P1015" s="296"/>
      <c r="Q1015" s="296"/>
      <c r="R1015" s="296"/>
      <c r="S1015" s="296"/>
      <c r="T1015" s="296"/>
      <c r="U1015" s="297"/>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6"/>
      <c r="N1016" s="296"/>
      <c r="O1016" s="296"/>
      <c r="P1016" s="296"/>
      <c r="Q1016" s="296"/>
      <c r="R1016" s="296"/>
      <c r="S1016" s="296"/>
      <c r="T1016" s="296"/>
      <c r="U1016" s="297"/>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6"/>
      <c r="N1017" s="296"/>
      <c r="O1017" s="296"/>
      <c r="P1017" s="296"/>
      <c r="Q1017" s="296"/>
      <c r="R1017" s="296"/>
      <c r="S1017" s="296"/>
      <c r="T1017" s="296"/>
      <c r="U1017" s="297"/>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6"/>
      <c r="N1018" s="296"/>
      <c r="O1018" s="296"/>
      <c r="P1018" s="296"/>
      <c r="Q1018" s="296"/>
      <c r="R1018" s="296"/>
      <c r="S1018" s="296"/>
      <c r="T1018" s="296"/>
      <c r="U1018" s="297"/>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6"/>
      <c r="N1019" s="296"/>
      <c r="O1019" s="296"/>
      <c r="P1019" s="296"/>
      <c r="Q1019" s="296"/>
      <c r="R1019" s="296"/>
      <c r="S1019" s="296"/>
      <c r="T1019" s="296"/>
      <c r="U1019" s="297"/>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6"/>
      <c r="N1020" s="296"/>
      <c r="O1020" s="296"/>
      <c r="P1020" s="296"/>
      <c r="Q1020" s="296"/>
      <c r="R1020" s="296"/>
      <c r="S1020" s="296"/>
      <c r="T1020" s="296"/>
      <c r="U1020" s="297"/>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6"/>
      <c r="N1021" s="296"/>
      <c r="O1021" s="296"/>
      <c r="P1021" s="296"/>
      <c r="Q1021" s="296"/>
      <c r="R1021" s="296"/>
      <c r="S1021" s="296"/>
      <c r="T1021" s="296"/>
      <c r="U1021" s="297"/>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6"/>
      <c r="N1022" s="296"/>
      <c r="O1022" s="296"/>
      <c r="P1022" s="296"/>
      <c r="Q1022" s="296"/>
      <c r="R1022" s="296"/>
      <c r="S1022" s="296"/>
      <c r="T1022" s="296"/>
      <c r="U1022" s="297"/>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6"/>
      <c r="N1023" s="296"/>
      <c r="O1023" s="296"/>
      <c r="P1023" s="296"/>
      <c r="Q1023" s="296"/>
      <c r="R1023" s="296"/>
      <c r="S1023" s="296"/>
      <c r="T1023" s="296"/>
      <c r="U1023" s="297"/>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6"/>
      <c r="N1024" s="296"/>
      <c r="O1024" s="296"/>
      <c r="P1024" s="296"/>
      <c r="Q1024" s="296"/>
      <c r="R1024" s="296"/>
      <c r="S1024" s="296"/>
      <c r="T1024" s="296"/>
      <c r="U1024" s="297"/>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6"/>
      <c r="N1025" s="296"/>
      <c r="O1025" s="296"/>
      <c r="P1025" s="296"/>
      <c r="Q1025" s="296"/>
      <c r="R1025" s="296"/>
      <c r="S1025" s="296"/>
      <c r="T1025" s="296"/>
      <c r="U1025" s="297"/>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2" t="s">
        <v>353</v>
      </c>
      <c r="C1026" s="284"/>
      <c r="D1026" s="79"/>
      <c r="E1026" s="80"/>
      <c r="F1026" s="80"/>
      <c r="G1026" s="81"/>
      <c r="H1026" s="192"/>
      <c r="I1026" s="192"/>
      <c r="J1026" s="192"/>
      <c r="K1026" s="82"/>
      <c r="L1026" s="282" t="s">
        <v>306</v>
      </c>
      <c r="M1026" s="283"/>
      <c r="N1026" s="283"/>
      <c r="O1026" s="283"/>
      <c r="P1026" s="283"/>
      <c r="Q1026" s="283"/>
      <c r="R1026" s="283"/>
      <c r="S1026" s="283"/>
      <c r="T1026" s="283"/>
      <c r="U1026" s="284"/>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2" t="s">
        <v>307</v>
      </c>
      <c r="C1027" s="284"/>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5" t="s">
        <v>222</v>
      </c>
      <c r="C1031" s="286"/>
      <c r="D1031" s="287" t="s">
        <v>223</v>
      </c>
      <c r="E1031" s="288"/>
      <c r="F1031" s="88"/>
      <c r="G1031" s="289" t="s">
        <v>224</v>
      </c>
      <c r="H1031" s="290"/>
      <c r="I1031" s="28">
        <f>SUM(E1042:E1066)</f>
        <v>0</v>
      </c>
      <c r="J1031" s="291" t="s">
        <v>225</v>
      </c>
      <c r="K1031" s="292"/>
      <c r="L1031" s="288"/>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8" t="s">
        <v>226</v>
      </c>
      <c r="AA1031" s="299"/>
      <c r="AB1031" s="300"/>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1" t="s">
        <v>230</v>
      </c>
      <c r="H1032" s="288"/>
      <c r="I1032" s="33">
        <f>E1033-I1031</f>
        <v>0</v>
      </c>
      <c r="J1032" s="302" t="s">
        <v>231</v>
      </c>
      <c r="K1032" s="303"/>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4" t="s">
        <v>232</v>
      </c>
      <c r="AA1032" s="306" t="s">
        <v>233</v>
      </c>
      <c r="AB1032" s="307"/>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10" t="s">
        <v>237</v>
      </c>
      <c r="H1033" s="311"/>
      <c r="I1033" s="35">
        <f>IF(E1033=0,0,12-(MOD(I1031,12)))</f>
        <v>0</v>
      </c>
      <c r="J1033" s="302" t="s">
        <v>238</v>
      </c>
      <c r="K1033" s="303"/>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5"/>
      <c r="AA1033" s="308"/>
      <c r="AB1033" s="309"/>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8" t="s">
        <v>242</v>
      </c>
      <c r="H1034" s="43" t="s">
        <v>243</v>
      </c>
      <c r="I1034" s="35">
        <f>IF(E1034&lt;&gt;0,1,0)</f>
        <v>0</v>
      </c>
      <c r="J1034" s="310" t="s">
        <v>244</v>
      </c>
      <c r="K1034" s="311"/>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9"/>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8" t="s">
        <v>251</v>
      </c>
      <c r="H1036" s="51" t="s">
        <v>252</v>
      </c>
      <c r="I1036" s="112">
        <f>E1035</f>
        <v>0</v>
      </c>
      <c r="J1036" s="312" t="s">
        <v>253</v>
      </c>
      <c r="K1036" s="313"/>
      <c r="L1036" s="31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9"/>
      <c r="H1037" s="47" t="s">
        <v>257</v>
      </c>
      <c r="I1037" s="35" t="str">
        <f>IF(E1035="","0",IF(AND(E1032="EUC",E1033=432), I1036+(203-E1034),IF(E1035=0,0,(E1035+(E1033-E1034)-1))))</f>
        <v>0</v>
      </c>
      <c r="J1037" s="293" t="str">
        <f>IFERROR(IF(OR(E1032="EUC",E1032="SS"),"---",IF(OR(P1031,S1031),"NO 2F Tethers for RPX!",IF(OR(P1033,S1033),"NO 6F Tethers for RPX!","---"))),"---")</f>
        <v>---</v>
      </c>
      <c r="K1037" s="294"/>
      <c r="L1037" s="295"/>
      <c r="M1037" s="293" t="str">
        <f>IF(E1034&gt;60,"Dead Count &gt;60: Consider Downsize","---")</f>
        <v>---</v>
      </c>
      <c r="N1037" s="294"/>
      <c r="O1037" s="294"/>
      <c r="P1037" s="294"/>
      <c r="Q1037" s="294"/>
      <c r="R1037" s="294"/>
      <c r="S1037" s="294"/>
      <c r="T1037" s="294"/>
      <c r="U1037" s="295"/>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3"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4"/>
      <c r="L1038" s="295"/>
      <c r="M1038" s="293" t="str">
        <f>IF(AND(OR(E1032="SS",E1032="RPX",E1032="EUC",E1032="RPX-T"),(OR(C1042="",C1042="Field SPL"))),"Cannot have FlexNap cables without tethers","---")</f>
        <v>---</v>
      </c>
      <c r="N1038" s="294"/>
      <c r="O1038" s="294"/>
      <c r="P1038" s="294"/>
      <c r="Q1038" s="294"/>
      <c r="R1038" s="294"/>
      <c r="S1038" s="294"/>
      <c r="T1038" s="294"/>
      <c r="U1038" s="295"/>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3" t="str">
        <f>IF(AND(OR(E1032="RPX", E1032="RPX-T", E1032="SS"),E1033=216),"NO 216 For RPX, RPX-T, OR SS CABLE","---")</f>
        <v>---</v>
      </c>
      <c r="K1039" s="294"/>
      <c r="L1039" s="295"/>
      <c r="M1039" s="293" t="str" cm="1">
        <f t="array" ref="M1039">IF(AND(E1032="",OR(C1042:C1066="FST",C1042:C1066="REV T",C1042:C1066="DBL REV",C1042:C1066="TPL REV", C1042:C1066="QD REV")),"Non-FlexNap cables cannot have tethers","---")</f>
        <v>---</v>
      </c>
      <c r="N1039" s="294"/>
      <c r="O1039" s="294"/>
      <c r="P1039" s="294"/>
      <c r="Q1039" s="294"/>
      <c r="R1039" s="294"/>
      <c r="S1039" s="294"/>
      <c r="T1039" s="294"/>
      <c r="U1039" s="295"/>
      <c r="V1039" s="25"/>
      <c r="W1039" s="58"/>
      <c r="X1039" s="58"/>
      <c r="Y1039" s="25"/>
      <c r="Z1039" s="45">
        <v>6</v>
      </c>
      <c r="AA1039" s="65">
        <v>61</v>
      </c>
      <c r="AB1039" s="65">
        <v>72</v>
      </c>
      <c r="AC1039" s="25"/>
      <c r="AD1039" s="25"/>
      <c r="BA1039" s="226"/>
    </row>
    <row r="1040" spans="1:53" ht="15.75" customHeight="1" thickBot="1" x14ac:dyDescent="0.3">
      <c r="A1040" s="88"/>
      <c r="B1040" s="278" t="s">
        <v>260</v>
      </c>
      <c r="C1040" s="315" t="s">
        <v>261</v>
      </c>
      <c r="D1040" s="315" t="s">
        <v>262</v>
      </c>
      <c r="E1040" s="317" t="s">
        <v>263</v>
      </c>
      <c r="F1040" s="315" t="s">
        <v>264</v>
      </c>
      <c r="G1040" s="280" t="s">
        <v>265</v>
      </c>
      <c r="H1040" s="280" t="s">
        <v>266</v>
      </c>
      <c r="I1040" s="280" t="s">
        <v>267</v>
      </c>
      <c r="J1040" s="319" t="s">
        <v>268</v>
      </c>
      <c r="K1040" s="315" t="s">
        <v>269</v>
      </c>
      <c r="L1040" s="321" t="s">
        <v>270</v>
      </c>
      <c r="M1040" s="323" t="s">
        <v>271</v>
      </c>
      <c r="N1040" s="323"/>
      <c r="O1040" s="323"/>
      <c r="P1040" s="323"/>
      <c r="Q1040" s="323"/>
      <c r="R1040" s="323"/>
      <c r="S1040" s="323"/>
      <c r="T1040" s="323"/>
      <c r="U1040" s="324"/>
      <c r="V1040" s="107"/>
      <c r="W1040" s="72"/>
      <c r="X1040" s="72"/>
      <c r="Y1040" s="72"/>
      <c r="Z1040" s="45">
        <v>7</v>
      </c>
      <c r="AA1040" s="65">
        <v>73</v>
      </c>
      <c r="AB1040" s="65">
        <v>84</v>
      </c>
      <c r="AC1040" s="25"/>
      <c r="AD1040" s="25"/>
      <c r="BA1040" s="228"/>
    </row>
    <row r="1041" spans="1:53" ht="15.75" thickBot="1" x14ac:dyDescent="0.3">
      <c r="A1041" s="88"/>
      <c r="B1041" s="279"/>
      <c r="C1041" s="316"/>
      <c r="D1041" s="316"/>
      <c r="E1041" s="318"/>
      <c r="F1041" s="316"/>
      <c r="G1041" s="281"/>
      <c r="H1041" s="281"/>
      <c r="I1041" s="281"/>
      <c r="J1041" s="320"/>
      <c r="K1041" s="316"/>
      <c r="L1041" s="322"/>
      <c r="M1041" s="325"/>
      <c r="N1041" s="325"/>
      <c r="O1041" s="325"/>
      <c r="P1041" s="325"/>
      <c r="Q1041" s="325"/>
      <c r="R1041" s="325"/>
      <c r="S1041" s="325"/>
      <c r="T1041" s="325"/>
      <c r="U1041" s="326"/>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6"/>
      <c r="N1042" s="296"/>
      <c r="O1042" s="296"/>
      <c r="P1042" s="296"/>
      <c r="Q1042" s="296"/>
      <c r="R1042" s="296"/>
      <c r="S1042" s="296"/>
      <c r="T1042" s="296"/>
      <c r="U1042" s="297"/>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6"/>
      <c r="N1043" s="296"/>
      <c r="O1043" s="296"/>
      <c r="P1043" s="296"/>
      <c r="Q1043" s="296"/>
      <c r="R1043" s="296"/>
      <c r="S1043" s="296"/>
      <c r="T1043" s="296"/>
      <c r="U1043" s="297"/>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6"/>
      <c r="N1044" s="296"/>
      <c r="O1044" s="296"/>
      <c r="P1044" s="296"/>
      <c r="Q1044" s="296"/>
      <c r="R1044" s="296"/>
      <c r="S1044" s="296"/>
      <c r="T1044" s="296"/>
      <c r="U1044" s="297"/>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6"/>
      <c r="N1045" s="296"/>
      <c r="O1045" s="296"/>
      <c r="P1045" s="296"/>
      <c r="Q1045" s="296"/>
      <c r="R1045" s="296"/>
      <c r="S1045" s="296"/>
      <c r="T1045" s="296"/>
      <c r="U1045" s="297"/>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6"/>
      <c r="N1046" s="296"/>
      <c r="O1046" s="296"/>
      <c r="P1046" s="296"/>
      <c r="Q1046" s="296"/>
      <c r="R1046" s="296"/>
      <c r="S1046" s="296"/>
      <c r="T1046" s="296"/>
      <c r="U1046" s="297"/>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6"/>
      <c r="N1047" s="296"/>
      <c r="O1047" s="296"/>
      <c r="P1047" s="296"/>
      <c r="Q1047" s="296"/>
      <c r="R1047" s="296"/>
      <c r="S1047" s="296"/>
      <c r="T1047" s="296"/>
      <c r="U1047" s="297"/>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6"/>
      <c r="N1048" s="296"/>
      <c r="O1048" s="296"/>
      <c r="P1048" s="296"/>
      <c r="Q1048" s="296"/>
      <c r="R1048" s="296"/>
      <c r="S1048" s="296"/>
      <c r="T1048" s="296"/>
      <c r="U1048" s="297"/>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6"/>
      <c r="N1049" s="296"/>
      <c r="O1049" s="296"/>
      <c r="P1049" s="296"/>
      <c r="Q1049" s="296"/>
      <c r="R1049" s="296"/>
      <c r="S1049" s="296"/>
      <c r="T1049" s="296"/>
      <c r="U1049" s="297"/>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6"/>
      <c r="N1050" s="296"/>
      <c r="O1050" s="296"/>
      <c r="P1050" s="296"/>
      <c r="Q1050" s="296"/>
      <c r="R1050" s="296"/>
      <c r="S1050" s="296"/>
      <c r="T1050" s="296"/>
      <c r="U1050" s="297"/>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6"/>
      <c r="N1051" s="296"/>
      <c r="O1051" s="296"/>
      <c r="P1051" s="296"/>
      <c r="Q1051" s="296"/>
      <c r="R1051" s="296"/>
      <c r="S1051" s="296"/>
      <c r="T1051" s="296"/>
      <c r="U1051" s="297"/>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6"/>
      <c r="N1052" s="296"/>
      <c r="O1052" s="296"/>
      <c r="P1052" s="296"/>
      <c r="Q1052" s="296"/>
      <c r="R1052" s="296"/>
      <c r="S1052" s="296"/>
      <c r="T1052" s="296"/>
      <c r="U1052" s="297"/>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6"/>
      <c r="N1053" s="296"/>
      <c r="O1053" s="296"/>
      <c r="P1053" s="296"/>
      <c r="Q1053" s="296"/>
      <c r="R1053" s="296"/>
      <c r="S1053" s="296"/>
      <c r="T1053" s="296"/>
      <c r="U1053" s="297"/>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6"/>
      <c r="N1054" s="296"/>
      <c r="O1054" s="296"/>
      <c r="P1054" s="296"/>
      <c r="Q1054" s="296"/>
      <c r="R1054" s="296"/>
      <c r="S1054" s="296"/>
      <c r="T1054" s="296"/>
      <c r="U1054" s="297"/>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6"/>
      <c r="N1055" s="296"/>
      <c r="O1055" s="296"/>
      <c r="P1055" s="296"/>
      <c r="Q1055" s="296"/>
      <c r="R1055" s="296"/>
      <c r="S1055" s="296"/>
      <c r="T1055" s="296"/>
      <c r="U1055" s="297"/>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6"/>
      <c r="N1056" s="296"/>
      <c r="O1056" s="296"/>
      <c r="P1056" s="296"/>
      <c r="Q1056" s="296"/>
      <c r="R1056" s="296"/>
      <c r="S1056" s="296"/>
      <c r="T1056" s="296"/>
      <c r="U1056" s="297"/>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6"/>
      <c r="N1057" s="296"/>
      <c r="O1057" s="296"/>
      <c r="P1057" s="296"/>
      <c r="Q1057" s="296"/>
      <c r="R1057" s="296"/>
      <c r="S1057" s="296"/>
      <c r="T1057" s="296"/>
      <c r="U1057" s="297"/>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6"/>
      <c r="N1058" s="296"/>
      <c r="O1058" s="296"/>
      <c r="P1058" s="296"/>
      <c r="Q1058" s="296"/>
      <c r="R1058" s="296"/>
      <c r="S1058" s="296"/>
      <c r="T1058" s="296"/>
      <c r="U1058" s="297"/>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6"/>
      <c r="N1059" s="296"/>
      <c r="O1059" s="296"/>
      <c r="P1059" s="296"/>
      <c r="Q1059" s="296"/>
      <c r="R1059" s="296"/>
      <c r="S1059" s="296"/>
      <c r="T1059" s="296"/>
      <c r="U1059" s="297"/>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6"/>
      <c r="N1060" s="296"/>
      <c r="O1060" s="296"/>
      <c r="P1060" s="296"/>
      <c r="Q1060" s="296"/>
      <c r="R1060" s="296"/>
      <c r="S1060" s="296"/>
      <c r="T1060" s="296"/>
      <c r="U1060" s="297"/>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6"/>
      <c r="N1061" s="296"/>
      <c r="O1061" s="296"/>
      <c r="P1061" s="296"/>
      <c r="Q1061" s="296"/>
      <c r="R1061" s="296"/>
      <c r="S1061" s="296"/>
      <c r="T1061" s="296"/>
      <c r="U1061" s="297"/>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6"/>
      <c r="N1062" s="296"/>
      <c r="O1062" s="296"/>
      <c r="P1062" s="296"/>
      <c r="Q1062" s="296"/>
      <c r="R1062" s="296"/>
      <c r="S1062" s="296"/>
      <c r="T1062" s="296"/>
      <c r="U1062" s="297"/>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6"/>
      <c r="N1063" s="296"/>
      <c r="O1063" s="296"/>
      <c r="P1063" s="296"/>
      <c r="Q1063" s="296"/>
      <c r="R1063" s="296"/>
      <c r="S1063" s="296"/>
      <c r="T1063" s="296"/>
      <c r="U1063" s="297"/>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6"/>
      <c r="N1064" s="296"/>
      <c r="O1064" s="296"/>
      <c r="P1064" s="296"/>
      <c r="Q1064" s="296"/>
      <c r="R1064" s="296"/>
      <c r="S1064" s="296"/>
      <c r="T1064" s="296"/>
      <c r="U1064" s="297"/>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6"/>
      <c r="N1065" s="296"/>
      <c r="O1065" s="296"/>
      <c r="P1065" s="296"/>
      <c r="Q1065" s="296"/>
      <c r="R1065" s="296"/>
      <c r="S1065" s="296"/>
      <c r="T1065" s="296"/>
      <c r="U1065" s="297"/>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6"/>
      <c r="N1066" s="296"/>
      <c r="O1066" s="296"/>
      <c r="P1066" s="296"/>
      <c r="Q1066" s="296"/>
      <c r="R1066" s="296"/>
      <c r="S1066" s="296"/>
      <c r="T1066" s="296"/>
      <c r="U1066" s="297"/>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2" t="s">
        <v>355</v>
      </c>
      <c r="C1067" s="284"/>
      <c r="D1067" s="79"/>
      <c r="E1067" s="80"/>
      <c r="F1067" s="80"/>
      <c r="G1067" s="81"/>
      <c r="H1067" s="192"/>
      <c r="I1067" s="192"/>
      <c r="J1067" s="192"/>
      <c r="K1067" s="82"/>
      <c r="L1067" s="282" t="s">
        <v>306</v>
      </c>
      <c r="M1067" s="283"/>
      <c r="N1067" s="283"/>
      <c r="O1067" s="283"/>
      <c r="P1067" s="283"/>
      <c r="Q1067" s="283"/>
      <c r="R1067" s="283"/>
      <c r="S1067" s="283"/>
      <c r="T1067" s="283"/>
      <c r="U1067" s="284"/>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2" t="s">
        <v>307</v>
      </c>
      <c r="C1068" s="284"/>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5" t="s">
        <v>222</v>
      </c>
      <c r="C1072" s="286"/>
      <c r="D1072" s="287" t="s">
        <v>223</v>
      </c>
      <c r="E1072" s="288"/>
      <c r="F1072" s="88"/>
      <c r="G1072" s="289" t="s">
        <v>224</v>
      </c>
      <c r="H1072" s="290"/>
      <c r="I1072" s="28">
        <f>SUM(E1083:E1107)</f>
        <v>0</v>
      </c>
      <c r="J1072" s="291" t="s">
        <v>225</v>
      </c>
      <c r="K1072" s="292"/>
      <c r="L1072" s="288"/>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8" t="s">
        <v>226</v>
      </c>
      <c r="AA1072" s="299"/>
      <c r="AB1072" s="300"/>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1" t="s">
        <v>230</v>
      </c>
      <c r="H1073" s="288"/>
      <c r="I1073" s="33">
        <f>E1074-I1072</f>
        <v>0</v>
      </c>
      <c r="J1073" s="302" t="s">
        <v>231</v>
      </c>
      <c r="K1073" s="303"/>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4" t="s">
        <v>232</v>
      </c>
      <c r="AA1073" s="306" t="s">
        <v>233</v>
      </c>
      <c r="AB1073" s="307"/>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10" t="s">
        <v>237</v>
      </c>
      <c r="H1074" s="311"/>
      <c r="I1074" s="35">
        <f>IF(E1074=0,0,12-(MOD(I1072,12)))</f>
        <v>0</v>
      </c>
      <c r="J1074" s="302" t="s">
        <v>238</v>
      </c>
      <c r="K1074" s="303"/>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5"/>
      <c r="AA1074" s="308"/>
      <c r="AB1074" s="309"/>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8" t="s">
        <v>242</v>
      </c>
      <c r="H1075" s="43" t="s">
        <v>243</v>
      </c>
      <c r="I1075" s="35">
        <f>IF(E1075&lt;&gt;0,1,0)</f>
        <v>0</v>
      </c>
      <c r="J1075" s="310" t="s">
        <v>244</v>
      </c>
      <c r="K1075" s="311"/>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9"/>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8" t="s">
        <v>251</v>
      </c>
      <c r="H1077" s="51" t="s">
        <v>252</v>
      </c>
      <c r="I1077" s="112">
        <f>E1076</f>
        <v>0</v>
      </c>
      <c r="J1077" s="312" t="s">
        <v>253</v>
      </c>
      <c r="K1077" s="313"/>
      <c r="L1077" s="31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9"/>
      <c r="H1078" s="47" t="s">
        <v>257</v>
      </c>
      <c r="I1078" s="35" t="str">
        <f>IF(E1076="","0",IF(AND(E1073="EUC",E1074=432), I1077+(203-E1075),IF(E1076=0,0,(E1076+(E1074-E1075)-1))))</f>
        <v>0</v>
      </c>
      <c r="J1078" s="293" t="str">
        <f>IFERROR(IF(OR(E1073="EUC",E1073="SS"),"---",IF(OR(P1072,S1072),"NO 2F Tethers for RPX!",IF(OR(P1074,S1074),"NO 6F Tethers for RPX!","---"))),"---")</f>
        <v>---</v>
      </c>
      <c r="K1078" s="294"/>
      <c r="L1078" s="295"/>
      <c r="M1078" s="293" t="str">
        <f>IF(E1075&gt;60,"Dead Count &gt;60: Consider Downsize","---")</f>
        <v>---</v>
      </c>
      <c r="N1078" s="294"/>
      <c r="O1078" s="294"/>
      <c r="P1078" s="294"/>
      <c r="Q1078" s="294"/>
      <c r="R1078" s="294"/>
      <c r="S1078" s="294"/>
      <c r="T1078" s="294"/>
      <c r="U1078" s="295"/>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3"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4"/>
      <c r="L1079" s="295"/>
      <c r="M1079" s="293" t="str">
        <f>IF(AND(OR(E1073="SS",E1073="RPX",E1073="EUC",E1073="RPX-T"),(OR(C1083="",C1083="Field SPL"))),"Cannot have FlexNap cables without tethers","---")</f>
        <v>---</v>
      </c>
      <c r="N1079" s="294"/>
      <c r="O1079" s="294"/>
      <c r="P1079" s="294"/>
      <c r="Q1079" s="294"/>
      <c r="R1079" s="294"/>
      <c r="S1079" s="294"/>
      <c r="T1079" s="294"/>
      <c r="U1079" s="295"/>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3" t="str">
        <f>IF(AND(OR(E1073="RPX", E1073="RPX-T", E1073="SS"),E1074=216),"NO 216 For RPX, RPX-T, OR SS CABLE","---")</f>
        <v>---</v>
      </c>
      <c r="K1080" s="294"/>
      <c r="L1080" s="295"/>
      <c r="M1080" s="293" t="str" cm="1">
        <f t="array" ref="M1080">IF(AND(E1073="",OR(C1083:C1107="FST",C1083:C1107="REV T",C1083:C1107="DBL REV",C1083:C1107="TPL REV", C1083:C1107="QD REV")),"Non-FlexNap cables cannot have tethers","---")</f>
        <v>---</v>
      </c>
      <c r="N1080" s="294"/>
      <c r="O1080" s="294"/>
      <c r="P1080" s="294"/>
      <c r="Q1080" s="294"/>
      <c r="R1080" s="294"/>
      <c r="S1080" s="294"/>
      <c r="T1080" s="294"/>
      <c r="U1080" s="295"/>
      <c r="V1080" s="25"/>
      <c r="W1080" s="58"/>
      <c r="X1080" s="58"/>
      <c r="Y1080" s="25"/>
      <c r="Z1080" s="45">
        <v>6</v>
      </c>
      <c r="AA1080" s="65">
        <v>61</v>
      </c>
      <c r="AB1080" s="65">
        <v>72</v>
      </c>
      <c r="AC1080" s="25"/>
      <c r="AD1080" s="25"/>
      <c r="BA1080" s="226"/>
    </row>
    <row r="1081" spans="1:53" ht="15.75" customHeight="1" thickBot="1" x14ac:dyDescent="0.3">
      <c r="A1081" s="88"/>
      <c r="B1081" s="278" t="s">
        <v>260</v>
      </c>
      <c r="C1081" s="315" t="s">
        <v>261</v>
      </c>
      <c r="D1081" s="315" t="s">
        <v>262</v>
      </c>
      <c r="E1081" s="317" t="s">
        <v>263</v>
      </c>
      <c r="F1081" s="315" t="s">
        <v>264</v>
      </c>
      <c r="G1081" s="280" t="s">
        <v>265</v>
      </c>
      <c r="H1081" s="280" t="s">
        <v>266</v>
      </c>
      <c r="I1081" s="280" t="s">
        <v>267</v>
      </c>
      <c r="J1081" s="319" t="s">
        <v>268</v>
      </c>
      <c r="K1081" s="315" t="s">
        <v>269</v>
      </c>
      <c r="L1081" s="321" t="s">
        <v>270</v>
      </c>
      <c r="M1081" s="323" t="s">
        <v>271</v>
      </c>
      <c r="N1081" s="323"/>
      <c r="O1081" s="323"/>
      <c r="P1081" s="323"/>
      <c r="Q1081" s="323"/>
      <c r="R1081" s="323"/>
      <c r="S1081" s="323"/>
      <c r="T1081" s="323"/>
      <c r="U1081" s="324"/>
      <c r="V1081" s="107"/>
      <c r="W1081" s="72"/>
      <c r="X1081" s="72"/>
      <c r="Y1081" s="72"/>
      <c r="Z1081" s="45">
        <v>7</v>
      </c>
      <c r="AA1081" s="65">
        <v>73</v>
      </c>
      <c r="AB1081" s="65">
        <v>84</v>
      </c>
      <c r="AC1081" s="25"/>
      <c r="AD1081" s="25"/>
      <c r="BA1081" s="228"/>
    </row>
    <row r="1082" spans="1:53" ht="15.75" thickBot="1" x14ac:dyDescent="0.3">
      <c r="A1082" s="88"/>
      <c r="B1082" s="279"/>
      <c r="C1082" s="316"/>
      <c r="D1082" s="316"/>
      <c r="E1082" s="318"/>
      <c r="F1082" s="316"/>
      <c r="G1082" s="281"/>
      <c r="H1082" s="281"/>
      <c r="I1082" s="281"/>
      <c r="J1082" s="320"/>
      <c r="K1082" s="316"/>
      <c r="L1082" s="322"/>
      <c r="M1082" s="325"/>
      <c r="N1082" s="325"/>
      <c r="O1082" s="325"/>
      <c r="P1082" s="325"/>
      <c r="Q1082" s="325"/>
      <c r="R1082" s="325"/>
      <c r="S1082" s="325"/>
      <c r="T1082" s="325"/>
      <c r="U1082" s="326"/>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6"/>
      <c r="N1083" s="296"/>
      <c r="O1083" s="296"/>
      <c r="P1083" s="296"/>
      <c r="Q1083" s="296"/>
      <c r="R1083" s="296"/>
      <c r="S1083" s="296"/>
      <c r="T1083" s="296"/>
      <c r="U1083" s="297"/>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6"/>
      <c r="N1084" s="296"/>
      <c r="O1084" s="296"/>
      <c r="P1084" s="296"/>
      <c r="Q1084" s="296"/>
      <c r="R1084" s="296"/>
      <c r="S1084" s="296"/>
      <c r="T1084" s="296"/>
      <c r="U1084" s="297"/>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6"/>
      <c r="N1085" s="296"/>
      <c r="O1085" s="296"/>
      <c r="P1085" s="296"/>
      <c r="Q1085" s="296"/>
      <c r="R1085" s="296"/>
      <c r="S1085" s="296"/>
      <c r="T1085" s="296"/>
      <c r="U1085" s="297"/>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6"/>
      <c r="N1086" s="296"/>
      <c r="O1086" s="296"/>
      <c r="P1086" s="296"/>
      <c r="Q1086" s="296"/>
      <c r="R1086" s="296"/>
      <c r="S1086" s="296"/>
      <c r="T1086" s="296"/>
      <c r="U1086" s="297"/>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6"/>
      <c r="N1087" s="296"/>
      <c r="O1087" s="296"/>
      <c r="P1087" s="296"/>
      <c r="Q1087" s="296"/>
      <c r="R1087" s="296"/>
      <c r="S1087" s="296"/>
      <c r="T1087" s="296"/>
      <c r="U1087" s="297"/>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6"/>
      <c r="N1088" s="296"/>
      <c r="O1088" s="296"/>
      <c r="P1088" s="296"/>
      <c r="Q1088" s="296"/>
      <c r="R1088" s="296"/>
      <c r="S1088" s="296"/>
      <c r="T1088" s="296"/>
      <c r="U1088" s="297"/>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6"/>
      <c r="N1089" s="296"/>
      <c r="O1089" s="296"/>
      <c r="P1089" s="296"/>
      <c r="Q1089" s="296"/>
      <c r="R1089" s="296"/>
      <c r="S1089" s="296"/>
      <c r="T1089" s="296"/>
      <c r="U1089" s="297"/>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6"/>
      <c r="N1090" s="296"/>
      <c r="O1090" s="296"/>
      <c r="P1090" s="296"/>
      <c r="Q1090" s="296"/>
      <c r="R1090" s="296"/>
      <c r="S1090" s="296"/>
      <c r="T1090" s="296"/>
      <c r="U1090" s="297"/>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6"/>
      <c r="N1091" s="296"/>
      <c r="O1091" s="296"/>
      <c r="P1091" s="296"/>
      <c r="Q1091" s="296"/>
      <c r="R1091" s="296"/>
      <c r="S1091" s="296"/>
      <c r="T1091" s="296"/>
      <c r="U1091" s="297"/>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6"/>
      <c r="N1092" s="296"/>
      <c r="O1092" s="296"/>
      <c r="P1092" s="296"/>
      <c r="Q1092" s="296"/>
      <c r="R1092" s="296"/>
      <c r="S1092" s="296"/>
      <c r="T1092" s="296"/>
      <c r="U1092" s="297"/>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6"/>
      <c r="N1093" s="296"/>
      <c r="O1093" s="296"/>
      <c r="P1093" s="296"/>
      <c r="Q1093" s="296"/>
      <c r="R1093" s="296"/>
      <c r="S1093" s="296"/>
      <c r="T1093" s="296"/>
      <c r="U1093" s="297"/>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6"/>
      <c r="N1094" s="296"/>
      <c r="O1094" s="296"/>
      <c r="P1094" s="296"/>
      <c r="Q1094" s="296"/>
      <c r="R1094" s="296"/>
      <c r="S1094" s="296"/>
      <c r="T1094" s="296"/>
      <c r="U1094" s="297"/>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6"/>
      <c r="N1095" s="296"/>
      <c r="O1095" s="296"/>
      <c r="P1095" s="296"/>
      <c r="Q1095" s="296"/>
      <c r="R1095" s="296"/>
      <c r="S1095" s="296"/>
      <c r="T1095" s="296"/>
      <c r="U1095" s="297"/>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6"/>
      <c r="N1096" s="296"/>
      <c r="O1096" s="296"/>
      <c r="P1096" s="296"/>
      <c r="Q1096" s="296"/>
      <c r="R1096" s="296"/>
      <c r="S1096" s="296"/>
      <c r="T1096" s="296"/>
      <c r="U1096" s="297"/>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6"/>
      <c r="N1097" s="296"/>
      <c r="O1097" s="296"/>
      <c r="P1097" s="296"/>
      <c r="Q1097" s="296"/>
      <c r="R1097" s="296"/>
      <c r="S1097" s="296"/>
      <c r="T1097" s="296"/>
      <c r="U1097" s="297"/>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6"/>
      <c r="N1098" s="296"/>
      <c r="O1098" s="296"/>
      <c r="P1098" s="296"/>
      <c r="Q1098" s="296"/>
      <c r="R1098" s="296"/>
      <c r="S1098" s="296"/>
      <c r="T1098" s="296"/>
      <c r="U1098" s="297"/>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6"/>
      <c r="N1099" s="296"/>
      <c r="O1099" s="296"/>
      <c r="P1099" s="296"/>
      <c r="Q1099" s="296"/>
      <c r="R1099" s="296"/>
      <c r="S1099" s="296"/>
      <c r="T1099" s="296"/>
      <c r="U1099" s="297"/>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6"/>
      <c r="N1100" s="296"/>
      <c r="O1100" s="296"/>
      <c r="P1100" s="296"/>
      <c r="Q1100" s="296"/>
      <c r="R1100" s="296"/>
      <c r="S1100" s="296"/>
      <c r="T1100" s="296"/>
      <c r="U1100" s="297"/>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6"/>
      <c r="N1101" s="296"/>
      <c r="O1101" s="296"/>
      <c r="P1101" s="296"/>
      <c r="Q1101" s="296"/>
      <c r="R1101" s="296"/>
      <c r="S1101" s="296"/>
      <c r="T1101" s="296"/>
      <c r="U1101" s="297"/>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6"/>
      <c r="N1102" s="296"/>
      <c r="O1102" s="296"/>
      <c r="P1102" s="296"/>
      <c r="Q1102" s="296"/>
      <c r="R1102" s="296"/>
      <c r="S1102" s="296"/>
      <c r="T1102" s="296"/>
      <c r="U1102" s="297"/>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6"/>
      <c r="N1103" s="296"/>
      <c r="O1103" s="296"/>
      <c r="P1103" s="296"/>
      <c r="Q1103" s="296"/>
      <c r="R1103" s="296"/>
      <c r="S1103" s="296"/>
      <c r="T1103" s="296"/>
      <c r="U1103" s="297"/>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6"/>
      <c r="N1104" s="296"/>
      <c r="O1104" s="296"/>
      <c r="P1104" s="296"/>
      <c r="Q1104" s="296"/>
      <c r="R1104" s="296"/>
      <c r="S1104" s="296"/>
      <c r="T1104" s="296"/>
      <c r="U1104" s="297"/>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6"/>
      <c r="N1105" s="296"/>
      <c r="O1105" s="296"/>
      <c r="P1105" s="296"/>
      <c r="Q1105" s="296"/>
      <c r="R1105" s="296"/>
      <c r="S1105" s="296"/>
      <c r="T1105" s="296"/>
      <c r="U1105" s="297"/>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6"/>
      <c r="N1106" s="296"/>
      <c r="O1106" s="296"/>
      <c r="P1106" s="296"/>
      <c r="Q1106" s="296"/>
      <c r="R1106" s="296"/>
      <c r="S1106" s="296"/>
      <c r="T1106" s="296"/>
      <c r="U1106" s="297"/>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6"/>
      <c r="N1107" s="296"/>
      <c r="O1107" s="296"/>
      <c r="P1107" s="296"/>
      <c r="Q1107" s="296"/>
      <c r="R1107" s="296"/>
      <c r="S1107" s="296"/>
      <c r="T1107" s="296"/>
      <c r="U1107" s="297"/>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2" t="s">
        <v>357</v>
      </c>
      <c r="C1108" s="284"/>
      <c r="D1108" s="79"/>
      <c r="E1108" s="80"/>
      <c r="F1108" s="80"/>
      <c r="G1108" s="81"/>
      <c r="H1108" s="192"/>
      <c r="I1108" s="192"/>
      <c r="J1108" s="192"/>
      <c r="K1108" s="82"/>
      <c r="L1108" s="282" t="s">
        <v>306</v>
      </c>
      <c r="M1108" s="283"/>
      <c r="N1108" s="283"/>
      <c r="O1108" s="283"/>
      <c r="P1108" s="283"/>
      <c r="Q1108" s="283"/>
      <c r="R1108" s="283"/>
      <c r="S1108" s="283"/>
      <c r="T1108" s="283"/>
      <c r="U1108" s="284"/>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2" t="s">
        <v>307</v>
      </c>
      <c r="C1109" s="284"/>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5" t="s">
        <v>222</v>
      </c>
      <c r="C1113" s="286"/>
      <c r="D1113" s="287" t="s">
        <v>223</v>
      </c>
      <c r="E1113" s="288"/>
      <c r="F1113" s="88"/>
      <c r="G1113" s="289" t="s">
        <v>224</v>
      </c>
      <c r="H1113" s="290"/>
      <c r="I1113" s="28">
        <f>SUM(E1124:E1148)</f>
        <v>0</v>
      </c>
      <c r="J1113" s="291" t="s">
        <v>225</v>
      </c>
      <c r="K1113" s="292"/>
      <c r="L1113" s="288"/>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8" t="s">
        <v>226</v>
      </c>
      <c r="AA1113" s="299"/>
      <c r="AB1113" s="300"/>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1" t="s">
        <v>230</v>
      </c>
      <c r="H1114" s="288"/>
      <c r="I1114" s="33">
        <f>E1115-I1113</f>
        <v>0</v>
      </c>
      <c r="J1114" s="302" t="s">
        <v>231</v>
      </c>
      <c r="K1114" s="303"/>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4" t="s">
        <v>232</v>
      </c>
      <c r="AA1114" s="306" t="s">
        <v>233</v>
      </c>
      <c r="AB1114" s="307"/>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0" t="s">
        <v>237</v>
      </c>
      <c r="H1115" s="311"/>
      <c r="I1115" s="35">
        <f>IF(E1115=0,0,12-(MOD(I1113,12)))</f>
        <v>0</v>
      </c>
      <c r="J1115" s="302" t="s">
        <v>238</v>
      </c>
      <c r="K1115" s="303"/>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5"/>
      <c r="AA1115" s="308"/>
      <c r="AB1115" s="309"/>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8" t="s">
        <v>242</v>
      </c>
      <c r="H1116" s="43" t="s">
        <v>243</v>
      </c>
      <c r="I1116" s="35">
        <f>IF(E1116&lt;&gt;0,1,0)</f>
        <v>0</v>
      </c>
      <c r="J1116" s="310" t="s">
        <v>244</v>
      </c>
      <c r="K1116" s="311"/>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9"/>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8" t="s">
        <v>251</v>
      </c>
      <c r="H1118" s="51" t="s">
        <v>252</v>
      </c>
      <c r="I1118" s="112">
        <f>E1117</f>
        <v>0</v>
      </c>
      <c r="J1118" s="312" t="s">
        <v>253</v>
      </c>
      <c r="K1118" s="313"/>
      <c r="L1118" s="31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9"/>
      <c r="H1119" s="47" t="s">
        <v>257</v>
      </c>
      <c r="I1119" s="35" t="str">
        <f>IF(E1117="","0",IF(AND(E1114="EUC",E1115=432), I1118+(203-E1116),IF(E1117=0,0,(E1117+(E1115-E1116)-1))))</f>
        <v>0</v>
      </c>
      <c r="J1119" s="293" t="str">
        <f>IFERROR(IF(OR(E1114="EUC",E1114="SS"),"---",IF(OR(P1113,S1113),"NO 2F Tethers for RPX!",IF(OR(P1115,S1115),"NO 6F Tethers for RPX!","---"))),"---")</f>
        <v>---</v>
      </c>
      <c r="K1119" s="294"/>
      <c r="L1119" s="295"/>
      <c r="M1119" s="293" t="str">
        <f>IF(E1116&gt;60,"Dead Count &gt;60: Consider Downsize","---")</f>
        <v>---</v>
      </c>
      <c r="N1119" s="294"/>
      <c r="O1119" s="294"/>
      <c r="P1119" s="294"/>
      <c r="Q1119" s="294"/>
      <c r="R1119" s="294"/>
      <c r="S1119" s="294"/>
      <c r="T1119" s="294"/>
      <c r="U1119" s="295"/>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3"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4"/>
      <c r="L1120" s="295"/>
      <c r="M1120" s="293" t="str">
        <f>IF(AND(OR(E1114="SS",E1114="RPX",E1114="EUC",E1114="RPX-T"),(OR(C1124="",C1124="Field SPL"))),"Cannot have FlexNap cables without tethers","---")</f>
        <v>---</v>
      </c>
      <c r="N1120" s="294"/>
      <c r="O1120" s="294"/>
      <c r="P1120" s="294"/>
      <c r="Q1120" s="294"/>
      <c r="R1120" s="294"/>
      <c r="S1120" s="294"/>
      <c r="T1120" s="294"/>
      <c r="U1120" s="295"/>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3" t="str">
        <f>IF(AND(OR(E1114="RPX", E1114="RPX-T", E1114="SS"),E1115=216),"NO 216 For RPX, RPX-T, OR SS CABLE","---")</f>
        <v>---</v>
      </c>
      <c r="K1121" s="294"/>
      <c r="L1121" s="295"/>
      <c r="M1121" s="293" t="str" cm="1">
        <f t="array" ref="M1121">IF(AND(E1114="",OR(C1124:C1148="FST",C1124:C1148="REV T",C1124:C1148="DBL REV",C1124:C1148="TPL REV", C1124:C1148="QD REV")),"Non-FlexNap cables cannot have tethers","---")</f>
        <v>---</v>
      </c>
      <c r="N1121" s="294"/>
      <c r="O1121" s="294"/>
      <c r="P1121" s="294"/>
      <c r="Q1121" s="294"/>
      <c r="R1121" s="294"/>
      <c r="S1121" s="294"/>
      <c r="T1121" s="294"/>
      <c r="U1121" s="295"/>
      <c r="V1121" s="25"/>
      <c r="W1121" s="58"/>
      <c r="X1121" s="58"/>
      <c r="Y1121" s="25"/>
      <c r="Z1121" s="45">
        <v>6</v>
      </c>
      <c r="AA1121" s="65">
        <v>61</v>
      </c>
      <c r="AB1121" s="65">
        <v>72</v>
      </c>
      <c r="AC1121" s="25"/>
      <c r="AD1121" s="25"/>
      <c r="BA1121" s="226"/>
    </row>
    <row r="1122" spans="1:53" ht="15.75" customHeight="1" thickBot="1" x14ac:dyDescent="0.3">
      <c r="A1122" s="88"/>
      <c r="B1122" s="278" t="s">
        <v>260</v>
      </c>
      <c r="C1122" s="315" t="s">
        <v>261</v>
      </c>
      <c r="D1122" s="315" t="s">
        <v>262</v>
      </c>
      <c r="E1122" s="317" t="s">
        <v>263</v>
      </c>
      <c r="F1122" s="315" t="s">
        <v>264</v>
      </c>
      <c r="G1122" s="280" t="s">
        <v>265</v>
      </c>
      <c r="H1122" s="280" t="s">
        <v>266</v>
      </c>
      <c r="I1122" s="280" t="s">
        <v>267</v>
      </c>
      <c r="J1122" s="319" t="s">
        <v>268</v>
      </c>
      <c r="K1122" s="315" t="s">
        <v>269</v>
      </c>
      <c r="L1122" s="321" t="s">
        <v>270</v>
      </c>
      <c r="M1122" s="323" t="s">
        <v>271</v>
      </c>
      <c r="N1122" s="323"/>
      <c r="O1122" s="323"/>
      <c r="P1122" s="323"/>
      <c r="Q1122" s="323"/>
      <c r="R1122" s="323"/>
      <c r="S1122" s="323"/>
      <c r="T1122" s="323"/>
      <c r="U1122" s="324"/>
      <c r="V1122" s="107"/>
      <c r="W1122" s="72"/>
      <c r="X1122" s="72"/>
      <c r="Y1122" s="72"/>
      <c r="Z1122" s="45">
        <v>7</v>
      </c>
      <c r="AA1122" s="65">
        <v>73</v>
      </c>
      <c r="AB1122" s="65">
        <v>84</v>
      </c>
      <c r="AC1122" s="25"/>
      <c r="AD1122" s="25"/>
      <c r="BA1122" s="228"/>
    </row>
    <row r="1123" spans="1:53" ht="15.75" thickBot="1" x14ac:dyDescent="0.3">
      <c r="A1123" s="88"/>
      <c r="B1123" s="279"/>
      <c r="C1123" s="316"/>
      <c r="D1123" s="316"/>
      <c r="E1123" s="318"/>
      <c r="F1123" s="316"/>
      <c r="G1123" s="281"/>
      <c r="H1123" s="281"/>
      <c r="I1123" s="281"/>
      <c r="J1123" s="320"/>
      <c r="K1123" s="316"/>
      <c r="L1123" s="322"/>
      <c r="M1123" s="325"/>
      <c r="N1123" s="325"/>
      <c r="O1123" s="325"/>
      <c r="P1123" s="325"/>
      <c r="Q1123" s="325"/>
      <c r="R1123" s="325"/>
      <c r="S1123" s="325"/>
      <c r="T1123" s="325"/>
      <c r="U1123" s="326"/>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6"/>
      <c r="N1124" s="296"/>
      <c r="O1124" s="296"/>
      <c r="P1124" s="296"/>
      <c r="Q1124" s="296"/>
      <c r="R1124" s="296"/>
      <c r="S1124" s="296"/>
      <c r="T1124" s="296"/>
      <c r="U1124" s="297"/>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6"/>
      <c r="N1125" s="296"/>
      <c r="O1125" s="296"/>
      <c r="P1125" s="296"/>
      <c r="Q1125" s="296"/>
      <c r="R1125" s="296"/>
      <c r="S1125" s="296"/>
      <c r="T1125" s="296"/>
      <c r="U1125" s="297"/>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6"/>
      <c r="N1126" s="296"/>
      <c r="O1126" s="296"/>
      <c r="P1126" s="296"/>
      <c r="Q1126" s="296"/>
      <c r="R1126" s="296"/>
      <c r="S1126" s="296"/>
      <c r="T1126" s="296"/>
      <c r="U1126" s="297"/>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6"/>
      <c r="N1127" s="296"/>
      <c r="O1127" s="296"/>
      <c r="P1127" s="296"/>
      <c r="Q1127" s="296"/>
      <c r="R1127" s="296"/>
      <c r="S1127" s="296"/>
      <c r="T1127" s="296"/>
      <c r="U1127" s="297"/>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6"/>
      <c r="N1128" s="296"/>
      <c r="O1128" s="296"/>
      <c r="P1128" s="296"/>
      <c r="Q1128" s="296"/>
      <c r="R1128" s="296"/>
      <c r="S1128" s="296"/>
      <c r="T1128" s="296"/>
      <c r="U1128" s="297"/>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6"/>
      <c r="N1129" s="296"/>
      <c r="O1129" s="296"/>
      <c r="P1129" s="296"/>
      <c r="Q1129" s="296"/>
      <c r="R1129" s="296"/>
      <c r="S1129" s="296"/>
      <c r="T1129" s="296"/>
      <c r="U1129" s="297"/>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6"/>
      <c r="N1130" s="296"/>
      <c r="O1130" s="296"/>
      <c r="P1130" s="296"/>
      <c r="Q1130" s="296"/>
      <c r="R1130" s="296"/>
      <c r="S1130" s="296"/>
      <c r="T1130" s="296"/>
      <c r="U1130" s="297"/>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6"/>
      <c r="N1131" s="296"/>
      <c r="O1131" s="296"/>
      <c r="P1131" s="296"/>
      <c r="Q1131" s="296"/>
      <c r="R1131" s="296"/>
      <c r="S1131" s="296"/>
      <c r="T1131" s="296"/>
      <c r="U1131" s="297"/>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6"/>
      <c r="N1132" s="296"/>
      <c r="O1132" s="296"/>
      <c r="P1132" s="296"/>
      <c r="Q1132" s="296"/>
      <c r="R1132" s="296"/>
      <c r="S1132" s="296"/>
      <c r="T1132" s="296"/>
      <c r="U1132" s="297"/>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6"/>
      <c r="N1133" s="296"/>
      <c r="O1133" s="296"/>
      <c r="P1133" s="296"/>
      <c r="Q1133" s="296"/>
      <c r="R1133" s="296"/>
      <c r="S1133" s="296"/>
      <c r="T1133" s="296"/>
      <c r="U1133" s="297"/>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6"/>
      <c r="N1134" s="296"/>
      <c r="O1134" s="296"/>
      <c r="P1134" s="296"/>
      <c r="Q1134" s="296"/>
      <c r="R1134" s="296"/>
      <c r="S1134" s="296"/>
      <c r="T1134" s="296"/>
      <c r="U1134" s="297"/>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6"/>
      <c r="N1135" s="296"/>
      <c r="O1135" s="296"/>
      <c r="P1135" s="296"/>
      <c r="Q1135" s="296"/>
      <c r="R1135" s="296"/>
      <c r="S1135" s="296"/>
      <c r="T1135" s="296"/>
      <c r="U1135" s="297"/>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6"/>
      <c r="N1136" s="296"/>
      <c r="O1136" s="296"/>
      <c r="P1136" s="296"/>
      <c r="Q1136" s="296"/>
      <c r="R1136" s="296"/>
      <c r="S1136" s="296"/>
      <c r="T1136" s="296"/>
      <c r="U1136" s="297"/>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6"/>
      <c r="N1137" s="296"/>
      <c r="O1137" s="296"/>
      <c r="P1137" s="296"/>
      <c r="Q1137" s="296"/>
      <c r="R1137" s="296"/>
      <c r="S1137" s="296"/>
      <c r="T1137" s="296"/>
      <c r="U1137" s="297"/>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6"/>
      <c r="N1138" s="296"/>
      <c r="O1138" s="296"/>
      <c r="P1138" s="296"/>
      <c r="Q1138" s="296"/>
      <c r="R1138" s="296"/>
      <c r="S1138" s="296"/>
      <c r="T1138" s="296"/>
      <c r="U1138" s="297"/>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6"/>
      <c r="N1139" s="296"/>
      <c r="O1139" s="296"/>
      <c r="P1139" s="296"/>
      <c r="Q1139" s="296"/>
      <c r="R1139" s="296"/>
      <c r="S1139" s="296"/>
      <c r="T1139" s="296"/>
      <c r="U1139" s="297"/>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6"/>
      <c r="N1140" s="296"/>
      <c r="O1140" s="296"/>
      <c r="P1140" s="296"/>
      <c r="Q1140" s="296"/>
      <c r="R1140" s="296"/>
      <c r="S1140" s="296"/>
      <c r="T1140" s="296"/>
      <c r="U1140" s="297"/>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6"/>
      <c r="N1141" s="296"/>
      <c r="O1141" s="296"/>
      <c r="P1141" s="296"/>
      <c r="Q1141" s="296"/>
      <c r="R1141" s="296"/>
      <c r="S1141" s="296"/>
      <c r="T1141" s="296"/>
      <c r="U1141" s="297"/>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6"/>
      <c r="N1142" s="296"/>
      <c r="O1142" s="296"/>
      <c r="P1142" s="296"/>
      <c r="Q1142" s="296"/>
      <c r="R1142" s="296"/>
      <c r="S1142" s="296"/>
      <c r="T1142" s="296"/>
      <c r="U1142" s="297"/>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6"/>
      <c r="N1143" s="296"/>
      <c r="O1143" s="296"/>
      <c r="P1143" s="296"/>
      <c r="Q1143" s="296"/>
      <c r="R1143" s="296"/>
      <c r="S1143" s="296"/>
      <c r="T1143" s="296"/>
      <c r="U1143" s="297"/>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6"/>
      <c r="N1144" s="296"/>
      <c r="O1144" s="296"/>
      <c r="P1144" s="296"/>
      <c r="Q1144" s="296"/>
      <c r="R1144" s="296"/>
      <c r="S1144" s="296"/>
      <c r="T1144" s="296"/>
      <c r="U1144" s="297"/>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6"/>
      <c r="N1145" s="296"/>
      <c r="O1145" s="296"/>
      <c r="P1145" s="296"/>
      <c r="Q1145" s="296"/>
      <c r="R1145" s="296"/>
      <c r="S1145" s="296"/>
      <c r="T1145" s="296"/>
      <c r="U1145" s="297"/>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6"/>
      <c r="N1146" s="296"/>
      <c r="O1146" s="296"/>
      <c r="P1146" s="296"/>
      <c r="Q1146" s="296"/>
      <c r="R1146" s="296"/>
      <c r="S1146" s="296"/>
      <c r="T1146" s="296"/>
      <c r="U1146" s="297"/>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6"/>
      <c r="N1147" s="296"/>
      <c r="O1147" s="296"/>
      <c r="P1147" s="296"/>
      <c r="Q1147" s="296"/>
      <c r="R1147" s="296"/>
      <c r="S1147" s="296"/>
      <c r="T1147" s="296"/>
      <c r="U1147" s="297"/>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6"/>
      <c r="N1148" s="296"/>
      <c r="O1148" s="296"/>
      <c r="P1148" s="296"/>
      <c r="Q1148" s="296"/>
      <c r="R1148" s="296"/>
      <c r="S1148" s="296"/>
      <c r="T1148" s="296"/>
      <c r="U1148" s="297"/>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2" t="s">
        <v>359</v>
      </c>
      <c r="C1149" s="284"/>
      <c r="D1149" s="79"/>
      <c r="E1149" s="80"/>
      <c r="F1149" s="80"/>
      <c r="G1149" s="81"/>
      <c r="H1149" s="192"/>
      <c r="I1149" s="192"/>
      <c r="J1149" s="192"/>
      <c r="K1149" s="82"/>
      <c r="L1149" s="282" t="s">
        <v>306</v>
      </c>
      <c r="M1149" s="283"/>
      <c r="N1149" s="283"/>
      <c r="O1149" s="283"/>
      <c r="P1149" s="283"/>
      <c r="Q1149" s="283"/>
      <c r="R1149" s="283"/>
      <c r="S1149" s="283"/>
      <c r="T1149" s="283"/>
      <c r="U1149" s="284"/>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2" t="s">
        <v>307</v>
      </c>
      <c r="C1150" s="284"/>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5" t="s">
        <v>222</v>
      </c>
      <c r="C1154" s="286"/>
      <c r="D1154" s="287" t="s">
        <v>223</v>
      </c>
      <c r="E1154" s="288"/>
      <c r="F1154" s="88"/>
      <c r="G1154" s="289" t="s">
        <v>224</v>
      </c>
      <c r="H1154" s="290"/>
      <c r="I1154" s="28">
        <f>SUM(E1165:E1189)</f>
        <v>0</v>
      </c>
      <c r="J1154" s="291" t="s">
        <v>225</v>
      </c>
      <c r="K1154" s="292"/>
      <c r="L1154" s="288"/>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8" t="s">
        <v>226</v>
      </c>
      <c r="AA1154" s="299"/>
      <c r="AB1154" s="300"/>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1" t="s">
        <v>230</v>
      </c>
      <c r="H1155" s="288"/>
      <c r="I1155" s="33">
        <f>E1156-I1154</f>
        <v>0</v>
      </c>
      <c r="J1155" s="302" t="s">
        <v>231</v>
      </c>
      <c r="K1155" s="303"/>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4" t="s">
        <v>232</v>
      </c>
      <c r="AA1155" s="306" t="s">
        <v>233</v>
      </c>
      <c r="AB1155" s="307"/>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0" t="s">
        <v>237</v>
      </c>
      <c r="H1156" s="311"/>
      <c r="I1156" s="35">
        <f>IF(E1156=0,0,12-(MOD(I1154,12)))</f>
        <v>0</v>
      </c>
      <c r="J1156" s="302" t="s">
        <v>238</v>
      </c>
      <c r="K1156" s="303"/>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5"/>
      <c r="AA1156" s="308"/>
      <c r="AB1156" s="309"/>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8" t="s">
        <v>242</v>
      </c>
      <c r="H1157" s="43" t="s">
        <v>243</v>
      </c>
      <c r="I1157" s="35">
        <f>IF(E1157&lt;&gt;0,1,0)</f>
        <v>0</v>
      </c>
      <c r="J1157" s="310" t="s">
        <v>244</v>
      </c>
      <c r="K1157" s="311"/>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9"/>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8" t="s">
        <v>251</v>
      </c>
      <c r="H1159" s="51" t="s">
        <v>252</v>
      </c>
      <c r="I1159" s="112">
        <f>E1158</f>
        <v>0</v>
      </c>
      <c r="J1159" s="312" t="s">
        <v>253</v>
      </c>
      <c r="K1159" s="313"/>
      <c r="L1159" s="31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9"/>
      <c r="H1160" s="47" t="s">
        <v>257</v>
      </c>
      <c r="I1160" s="35" t="str">
        <f>IF(E1158="","0",IF(AND(E1155="EUC",E1156=432), I1159+(203-E1157),IF(E1158=0,0,(E1158+(E1156-E1157)-1))))</f>
        <v>0</v>
      </c>
      <c r="J1160" s="293" t="str">
        <f>IFERROR(IF(OR(E1155="EUC",E1155="SS"),"---",IF(OR(P1154,S1154),"NO 2F Tethers for RPX!",IF(OR(P1156,S1156),"NO 6F Tethers for RPX!","---"))),"---")</f>
        <v>---</v>
      </c>
      <c r="K1160" s="294"/>
      <c r="L1160" s="295"/>
      <c r="M1160" s="293" t="str">
        <f>IF(E1157&gt;60,"Dead Count &gt;60: Consider Downsize","---")</f>
        <v>---</v>
      </c>
      <c r="N1160" s="294"/>
      <c r="O1160" s="294"/>
      <c r="P1160" s="294"/>
      <c r="Q1160" s="294"/>
      <c r="R1160" s="294"/>
      <c r="S1160" s="294"/>
      <c r="T1160" s="294"/>
      <c r="U1160" s="295"/>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3"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4"/>
      <c r="L1161" s="295"/>
      <c r="M1161" s="293" t="str">
        <f>IF(AND(OR(E1155="SS",E1155="RPX",E1155="EUC",E1155="RPX-T"),(OR(C1165="",C1165="Field SPL"))),"Cannot have FlexNap cables without tethers","---")</f>
        <v>---</v>
      </c>
      <c r="N1161" s="294"/>
      <c r="O1161" s="294"/>
      <c r="P1161" s="294"/>
      <c r="Q1161" s="294"/>
      <c r="R1161" s="294"/>
      <c r="S1161" s="294"/>
      <c r="T1161" s="294"/>
      <c r="U1161" s="295"/>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3" t="str">
        <f>IF(AND(OR(E1155="RPX", E1155="RPX-T", E1155="SS"),E1156=216),"NO 216 For RPX, RPX-T, OR SS CABLE","---")</f>
        <v>---</v>
      </c>
      <c r="K1162" s="294"/>
      <c r="L1162" s="295"/>
      <c r="M1162" s="293" t="str" cm="1">
        <f t="array" ref="M1162">IF(AND(E1155="",OR(C1165:C1189="FST",C1165:C1189="REV T",C1165:C1189="DBL REV",C1165:C1189="TPL REV", C1165:C1189="QD REV")),"Non-FlexNap cables cannot have tethers","---")</f>
        <v>---</v>
      </c>
      <c r="N1162" s="294"/>
      <c r="O1162" s="294"/>
      <c r="P1162" s="294"/>
      <c r="Q1162" s="294"/>
      <c r="R1162" s="294"/>
      <c r="S1162" s="294"/>
      <c r="T1162" s="294"/>
      <c r="U1162" s="295"/>
      <c r="V1162" s="25"/>
      <c r="W1162" s="58"/>
      <c r="X1162" s="58"/>
      <c r="Y1162" s="25"/>
      <c r="Z1162" s="45">
        <v>6</v>
      </c>
      <c r="AA1162" s="65">
        <v>61</v>
      </c>
      <c r="AB1162" s="65">
        <v>72</v>
      </c>
      <c r="AC1162" s="25"/>
      <c r="AD1162" s="25"/>
      <c r="BA1162" s="226"/>
    </row>
    <row r="1163" spans="1:53" ht="15.75" customHeight="1" thickBot="1" x14ac:dyDescent="0.3">
      <c r="A1163" s="88"/>
      <c r="B1163" s="278" t="s">
        <v>260</v>
      </c>
      <c r="C1163" s="315" t="s">
        <v>261</v>
      </c>
      <c r="D1163" s="315" t="s">
        <v>262</v>
      </c>
      <c r="E1163" s="317" t="s">
        <v>263</v>
      </c>
      <c r="F1163" s="315" t="s">
        <v>264</v>
      </c>
      <c r="G1163" s="280" t="s">
        <v>265</v>
      </c>
      <c r="H1163" s="280" t="s">
        <v>266</v>
      </c>
      <c r="I1163" s="280" t="s">
        <v>267</v>
      </c>
      <c r="J1163" s="319" t="s">
        <v>268</v>
      </c>
      <c r="K1163" s="315" t="s">
        <v>269</v>
      </c>
      <c r="L1163" s="321" t="s">
        <v>270</v>
      </c>
      <c r="M1163" s="323" t="s">
        <v>271</v>
      </c>
      <c r="N1163" s="323"/>
      <c r="O1163" s="323"/>
      <c r="P1163" s="323"/>
      <c r="Q1163" s="323"/>
      <c r="R1163" s="323"/>
      <c r="S1163" s="323"/>
      <c r="T1163" s="323"/>
      <c r="U1163" s="324"/>
      <c r="V1163" s="107"/>
      <c r="W1163" s="72"/>
      <c r="X1163" s="72"/>
      <c r="Y1163" s="72"/>
      <c r="Z1163" s="45">
        <v>7</v>
      </c>
      <c r="AA1163" s="65">
        <v>73</v>
      </c>
      <c r="AB1163" s="65">
        <v>84</v>
      </c>
      <c r="AC1163" s="25"/>
      <c r="AD1163" s="25"/>
      <c r="BA1163" s="228"/>
    </row>
    <row r="1164" spans="1:53" ht="15.75" thickBot="1" x14ac:dyDescent="0.3">
      <c r="A1164" s="88"/>
      <c r="B1164" s="279"/>
      <c r="C1164" s="316"/>
      <c r="D1164" s="316"/>
      <c r="E1164" s="318"/>
      <c r="F1164" s="316"/>
      <c r="G1164" s="281"/>
      <c r="H1164" s="281"/>
      <c r="I1164" s="281"/>
      <c r="J1164" s="320"/>
      <c r="K1164" s="316"/>
      <c r="L1164" s="322"/>
      <c r="M1164" s="325"/>
      <c r="N1164" s="325"/>
      <c r="O1164" s="325"/>
      <c r="P1164" s="325"/>
      <c r="Q1164" s="325"/>
      <c r="R1164" s="325"/>
      <c r="S1164" s="325"/>
      <c r="T1164" s="325"/>
      <c r="U1164" s="326"/>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6"/>
      <c r="N1165" s="296"/>
      <c r="O1165" s="296"/>
      <c r="P1165" s="296"/>
      <c r="Q1165" s="296"/>
      <c r="R1165" s="296"/>
      <c r="S1165" s="296"/>
      <c r="T1165" s="296"/>
      <c r="U1165" s="297"/>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6"/>
      <c r="N1166" s="296"/>
      <c r="O1166" s="296"/>
      <c r="P1166" s="296"/>
      <c r="Q1166" s="296"/>
      <c r="R1166" s="296"/>
      <c r="S1166" s="296"/>
      <c r="T1166" s="296"/>
      <c r="U1166" s="297"/>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6"/>
      <c r="N1167" s="296"/>
      <c r="O1167" s="296"/>
      <c r="P1167" s="296"/>
      <c r="Q1167" s="296"/>
      <c r="R1167" s="296"/>
      <c r="S1167" s="296"/>
      <c r="T1167" s="296"/>
      <c r="U1167" s="297"/>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6"/>
      <c r="N1168" s="296"/>
      <c r="O1168" s="296"/>
      <c r="P1168" s="296"/>
      <c r="Q1168" s="296"/>
      <c r="R1168" s="296"/>
      <c r="S1168" s="296"/>
      <c r="T1168" s="296"/>
      <c r="U1168" s="297"/>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6"/>
      <c r="N1169" s="296"/>
      <c r="O1169" s="296"/>
      <c r="P1169" s="296"/>
      <c r="Q1169" s="296"/>
      <c r="R1169" s="296"/>
      <c r="S1169" s="296"/>
      <c r="T1169" s="296"/>
      <c r="U1169" s="297"/>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6"/>
      <c r="N1170" s="296"/>
      <c r="O1170" s="296"/>
      <c r="P1170" s="296"/>
      <c r="Q1170" s="296"/>
      <c r="R1170" s="296"/>
      <c r="S1170" s="296"/>
      <c r="T1170" s="296"/>
      <c r="U1170" s="297"/>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6"/>
      <c r="N1171" s="296"/>
      <c r="O1171" s="296"/>
      <c r="P1171" s="296"/>
      <c r="Q1171" s="296"/>
      <c r="R1171" s="296"/>
      <c r="S1171" s="296"/>
      <c r="T1171" s="296"/>
      <c r="U1171" s="297"/>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6"/>
      <c r="N1172" s="296"/>
      <c r="O1172" s="296"/>
      <c r="P1172" s="296"/>
      <c r="Q1172" s="296"/>
      <c r="R1172" s="296"/>
      <c r="S1172" s="296"/>
      <c r="T1172" s="296"/>
      <c r="U1172" s="297"/>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6"/>
      <c r="N1173" s="296"/>
      <c r="O1173" s="296"/>
      <c r="P1173" s="296"/>
      <c r="Q1173" s="296"/>
      <c r="R1173" s="296"/>
      <c r="S1173" s="296"/>
      <c r="T1173" s="296"/>
      <c r="U1173" s="297"/>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6"/>
      <c r="N1174" s="296"/>
      <c r="O1174" s="296"/>
      <c r="P1174" s="296"/>
      <c r="Q1174" s="296"/>
      <c r="R1174" s="296"/>
      <c r="S1174" s="296"/>
      <c r="T1174" s="296"/>
      <c r="U1174" s="297"/>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6"/>
      <c r="N1175" s="296"/>
      <c r="O1175" s="296"/>
      <c r="P1175" s="296"/>
      <c r="Q1175" s="296"/>
      <c r="R1175" s="296"/>
      <c r="S1175" s="296"/>
      <c r="T1175" s="296"/>
      <c r="U1175" s="297"/>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6"/>
      <c r="N1176" s="296"/>
      <c r="O1176" s="296"/>
      <c r="P1176" s="296"/>
      <c r="Q1176" s="296"/>
      <c r="R1176" s="296"/>
      <c r="S1176" s="296"/>
      <c r="T1176" s="296"/>
      <c r="U1176" s="297"/>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6"/>
      <c r="N1177" s="296"/>
      <c r="O1177" s="296"/>
      <c r="P1177" s="296"/>
      <c r="Q1177" s="296"/>
      <c r="R1177" s="296"/>
      <c r="S1177" s="296"/>
      <c r="T1177" s="296"/>
      <c r="U1177" s="297"/>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6"/>
      <c r="N1178" s="296"/>
      <c r="O1178" s="296"/>
      <c r="P1178" s="296"/>
      <c r="Q1178" s="296"/>
      <c r="R1178" s="296"/>
      <c r="S1178" s="296"/>
      <c r="T1178" s="296"/>
      <c r="U1178" s="297"/>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6"/>
      <c r="N1179" s="296"/>
      <c r="O1179" s="296"/>
      <c r="P1179" s="296"/>
      <c r="Q1179" s="296"/>
      <c r="R1179" s="296"/>
      <c r="S1179" s="296"/>
      <c r="T1179" s="296"/>
      <c r="U1179" s="297"/>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6"/>
      <c r="N1180" s="296"/>
      <c r="O1180" s="296"/>
      <c r="P1180" s="296"/>
      <c r="Q1180" s="296"/>
      <c r="R1180" s="296"/>
      <c r="S1180" s="296"/>
      <c r="T1180" s="296"/>
      <c r="U1180" s="297"/>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6"/>
      <c r="N1181" s="296"/>
      <c r="O1181" s="296"/>
      <c r="P1181" s="296"/>
      <c r="Q1181" s="296"/>
      <c r="R1181" s="296"/>
      <c r="S1181" s="296"/>
      <c r="T1181" s="296"/>
      <c r="U1181" s="297"/>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6"/>
      <c r="N1182" s="296"/>
      <c r="O1182" s="296"/>
      <c r="P1182" s="296"/>
      <c r="Q1182" s="296"/>
      <c r="R1182" s="296"/>
      <c r="S1182" s="296"/>
      <c r="T1182" s="296"/>
      <c r="U1182" s="297"/>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6"/>
      <c r="N1183" s="296"/>
      <c r="O1183" s="296"/>
      <c r="P1183" s="296"/>
      <c r="Q1183" s="296"/>
      <c r="R1183" s="296"/>
      <c r="S1183" s="296"/>
      <c r="T1183" s="296"/>
      <c r="U1183" s="297"/>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6"/>
      <c r="N1184" s="296"/>
      <c r="O1184" s="296"/>
      <c r="P1184" s="296"/>
      <c r="Q1184" s="296"/>
      <c r="R1184" s="296"/>
      <c r="S1184" s="296"/>
      <c r="T1184" s="296"/>
      <c r="U1184" s="297"/>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6"/>
      <c r="N1185" s="296"/>
      <c r="O1185" s="296"/>
      <c r="P1185" s="296"/>
      <c r="Q1185" s="296"/>
      <c r="R1185" s="296"/>
      <c r="S1185" s="296"/>
      <c r="T1185" s="296"/>
      <c r="U1185" s="297"/>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6"/>
      <c r="N1186" s="296"/>
      <c r="O1186" s="296"/>
      <c r="P1186" s="296"/>
      <c r="Q1186" s="296"/>
      <c r="R1186" s="296"/>
      <c r="S1186" s="296"/>
      <c r="T1186" s="296"/>
      <c r="U1186" s="297"/>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6"/>
      <c r="N1187" s="296"/>
      <c r="O1187" s="296"/>
      <c r="P1187" s="296"/>
      <c r="Q1187" s="296"/>
      <c r="R1187" s="296"/>
      <c r="S1187" s="296"/>
      <c r="T1187" s="296"/>
      <c r="U1187" s="297"/>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6"/>
      <c r="N1188" s="296"/>
      <c r="O1188" s="296"/>
      <c r="P1188" s="296"/>
      <c r="Q1188" s="296"/>
      <c r="R1188" s="296"/>
      <c r="S1188" s="296"/>
      <c r="T1188" s="296"/>
      <c r="U1188" s="297"/>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6"/>
      <c r="N1189" s="296"/>
      <c r="O1189" s="296"/>
      <c r="P1189" s="296"/>
      <c r="Q1189" s="296"/>
      <c r="R1189" s="296"/>
      <c r="S1189" s="296"/>
      <c r="T1189" s="296"/>
      <c r="U1189" s="297"/>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2" t="s">
        <v>361</v>
      </c>
      <c r="C1190" s="284"/>
      <c r="D1190" s="79"/>
      <c r="E1190" s="80"/>
      <c r="F1190" s="80"/>
      <c r="G1190" s="81"/>
      <c r="H1190" s="192"/>
      <c r="I1190" s="192"/>
      <c r="J1190" s="192"/>
      <c r="K1190" s="82"/>
      <c r="L1190" s="282" t="s">
        <v>306</v>
      </c>
      <c r="M1190" s="283"/>
      <c r="N1190" s="283"/>
      <c r="O1190" s="283"/>
      <c r="P1190" s="283"/>
      <c r="Q1190" s="283"/>
      <c r="R1190" s="283"/>
      <c r="S1190" s="283"/>
      <c r="T1190" s="283"/>
      <c r="U1190" s="284"/>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2" t="s">
        <v>307</v>
      </c>
      <c r="C1191" s="284"/>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5" t="s">
        <v>222</v>
      </c>
      <c r="C1195" s="286"/>
      <c r="D1195" s="287" t="s">
        <v>223</v>
      </c>
      <c r="E1195" s="288"/>
      <c r="F1195" s="88"/>
      <c r="G1195" s="289" t="s">
        <v>224</v>
      </c>
      <c r="H1195" s="290"/>
      <c r="I1195" s="28">
        <f>SUM(E1206:E1230)</f>
        <v>0</v>
      </c>
      <c r="J1195" s="291" t="s">
        <v>225</v>
      </c>
      <c r="K1195" s="292"/>
      <c r="L1195" s="288"/>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8" t="s">
        <v>226</v>
      </c>
      <c r="AA1195" s="299"/>
      <c r="AB1195" s="300"/>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1" t="s">
        <v>230</v>
      </c>
      <c r="H1196" s="288"/>
      <c r="I1196" s="33">
        <f>E1197-I1195</f>
        <v>0</v>
      </c>
      <c r="J1196" s="302" t="s">
        <v>231</v>
      </c>
      <c r="K1196" s="303"/>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4" t="s">
        <v>232</v>
      </c>
      <c r="AA1196" s="306" t="s">
        <v>233</v>
      </c>
      <c r="AB1196" s="307"/>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0" t="s">
        <v>237</v>
      </c>
      <c r="H1197" s="311"/>
      <c r="I1197" s="35">
        <f>IF(E1197=0,0,12-(MOD(I1195,12)))</f>
        <v>0</v>
      </c>
      <c r="J1197" s="302" t="s">
        <v>238</v>
      </c>
      <c r="K1197" s="303"/>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5"/>
      <c r="AA1197" s="308"/>
      <c r="AB1197" s="309"/>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8" t="s">
        <v>242</v>
      </c>
      <c r="H1198" s="43" t="s">
        <v>243</v>
      </c>
      <c r="I1198" s="35">
        <f>IF(E1198&lt;&gt;0,1,0)</f>
        <v>0</v>
      </c>
      <c r="J1198" s="310" t="s">
        <v>244</v>
      </c>
      <c r="K1198" s="311"/>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9"/>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8" t="s">
        <v>251</v>
      </c>
      <c r="H1200" s="51" t="s">
        <v>252</v>
      </c>
      <c r="I1200" s="112">
        <f>E1199</f>
        <v>0</v>
      </c>
      <c r="J1200" s="312" t="s">
        <v>253</v>
      </c>
      <c r="K1200" s="313"/>
      <c r="L1200" s="31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9"/>
      <c r="H1201" s="47" t="s">
        <v>257</v>
      </c>
      <c r="I1201" s="35" t="str">
        <f>IF(E1199="","0",IF(AND(E1196="EUC",E1197=432), I1200+(203-E1198),IF(E1199=0,0,(E1199+(E1197-E1198)-1))))</f>
        <v>0</v>
      </c>
      <c r="J1201" s="293" t="str">
        <f>IFERROR(IF(OR(E1196="EUC",E1196="SS"),"---",IF(OR(P1195,S1195),"NO 2F Tethers for RPX!",IF(OR(P1197,S1197),"NO 6F Tethers for RPX!","---"))),"---")</f>
        <v>---</v>
      </c>
      <c r="K1201" s="294"/>
      <c r="L1201" s="295"/>
      <c r="M1201" s="293" t="str">
        <f>IF(E1198&gt;60,"Dead Count &gt;60: Consider Downsize","---")</f>
        <v>---</v>
      </c>
      <c r="N1201" s="294"/>
      <c r="O1201" s="294"/>
      <c r="P1201" s="294"/>
      <c r="Q1201" s="294"/>
      <c r="R1201" s="294"/>
      <c r="S1201" s="294"/>
      <c r="T1201" s="294"/>
      <c r="U1201" s="295"/>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3"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4"/>
      <c r="L1202" s="295"/>
      <c r="M1202" s="293" t="str">
        <f>IF(AND(OR(E1196="SS",E1196="RPX",E1196="EUC",E1196="RPX-T"),(OR(C1206="",C1206="Field SPL"))),"Cannot have FlexNap cables without tethers","---")</f>
        <v>---</v>
      </c>
      <c r="N1202" s="294"/>
      <c r="O1202" s="294"/>
      <c r="P1202" s="294"/>
      <c r="Q1202" s="294"/>
      <c r="R1202" s="294"/>
      <c r="S1202" s="294"/>
      <c r="T1202" s="294"/>
      <c r="U1202" s="295"/>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3" t="str">
        <f>IF(AND(OR(E1196="RPX", E1196="RPX-T", E1196="SS"),E1197=216),"NO 216 For RPX, RPX-T, OR SS CABLE","---")</f>
        <v>---</v>
      </c>
      <c r="K1203" s="294"/>
      <c r="L1203" s="295"/>
      <c r="M1203" s="293" t="str" cm="1">
        <f t="array" ref="M1203">IF(AND(E1196="",OR(C1206:C1230="FST",C1206:C1230="REV T",C1206:C1230="DBL REV",C1206:C1230="TPL REV", C1206:C1230="QD REV")),"Non-FlexNap cables cannot have tethers","---")</f>
        <v>---</v>
      </c>
      <c r="N1203" s="294"/>
      <c r="O1203" s="294"/>
      <c r="P1203" s="294"/>
      <c r="Q1203" s="294"/>
      <c r="R1203" s="294"/>
      <c r="S1203" s="294"/>
      <c r="T1203" s="294"/>
      <c r="U1203" s="295"/>
      <c r="V1203" s="25"/>
      <c r="W1203" s="58"/>
      <c r="X1203" s="58"/>
      <c r="Y1203" s="25"/>
      <c r="Z1203" s="45">
        <v>6</v>
      </c>
      <c r="AA1203" s="65">
        <v>61</v>
      </c>
      <c r="AB1203" s="65">
        <v>72</v>
      </c>
      <c r="AC1203" s="25"/>
      <c r="AD1203" s="25"/>
      <c r="BA1203" s="226"/>
    </row>
    <row r="1204" spans="1:53" ht="15.75" customHeight="1" thickBot="1" x14ac:dyDescent="0.3">
      <c r="A1204" s="88"/>
      <c r="B1204" s="278" t="s">
        <v>260</v>
      </c>
      <c r="C1204" s="315" t="s">
        <v>261</v>
      </c>
      <c r="D1204" s="315" t="s">
        <v>262</v>
      </c>
      <c r="E1204" s="317" t="s">
        <v>263</v>
      </c>
      <c r="F1204" s="315" t="s">
        <v>264</v>
      </c>
      <c r="G1204" s="280" t="s">
        <v>265</v>
      </c>
      <c r="H1204" s="280" t="s">
        <v>266</v>
      </c>
      <c r="I1204" s="280" t="s">
        <v>267</v>
      </c>
      <c r="J1204" s="319" t="s">
        <v>268</v>
      </c>
      <c r="K1204" s="315" t="s">
        <v>269</v>
      </c>
      <c r="L1204" s="321" t="s">
        <v>270</v>
      </c>
      <c r="M1204" s="323" t="s">
        <v>271</v>
      </c>
      <c r="N1204" s="323"/>
      <c r="O1204" s="323"/>
      <c r="P1204" s="323"/>
      <c r="Q1204" s="323"/>
      <c r="R1204" s="323"/>
      <c r="S1204" s="323"/>
      <c r="T1204" s="323"/>
      <c r="U1204" s="324"/>
      <c r="V1204" s="107"/>
      <c r="W1204" s="72"/>
      <c r="X1204" s="72"/>
      <c r="Y1204" s="72"/>
      <c r="Z1204" s="45">
        <v>7</v>
      </c>
      <c r="AA1204" s="65">
        <v>73</v>
      </c>
      <c r="AB1204" s="65">
        <v>84</v>
      </c>
      <c r="AC1204" s="25"/>
      <c r="AD1204" s="25"/>
      <c r="BA1204" s="228"/>
    </row>
    <row r="1205" spans="1:53" ht="15.75" thickBot="1" x14ac:dyDescent="0.3">
      <c r="A1205" s="88"/>
      <c r="B1205" s="279"/>
      <c r="C1205" s="316"/>
      <c r="D1205" s="316"/>
      <c r="E1205" s="318"/>
      <c r="F1205" s="316"/>
      <c r="G1205" s="281"/>
      <c r="H1205" s="281"/>
      <c r="I1205" s="281"/>
      <c r="J1205" s="320"/>
      <c r="K1205" s="316"/>
      <c r="L1205" s="322"/>
      <c r="M1205" s="325"/>
      <c r="N1205" s="325"/>
      <c r="O1205" s="325"/>
      <c r="P1205" s="325"/>
      <c r="Q1205" s="325"/>
      <c r="R1205" s="325"/>
      <c r="S1205" s="325"/>
      <c r="T1205" s="325"/>
      <c r="U1205" s="326"/>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6"/>
      <c r="N1206" s="296"/>
      <c r="O1206" s="296"/>
      <c r="P1206" s="296"/>
      <c r="Q1206" s="296"/>
      <c r="R1206" s="296"/>
      <c r="S1206" s="296"/>
      <c r="T1206" s="296"/>
      <c r="U1206" s="297"/>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6"/>
      <c r="N1207" s="296"/>
      <c r="O1207" s="296"/>
      <c r="P1207" s="296"/>
      <c r="Q1207" s="296"/>
      <c r="R1207" s="296"/>
      <c r="S1207" s="296"/>
      <c r="T1207" s="296"/>
      <c r="U1207" s="297"/>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6"/>
      <c r="N1208" s="296"/>
      <c r="O1208" s="296"/>
      <c r="P1208" s="296"/>
      <c r="Q1208" s="296"/>
      <c r="R1208" s="296"/>
      <c r="S1208" s="296"/>
      <c r="T1208" s="296"/>
      <c r="U1208" s="297"/>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6"/>
      <c r="N1209" s="296"/>
      <c r="O1209" s="296"/>
      <c r="P1209" s="296"/>
      <c r="Q1209" s="296"/>
      <c r="R1209" s="296"/>
      <c r="S1209" s="296"/>
      <c r="T1209" s="296"/>
      <c r="U1209" s="297"/>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6"/>
      <c r="N1210" s="296"/>
      <c r="O1210" s="296"/>
      <c r="P1210" s="296"/>
      <c r="Q1210" s="296"/>
      <c r="R1210" s="296"/>
      <c r="S1210" s="296"/>
      <c r="T1210" s="296"/>
      <c r="U1210" s="297"/>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6"/>
      <c r="N1211" s="296"/>
      <c r="O1211" s="296"/>
      <c r="P1211" s="296"/>
      <c r="Q1211" s="296"/>
      <c r="R1211" s="296"/>
      <c r="S1211" s="296"/>
      <c r="T1211" s="296"/>
      <c r="U1211" s="297"/>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6"/>
      <c r="N1212" s="296"/>
      <c r="O1212" s="296"/>
      <c r="P1212" s="296"/>
      <c r="Q1212" s="296"/>
      <c r="R1212" s="296"/>
      <c r="S1212" s="296"/>
      <c r="T1212" s="296"/>
      <c r="U1212" s="297"/>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6"/>
      <c r="N1213" s="296"/>
      <c r="O1213" s="296"/>
      <c r="P1213" s="296"/>
      <c r="Q1213" s="296"/>
      <c r="R1213" s="296"/>
      <c r="S1213" s="296"/>
      <c r="T1213" s="296"/>
      <c r="U1213" s="297"/>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6"/>
      <c r="N1214" s="296"/>
      <c r="O1214" s="296"/>
      <c r="P1214" s="296"/>
      <c r="Q1214" s="296"/>
      <c r="R1214" s="296"/>
      <c r="S1214" s="296"/>
      <c r="T1214" s="296"/>
      <c r="U1214" s="297"/>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6"/>
      <c r="N1215" s="296"/>
      <c r="O1215" s="296"/>
      <c r="P1215" s="296"/>
      <c r="Q1215" s="296"/>
      <c r="R1215" s="296"/>
      <c r="S1215" s="296"/>
      <c r="T1215" s="296"/>
      <c r="U1215" s="297"/>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6"/>
      <c r="N1216" s="296"/>
      <c r="O1216" s="296"/>
      <c r="P1216" s="296"/>
      <c r="Q1216" s="296"/>
      <c r="R1216" s="296"/>
      <c r="S1216" s="296"/>
      <c r="T1216" s="296"/>
      <c r="U1216" s="297"/>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6"/>
      <c r="N1217" s="296"/>
      <c r="O1217" s="296"/>
      <c r="P1217" s="296"/>
      <c r="Q1217" s="296"/>
      <c r="R1217" s="296"/>
      <c r="S1217" s="296"/>
      <c r="T1217" s="296"/>
      <c r="U1217" s="297"/>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6"/>
      <c r="N1218" s="296"/>
      <c r="O1218" s="296"/>
      <c r="P1218" s="296"/>
      <c r="Q1218" s="296"/>
      <c r="R1218" s="296"/>
      <c r="S1218" s="296"/>
      <c r="T1218" s="296"/>
      <c r="U1218" s="297"/>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6"/>
      <c r="N1219" s="296"/>
      <c r="O1219" s="296"/>
      <c r="P1219" s="296"/>
      <c r="Q1219" s="296"/>
      <c r="R1219" s="296"/>
      <c r="S1219" s="296"/>
      <c r="T1219" s="296"/>
      <c r="U1219" s="297"/>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6"/>
      <c r="N1220" s="296"/>
      <c r="O1220" s="296"/>
      <c r="P1220" s="296"/>
      <c r="Q1220" s="296"/>
      <c r="R1220" s="296"/>
      <c r="S1220" s="296"/>
      <c r="T1220" s="296"/>
      <c r="U1220" s="297"/>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6"/>
      <c r="N1221" s="296"/>
      <c r="O1221" s="296"/>
      <c r="P1221" s="296"/>
      <c r="Q1221" s="296"/>
      <c r="R1221" s="296"/>
      <c r="S1221" s="296"/>
      <c r="T1221" s="296"/>
      <c r="U1221" s="297"/>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6"/>
      <c r="N1222" s="296"/>
      <c r="O1222" s="296"/>
      <c r="P1222" s="296"/>
      <c r="Q1222" s="296"/>
      <c r="R1222" s="296"/>
      <c r="S1222" s="296"/>
      <c r="T1222" s="296"/>
      <c r="U1222" s="297"/>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6"/>
      <c r="N1223" s="296"/>
      <c r="O1223" s="296"/>
      <c r="P1223" s="296"/>
      <c r="Q1223" s="296"/>
      <c r="R1223" s="296"/>
      <c r="S1223" s="296"/>
      <c r="T1223" s="296"/>
      <c r="U1223" s="297"/>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6"/>
      <c r="N1224" s="296"/>
      <c r="O1224" s="296"/>
      <c r="P1224" s="296"/>
      <c r="Q1224" s="296"/>
      <c r="R1224" s="296"/>
      <c r="S1224" s="296"/>
      <c r="T1224" s="296"/>
      <c r="U1224" s="297"/>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6"/>
      <c r="N1225" s="296"/>
      <c r="O1225" s="296"/>
      <c r="P1225" s="296"/>
      <c r="Q1225" s="296"/>
      <c r="R1225" s="296"/>
      <c r="S1225" s="296"/>
      <c r="T1225" s="296"/>
      <c r="U1225" s="297"/>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6"/>
      <c r="N1226" s="296"/>
      <c r="O1226" s="296"/>
      <c r="P1226" s="296"/>
      <c r="Q1226" s="296"/>
      <c r="R1226" s="296"/>
      <c r="S1226" s="296"/>
      <c r="T1226" s="296"/>
      <c r="U1226" s="297"/>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6"/>
      <c r="N1227" s="296"/>
      <c r="O1227" s="296"/>
      <c r="P1227" s="296"/>
      <c r="Q1227" s="296"/>
      <c r="R1227" s="296"/>
      <c r="S1227" s="296"/>
      <c r="T1227" s="296"/>
      <c r="U1227" s="297"/>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6"/>
      <c r="N1228" s="296"/>
      <c r="O1228" s="296"/>
      <c r="P1228" s="296"/>
      <c r="Q1228" s="296"/>
      <c r="R1228" s="296"/>
      <c r="S1228" s="296"/>
      <c r="T1228" s="296"/>
      <c r="U1228" s="297"/>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6"/>
      <c r="N1229" s="296"/>
      <c r="O1229" s="296"/>
      <c r="P1229" s="296"/>
      <c r="Q1229" s="296"/>
      <c r="R1229" s="296"/>
      <c r="S1229" s="296"/>
      <c r="T1229" s="296"/>
      <c r="U1229" s="297"/>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6"/>
      <c r="N1230" s="296"/>
      <c r="O1230" s="296"/>
      <c r="P1230" s="296"/>
      <c r="Q1230" s="296"/>
      <c r="R1230" s="296"/>
      <c r="S1230" s="296"/>
      <c r="T1230" s="296"/>
      <c r="U1230" s="297"/>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2" t="s">
        <v>363</v>
      </c>
      <c r="C1231" s="284"/>
      <c r="D1231" s="79"/>
      <c r="E1231" s="80"/>
      <c r="F1231" s="80"/>
      <c r="G1231" s="81"/>
      <c r="H1231" s="192"/>
      <c r="I1231" s="192"/>
      <c r="J1231" s="192"/>
      <c r="K1231" s="82"/>
      <c r="L1231" s="282" t="s">
        <v>306</v>
      </c>
      <c r="M1231" s="283"/>
      <c r="N1231" s="283"/>
      <c r="O1231" s="283"/>
      <c r="P1231" s="283"/>
      <c r="Q1231" s="283"/>
      <c r="R1231" s="283"/>
      <c r="S1231" s="283"/>
      <c r="T1231" s="283"/>
      <c r="U1231" s="284"/>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2" t="s">
        <v>307</v>
      </c>
      <c r="C1232" s="284"/>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5" t="s">
        <v>222</v>
      </c>
      <c r="C1236" s="286"/>
      <c r="D1236" s="287" t="s">
        <v>223</v>
      </c>
      <c r="E1236" s="288"/>
      <c r="F1236" s="88"/>
      <c r="G1236" s="289" t="s">
        <v>224</v>
      </c>
      <c r="H1236" s="290"/>
      <c r="I1236" s="28">
        <f>SUM(E1247:E1271)</f>
        <v>0</v>
      </c>
      <c r="J1236" s="291" t="s">
        <v>225</v>
      </c>
      <c r="K1236" s="292"/>
      <c r="L1236" s="288"/>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8" t="s">
        <v>226</v>
      </c>
      <c r="AA1236" s="299"/>
      <c r="AB1236" s="300"/>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1" t="s">
        <v>230</v>
      </c>
      <c r="H1237" s="288"/>
      <c r="I1237" s="33">
        <f>E1238-I1236</f>
        <v>0</v>
      </c>
      <c r="J1237" s="302" t="s">
        <v>231</v>
      </c>
      <c r="K1237" s="303"/>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4" t="s">
        <v>232</v>
      </c>
      <c r="AA1237" s="306" t="s">
        <v>233</v>
      </c>
      <c r="AB1237" s="307"/>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0" t="s">
        <v>237</v>
      </c>
      <c r="H1238" s="311"/>
      <c r="I1238" s="35">
        <f>IF(E1238=0,0,12-(MOD(I1236,12)))</f>
        <v>0</v>
      </c>
      <c r="J1238" s="302" t="s">
        <v>238</v>
      </c>
      <c r="K1238" s="303"/>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5"/>
      <c r="AA1238" s="308"/>
      <c r="AB1238" s="309"/>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8" t="s">
        <v>242</v>
      </c>
      <c r="H1239" s="43" t="s">
        <v>243</v>
      </c>
      <c r="I1239" s="35">
        <f>IF(E1239&lt;&gt;0,1,0)</f>
        <v>0</v>
      </c>
      <c r="J1239" s="310" t="s">
        <v>244</v>
      </c>
      <c r="K1239" s="31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9"/>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8" t="s">
        <v>251</v>
      </c>
      <c r="H1241" s="51" t="s">
        <v>252</v>
      </c>
      <c r="I1241" s="112">
        <f>E1240</f>
        <v>0</v>
      </c>
      <c r="J1241" s="312" t="s">
        <v>253</v>
      </c>
      <c r="K1241" s="313"/>
      <c r="L1241" s="31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9"/>
      <c r="H1242" s="47" t="s">
        <v>257</v>
      </c>
      <c r="I1242" s="35" t="str">
        <f>IF(E1240="","0",IF(AND(E1237="EUC",E1238=432), I1241+(203-E1239),IF(E1240=0,0,(E1240+(E1238-E1239)-1))))</f>
        <v>0</v>
      </c>
      <c r="J1242" s="293" t="str">
        <f>IFERROR(IF(OR(E1237="EUC",E1237="SS"),"---",IF(OR(P1236,S1236),"NO 2F Tethers for RPX!",IF(OR(P1238,S1238),"NO 6F Tethers for RPX!","---"))),"---")</f>
        <v>---</v>
      </c>
      <c r="K1242" s="294"/>
      <c r="L1242" s="295"/>
      <c r="M1242" s="293" t="str">
        <f>IF(E1239&gt;60,"Dead Count &gt;60: Consider Downsize","---")</f>
        <v>---</v>
      </c>
      <c r="N1242" s="294"/>
      <c r="O1242" s="294"/>
      <c r="P1242" s="294"/>
      <c r="Q1242" s="294"/>
      <c r="R1242" s="294"/>
      <c r="S1242" s="294"/>
      <c r="T1242" s="294"/>
      <c r="U1242" s="295"/>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3"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4"/>
      <c r="L1243" s="295"/>
      <c r="M1243" s="293" t="str">
        <f>IF(AND(OR(E1237="SS",E1237="RPX",E1237="EUC",E1237="RPX-T"),(OR(C1247="",C1247="Field SPL"))),"Cannot have FlexNap cables without tethers","---")</f>
        <v>---</v>
      </c>
      <c r="N1243" s="294"/>
      <c r="O1243" s="294"/>
      <c r="P1243" s="294"/>
      <c r="Q1243" s="294"/>
      <c r="R1243" s="294"/>
      <c r="S1243" s="294"/>
      <c r="T1243" s="294"/>
      <c r="U1243" s="295"/>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3" t="str">
        <f>IF(AND(OR(E1237="RPX", E1237="RPX-T", E1237="SS"),E1238=216),"NO 216 For RPX, RPX-T, OR SS CABLE","---")</f>
        <v>---</v>
      </c>
      <c r="K1244" s="294"/>
      <c r="L1244" s="295"/>
      <c r="M1244" s="293" t="str" cm="1">
        <f t="array" ref="M1244">IF(AND(E1237="",OR(C1247:C1271="FST",C1247:C1271="REV T",C1247:C1271="DBL REV",C1247:C1271="TPL REV", C1247:C1271="QD REV")),"Non-FlexNap cables cannot have tethers","---")</f>
        <v>---</v>
      </c>
      <c r="N1244" s="294"/>
      <c r="O1244" s="294"/>
      <c r="P1244" s="294"/>
      <c r="Q1244" s="294"/>
      <c r="R1244" s="294"/>
      <c r="S1244" s="294"/>
      <c r="T1244" s="294"/>
      <c r="U1244" s="295"/>
      <c r="V1244" s="25"/>
      <c r="W1244" s="58"/>
      <c r="X1244" s="58"/>
      <c r="Y1244" s="25"/>
      <c r="Z1244" s="45">
        <v>6</v>
      </c>
      <c r="AA1244" s="65">
        <v>61</v>
      </c>
      <c r="AB1244" s="65">
        <v>72</v>
      </c>
      <c r="AC1244" s="25"/>
      <c r="AD1244" s="25"/>
      <c r="BA1244" s="226"/>
    </row>
    <row r="1245" spans="1:53" ht="15.75" customHeight="1" thickBot="1" x14ac:dyDescent="0.3">
      <c r="A1245" s="88"/>
      <c r="B1245" s="278" t="s">
        <v>260</v>
      </c>
      <c r="C1245" s="315" t="s">
        <v>261</v>
      </c>
      <c r="D1245" s="315" t="s">
        <v>262</v>
      </c>
      <c r="E1245" s="317" t="s">
        <v>263</v>
      </c>
      <c r="F1245" s="315" t="s">
        <v>264</v>
      </c>
      <c r="G1245" s="280" t="s">
        <v>265</v>
      </c>
      <c r="H1245" s="280" t="s">
        <v>266</v>
      </c>
      <c r="I1245" s="280" t="s">
        <v>267</v>
      </c>
      <c r="J1245" s="319" t="s">
        <v>268</v>
      </c>
      <c r="K1245" s="315" t="s">
        <v>269</v>
      </c>
      <c r="L1245" s="321" t="s">
        <v>270</v>
      </c>
      <c r="M1245" s="323" t="s">
        <v>271</v>
      </c>
      <c r="N1245" s="323"/>
      <c r="O1245" s="323"/>
      <c r="P1245" s="323"/>
      <c r="Q1245" s="323"/>
      <c r="R1245" s="323"/>
      <c r="S1245" s="323"/>
      <c r="T1245" s="323"/>
      <c r="U1245" s="324"/>
      <c r="V1245" s="107"/>
      <c r="W1245" s="72"/>
      <c r="X1245" s="72"/>
      <c r="Y1245" s="72"/>
      <c r="Z1245" s="45">
        <v>7</v>
      </c>
      <c r="AA1245" s="65">
        <v>73</v>
      </c>
      <c r="AB1245" s="65">
        <v>84</v>
      </c>
      <c r="AC1245" s="25"/>
      <c r="AD1245" s="25"/>
      <c r="BA1245" s="228"/>
    </row>
    <row r="1246" spans="1:53" ht="15.75" thickBot="1" x14ac:dyDescent="0.3">
      <c r="A1246" s="88"/>
      <c r="B1246" s="279"/>
      <c r="C1246" s="316"/>
      <c r="D1246" s="316"/>
      <c r="E1246" s="318"/>
      <c r="F1246" s="316"/>
      <c r="G1246" s="281"/>
      <c r="H1246" s="281"/>
      <c r="I1246" s="281"/>
      <c r="J1246" s="320"/>
      <c r="K1246" s="316"/>
      <c r="L1246" s="322"/>
      <c r="M1246" s="325"/>
      <c r="N1246" s="325"/>
      <c r="O1246" s="325"/>
      <c r="P1246" s="325"/>
      <c r="Q1246" s="325"/>
      <c r="R1246" s="325"/>
      <c r="S1246" s="325"/>
      <c r="T1246" s="325"/>
      <c r="U1246" s="326"/>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6"/>
      <c r="N1247" s="296"/>
      <c r="O1247" s="296"/>
      <c r="P1247" s="296"/>
      <c r="Q1247" s="296"/>
      <c r="R1247" s="296"/>
      <c r="S1247" s="296"/>
      <c r="T1247" s="296"/>
      <c r="U1247" s="297"/>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6"/>
      <c r="N1248" s="296"/>
      <c r="O1248" s="296"/>
      <c r="P1248" s="296"/>
      <c r="Q1248" s="296"/>
      <c r="R1248" s="296"/>
      <c r="S1248" s="296"/>
      <c r="T1248" s="296"/>
      <c r="U1248" s="297"/>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6"/>
      <c r="N1249" s="296"/>
      <c r="O1249" s="296"/>
      <c r="P1249" s="296"/>
      <c r="Q1249" s="296"/>
      <c r="R1249" s="296"/>
      <c r="S1249" s="296"/>
      <c r="T1249" s="296"/>
      <c r="U1249" s="297"/>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6"/>
      <c r="N1250" s="296"/>
      <c r="O1250" s="296"/>
      <c r="P1250" s="296"/>
      <c r="Q1250" s="296"/>
      <c r="R1250" s="296"/>
      <c r="S1250" s="296"/>
      <c r="T1250" s="296"/>
      <c r="U1250" s="297"/>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6"/>
      <c r="N1251" s="296"/>
      <c r="O1251" s="296"/>
      <c r="P1251" s="296"/>
      <c r="Q1251" s="296"/>
      <c r="R1251" s="296"/>
      <c r="S1251" s="296"/>
      <c r="T1251" s="296"/>
      <c r="U1251" s="297"/>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6"/>
      <c r="N1252" s="296"/>
      <c r="O1252" s="296"/>
      <c r="P1252" s="296"/>
      <c r="Q1252" s="296"/>
      <c r="R1252" s="296"/>
      <c r="S1252" s="296"/>
      <c r="T1252" s="296"/>
      <c r="U1252" s="297"/>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6"/>
      <c r="N1253" s="296"/>
      <c r="O1253" s="296"/>
      <c r="P1253" s="296"/>
      <c r="Q1253" s="296"/>
      <c r="R1253" s="296"/>
      <c r="S1253" s="296"/>
      <c r="T1253" s="296"/>
      <c r="U1253" s="297"/>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6"/>
      <c r="N1254" s="296"/>
      <c r="O1254" s="296"/>
      <c r="P1254" s="296"/>
      <c r="Q1254" s="296"/>
      <c r="R1254" s="296"/>
      <c r="S1254" s="296"/>
      <c r="T1254" s="296"/>
      <c r="U1254" s="297"/>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6"/>
      <c r="N1255" s="296"/>
      <c r="O1255" s="296"/>
      <c r="P1255" s="296"/>
      <c r="Q1255" s="296"/>
      <c r="R1255" s="296"/>
      <c r="S1255" s="296"/>
      <c r="T1255" s="296"/>
      <c r="U1255" s="297"/>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6"/>
      <c r="N1256" s="296"/>
      <c r="O1256" s="296"/>
      <c r="P1256" s="296"/>
      <c r="Q1256" s="296"/>
      <c r="R1256" s="296"/>
      <c r="S1256" s="296"/>
      <c r="T1256" s="296"/>
      <c r="U1256" s="297"/>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6"/>
      <c r="N1257" s="296"/>
      <c r="O1257" s="296"/>
      <c r="P1257" s="296"/>
      <c r="Q1257" s="296"/>
      <c r="R1257" s="296"/>
      <c r="S1257" s="296"/>
      <c r="T1257" s="296"/>
      <c r="U1257" s="297"/>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6"/>
      <c r="N1258" s="296"/>
      <c r="O1258" s="296"/>
      <c r="P1258" s="296"/>
      <c r="Q1258" s="296"/>
      <c r="R1258" s="296"/>
      <c r="S1258" s="296"/>
      <c r="T1258" s="296"/>
      <c r="U1258" s="297"/>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6"/>
      <c r="N1259" s="296"/>
      <c r="O1259" s="296"/>
      <c r="P1259" s="296"/>
      <c r="Q1259" s="296"/>
      <c r="R1259" s="296"/>
      <c r="S1259" s="296"/>
      <c r="T1259" s="296"/>
      <c r="U1259" s="297"/>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6"/>
      <c r="N1260" s="296"/>
      <c r="O1260" s="296"/>
      <c r="P1260" s="296"/>
      <c r="Q1260" s="296"/>
      <c r="R1260" s="296"/>
      <c r="S1260" s="296"/>
      <c r="T1260" s="296"/>
      <c r="U1260" s="297"/>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6"/>
      <c r="N1261" s="296"/>
      <c r="O1261" s="296"/>
      <c r="P1261" s="296"/>
      <c r="Q1261" s="296"/>
      <c r="R1261" s="296"/>
      <c r="S1261" s="296"/>
      <c r="T1261" s="296"/>
      <c r="U1261" s="297"/>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6"/>
      <c r="N1262" s="296"/>
      <c r="O1262" s="296"/>
      <c r="P1262" s="296"/>
      <c r="Q1262" s="296"/>
      <c r="R1262" s="296"/>
      <c r="S1262" s="296"/>
      <c r="T1262" s="296"/>
      <c r="U1262" s="297"/>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6"/>
      <c r="N1263" s="296"/>
      <c r="O1263" s="296"/>
      <c r="P1263" s="296"/>
      <c r="Q1263" s="296"/>
      <c r="R1263" s="296"/>
      <c r="S1263" s="296"/>
      <c r="T1263" s="296"/>
      <c r="U1263" s="297"/>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6"/>
      <c r="N1264" s="296"/>
      <c r="O1264" s="296"/>
      <c r="P1264" s="296"/>
      <c r="Q1264" s="296"/>
      <c r="R1264" s="296"/>
      <c r="S1264" s="296"/>
      <c r="T1264" s="296"/>
      <c r="U1264" s="297"/>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6"/>
      <c r="N1265" s="296"/>
      <c r="O1265" s="296"/>
      <c r="P1265" s="296"/>
      <c r="Q1265" s="296"/>
      <c r="R1265" s="296"/>
      <c r="S1265" s="296"/>
      <c r="T1265" s="296"/>
      <c r="U1265" s="297"/>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6"/>
      <c r="N1266" s="296"/>
      <c r="O1266" s="296"/>
      <c r="P1266" s="296"/>
      <c r="Q1266" s="296"/>
      <c r="R1266" s="296"/>
      <c r="S1266" s="296"/>
      <c r="T1266" s="296"/>
      <c r="U1266" s="297"/>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6"/>
      <c r="N1267" s="296"/>
      <c r="O1267" s="296"/>
      <c r="P1267" s="296"/>
      <c r="Q1267" s="296"/>
      <c r="R1267" s="296"/>
      <c r="S1267" s="296"/>
      <c r="T1267" s="296"/>
      <c r="U1267" s="297"/>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6"/>
      <c r="N1268" s="296"/>
      <c r="O1268" s="296"/>
      <c r="P1268" s="296"/>
      <c r="Q1268" s="296"/>
      <c r="R1268" s="296"/>
      <c r="S1268" s="296"/>
      <c r="T1268" s="296"/>
      <c r="U1268" s="297"/>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6"/>
      <c r="N1269" s="296"/>
      <c r="O1269" s="296"/>
      <c r="P1269" s="296"/>
      <c r="Q1269" s="296"/>
      <c r="R1269" s="296"/>
      <c r="S1269" s="296"/>
      <c r="T1269" s="296"/>
      <c r="U1269" s="297"/>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6"/>
      <c r="N1270" s="296"/>
      <c r="O1270" s="296"/>
      <c r="P1270" s="296"/>
      <c r="Q1270" s="296"/>
      <c r="R1270" s="296"/>
      <c r="S1270" s="296"/>
      <c r="T1270" s="296"/>
      <c r="U1270" s="297"/>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6"/>
      <c r="N1271" s="296"/>
      <c r="O1271" s="296"/>
      <c r="P1271" s="296"/>
      <c r="Q1271" s="296"/>
      <c r="R1271" s="296"/>
      <c r="S1271" s="296"/>
      <c r="T1271" s="296"/>
      <c r="U1271" s="297"/>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2" t="s">
        <v>365</v>
      </c>
      <c r="C1272" s="284"/>
      <c r="D1272" s="79"/>
      <c r="E1272" s="80"/>
      <c r="F1272" s="80"/>
      <c r="G1272" s="81"/>
      <c r="H1272" s="192"/>
      <c r="I1272" s="192"/>
      <c r="J1272" s="192"/>
      <c r="K1272" s="82"/>
      <c r="L1272" s="282" t="s">
        <v>306</v>
      </c>
      <c r="M1272" s="283"/>
      <c r="N1272" s="283"/>
      <c r="O1272" s="283"/>
      <c r="P1272" s="283"/>
      <c r="Q1272" s="283"/>
      <c r="R1272" s="283"/>
      <c r="S1272" s="283"/>
      <c r="T1272" s="283"/>
      <c r="U1272" s="284"/>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2" t="s">
        <v>307</v>
      </c>
      <c r="C1273" s="284"/>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5" t="s">
        <v>222</v>
      </c>
      <c r="C1277" s="286"/>
      <c r="D1277" s="287" t="s">
        <v>223</v>
      </c>
      <c r="E1277" s="288"/>
      <c r="F1277" s="88"/>
      <c r="G1277" s="289" t="s">
        <v>224</v>
      </c>
      <c r="H1277" s="290"/>
      <c r="I1277" s="28">
        <f>SUM(E1288:E1312)</f>
        <v>0</v>
      </c>
      <c r="J1277" s="291" t="s">
        <v>225</v>
      </c>
      <c r="K1277" s="292"/>
      <c r="L1277" s="288"/>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8" t="s">
        <v>226</v>
      </c>
      <c r="AA1277" s="299"/>
      <c r="AB1277" s="300"/>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1" t="s">
        <v>230</v>
      </c>
      <c r="H1278" s="288"/>
      <c r="I1278" s="33">
        <f>E1279-I1277</f>
        <v>0</v>
      </c>
      <c r="J1278" s="302" t="s">
        <v>231</v>
      </c>
      <c r="K1278" s="303"/>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4" t="s">
        <v>232</v>
      </c>
      <c r="AA1278" s="306" t="s">
        <v>233</v>
      </c>
      <c r="AB1278" s="307"/>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0" t="s">
        <v>237</v>
      </c>
      <c r="H1279" s="311"/>
      <c r="I1279" s="35">
        <f>IF(E1279=0,0,12-(MOD(I1277,12)))</f>
        <v>0</v>
      </c>
      <c r="J1279" s="302" t="s">
        <v>238</v>
      </c>
      <c r="K1279" s="303"/>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5"/>
      <c r="AA1279" s="308"/>
      <c r="AB1279" s="309"/>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8" t="s">
        <v>242</v>
      </c>
      <c r="H1280" s="43" t="s">
        <v>243</v>
      </c>
      <c r="I1280" s="35">
        <f>IF(E1280&lt;&gt;0,1,0)</f>
        <v>0</v>
      </c>
      <c r="J1280" s="310" t="s">
        <v>244</v>
      </c>
      <c r="K1280" s="31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9"/>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8" t="s">
        <v>251</v>
      </c>
      <c r="H1282" s="51" t="s">
        <v>252</v>
      </c>
      <c r="I1282" s="112">
        <f>E1281</f>
        <v>0</v>
      </c>
      <c r="J1282" s="312" t="s">
        <v>253</v>
      </c>
      <c r="K1282" s="313"/>
      <c r="L1282" s="31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9"/>
      <c r="H1283" s="47" t="s">
        <v>257</v>
      </c>
      <c r="I1283" s="35" t="str">
        <f>IF(E1281="","0",IF(AND(E1278="EUC",E1279=432), I1282+(203-E1280),IF(E1281=0,0,(E1281+(E1279-E1280)-1))))</f>
        <v>0</v>
      </c>
      <c r="J1283" s="293" t="str">
        <f>IFERROR(IF(OR(E1278="EUC",E1278="SS"),"---",IF(OR(P1277,S1277),"NO 2F Tethers for RPX!",IF(OR(P1279,S1279),"NO 6F Tethers for RPX!","---"))),"---")</f>
        <v>---</v>
      </c>
      <c r="K1283" s="294"/>
      <c r="L1283" s="295"/>
      <c r="M1283" s="293" t="str">
        <f>IF(E1280&gt;60,"Dead Count &gt;60: Consider Downsize","---")</f>
        <v>---</v>
      </c>
      <c r="N1283" s="294"/>
      <c r="O1283" s="294"/>
      <c r="P1283" s="294"/>
      <c r="Q1283" s="294"/>
      <c r="R1283" s="294"/>
      <c r="S1283" s="294"/>
      <c r="T1283" s="294"/>
      <c r="U1283" s="295"/>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3"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4"/>
      <c r="L1284" s="295"/>
      <c r="M1284" s="293" t="str">
        <f>IF(AND(OR(E1278="SS",E1278="RPX",E1278="EUC",E1278="RPX-T"),(OR(C1288="",C1288="Field SPL"))),"Cannot have FlexNap cables without tethers","---")</f>
        <v>---</v>
      </c>
      <c r="N1284" s="294"/>
      <c r="O1284" s="294"/>
      <c r="P1284" s="294"/>
      <c r="Q1284" s="294"/>
      <c r="R1284" s="294"/>
      <c r="S1284" s="294"/>
      <c r="T1284" s="294"/>
      <c r="U1284" s="295"/>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3" t="str">
        <f>IF(AND(OR(E1278="RPX", E1278="RPX-T", E1278="SS"),E1279=216),"NO 216 For RPX, RPX-T, OR SS CABLE","---")</f>
        <v>---</v>
      </c>
      <c r="K1285" s="294"/>
      <c r="L1285" s="295"/>
      <c r="M1285" s="293" t="str" cm="1">
        <f t="array" ref="M1285">IF(AND(E1278="",OR(C1288:C1312="FST",C1288:C1312="REV T",C1288:C1312="DBL REV",C1288:C1312="TPL REV", C1288:C1312="QD REV")),"Non-FlexNap cables cannot have tethers","---")</f>
        <v>---</v>
      </c>
      <c r="N1285" s="294"/>
      <c r="O1285" s="294"/>
      <c r="P1285" s="294"/>
      <c r="Q1285" s="294"/>
      <c r="R1285" s="294"/>
      <c r="S1285" s="294"/>
      <c r="T1285" s="294"/>
      <c r="U1285" s="295"/>
      <c r="V1285" s="25"/>
      <c r="W1285" s="58"/>
      <c r="X1285" s="58"/>
      <c r="Y1285" s="25"/>
      <c r="Z1285" s="45">
        <v>6</v>
      </c>
      <c r="AA1285" s="65">
        <v>61</v>
      </c>
      <c r="AB1285" s="65">
        <v>72</v>
      </c>
      <c r="AC1285" s="25"/>
      <c r="AD1285" s="25"/>
      <c r="BA1285" s="226"/>
    </row>
    <row r="1286" spans="1:53" ht="15.75" customHeight="1" thickBot="1" x14ac:dyDescent="0.3">
      <c r="A1286" s="88"/>
      <c r="B1286" s="278" t="s">
        <v>260</v>
      </c>
      <c r="C1286" s="315" t="s">
        <v>261</v>
      </c>
      <c r="D1286" s="315" t="s">
        <v>262</v>
      </c>
      <c r="E1286" s="317" t="s">
        <v>263</v>
      </c>
      <c r="F1286" s="315" t="s">
        <v>264</v>
      </c>
      <c r="G1286" s="280" t="s">
        <v>265</v>
      </c>
      <c r="H1286" s="280" t="s">
        <v>266</v>
      </c>
      <c r="I1286" s="280" t="s">
        <v>267</v>
      </c>
      <c r="J1286" s="319" t="s">
        <v>268</v>
      </c>
      <c r="K1286" s="315" t="s">
        <v>269</v>
      </c>
      <c r="L1286" s="321" t="s">
        <v>270</v>
      </c>
      <c r="M1286" s="323" t="s">
        <v>271</v>
      </c>
      <c r="N1286" s="323"/>
      <c r="O1286" s="323"/>
      <c r="P1286" s="323"/>
      <c r="Q1286" s="323"/>
      <c r="R1286" s="323"/>
      <c r="S1286" s="323"/>
      <c r="T1286" s="323"/>
      <c r="U1286" s="324"/>
      <c r="V1286" s="107"/>
      <c r="W1286" s="72"/>
      <c r="X1286" s="72"/>
      <c r="Y1286" s="72"/>
      <c r="Z1286" s="45">
        <v>7</v>
      </c>
      <c r="AA1286" s="65">
        <v>73</v>
      </c>
      <c r="AB1286" s="65">
        <v>84</v>
      </c>
      <c r="AC1286" s="25"/>
      <c r="AD1286" s="25"/>
      <c r="BA1286" s="228"/>
    </row>
    <row r="1287" spans="1:53" ht="15.75" thickBot="1" x14ac:dyDescent="0.3">
      <c r="A1287" s="88"/>
      <c r="B1287" s="279"/>
      <c r="C1287" s="316"/>
      <c r="D1287" s="316"/>
      <c r="E1287" s="318"/>
      <c r="F1287" s="316"/>
      <c r="G1287" s="281"/>
      <c r="H1287" s="281"/>
      <c r="I1287" s="281"/>
      <c r="J1287" s="320"/>
      <c r="K1287" s="316"/>
      <c r="L1287" s="322"/>
      <c r="M1287" s="325"/>
      <c r="N1287" s="325"/>
      <c r="O1287" s="325"/>
      <c r="P1287" s="325"/>
      <c r="Q1287" s="325"/>
      <c r="R1287" s="325"/>
      <c r="S1287" s="325"/>
      <c r="T1287" s="325"/>
      <c r="U1287" s="326"/>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6"/>
      <c r="N1288" s="296"/>
      <c r="O1288" s="296"/>
      <c r="P1288" s="296"/>
      <c r="Q1288" s="296"/>
      <c r="R1288" s="296"/>
      <c r="S1288" s="296"/>
      <c r="T1288" s="296"/>
      <c r="U1288" s="297"/>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6"/>
      <c r="N1289" s="296"/>
      <c r="O1289" s="296"/>
      <c r="P1289" s="296"/>
      <c r="Q1289" s="296"/>
      <c r="R1289" s="296"/>
      <c r="S1289" s="296"/>
      <c r="T1289" s="296"/>
      <c r="U1289" s="297"/>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6"/>
      <c r="N1290" s="296"/>
      <c r="O1290" s="296"/>
      <c r="P1290" s="296"/>
      <c r="Q1290" s="296"/>
      <c r="R1290" s="296"/>
      <c r="S1290" s="296"/>
      <c r="T1290" s="296"/>
      <c r="U1290" s="297"/>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6"/>
      <c r="N1291" s="296"/>
      <c r="O1291" s="296"/>
      <c r="P1291" s="296"/>
      <c r="Q1291" s="296"/>
      <c r="R1291" s="296"/>
      <c r="S1291" s="296"/>
      <c r="T1291" s="296"/>
      <c r="U1291" s="297"/>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6"/>
      <c r="N1292" s="296"/>
      <c r="O1292" s="296"/>
      <c r="P1292" s="296"/>
      <c r="Q1292" s="296"/>
      <c r="R1292" s="296"/>
      <c r="S1292" s="296"/>
      <c r="T1292" s="296"/>
      <c r="U1292" s="297"/>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6"/>
      <c r="N1293" s="296"/>
      <c r="O1293" s="296"/>
      <c r="P1293" s="296"/>
      <c r="Q1293" s="296"/>
      <c r="R1293" s="296"/>
      <c r="S1293" s="296"/>
      <c r="T1293" s="296"/>
      <c r="U1293" s="297"/>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6"/>
      <c r="N1294" s="296"/>
      <c r="O1294" s="296"/>
      <c r="P1294" s="296"/>
      <c r="Q1294" s="296"/>
      <c r="R1294" s="296"/>
      <c r="S1294" s="296"/>
      <c r="T1294" s="296"/>
      <c r="U1294" s="297"/>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6"/>
      <c r="N1295" s="296"/>
      <c r="O1295" s="296"/>
      <c r="P1295" s="296"/>
      <c r="Q1295" s="296"/>
      <c r="R1295" s="296"/>
      <c r="S1295" s="296"/>
      <c r="T1295" s="296"/>
      <c r="U1295" s="297"/>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6"/>
      <c r="N1296" s="296"/>
      <c r="O1296" s="296"/>
      <c r="P1296" s="296"/>
      <c r="Q1296" s="296"/>
      <c r="R1296" s="296"/>
      <c r="S1296" s="296"/>
      <c r="T1296" s="296"/>
      <c r="U1296" s="297"/>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6"/>
      <c r="N1297" s="296"/>
      <c r="O1297" s="296"/>
      <c r="P1297" s="296"/>
      <c r="Q1297" s="296"/>
      <c r="R1297" s="296"/>
      <c r="S1297" s="296"/>
      <c r="T1297" s="296"/>
      <c r="U1297" s="297"/>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6"/>
      <c r="N1298" s="296"/>
      <c r="O1298" s="296"/>
      <c r="P1298" s="296"/>
      <c r="Q1298" s="296"/>
      <c r="R1298" s="296"/>
      <c r="S1298" s="296"/>
      <c r="T1298" s="296"/>
      <c r="U1298" s="297"/>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6"/>
      <c r="N1299" s="296"/>
      <c r="O1299" s="296"/>
      <c r="P1299" s="296"/>
      <c r="Q1299" s="296"/>
      <c r="R1299" s="296"/>
      <c r="S1299" s="296"/>
      <c r="T1299" s="296"/>
      <c r="U1299" s="297"/>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6"/>
      <c r="N1300" s="296"/>
      <c r="O1300" s="296"/>
      <c r="P1300" s="296"/>
      <c r="Q1300" s="296"/>
      <c r="R1300" s="296"/>
      <c r="S1300" s="296"/>
      <c r="T1300" s="296"/>
      <c r="U1300" s="297"/>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6"/>
      <c r="N1301" s="296"/>
      <c r="O1301" s="296"/>
      <c r="P1301" s="296"/>
      <c r="Q1301" s="296"/>
      <c r="R1301" s="296"/>
      <c r="S1301" s="296"/>
      <c r="T1301" s="296"/>
      <c r="U1301" s="297"/>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6"/>
      <c r="N1302" s="296"/>
      <c r="O1302" s="296"/>
      <c r="P1302" s="296"/>
      <c r="Q1302" s="296"/>
      <c r="R1302" s="296"/>
      <c r="S1302" s="296"/>
      <c r="T1302" s="296"/>
      <c r="U1302" s="297"/>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6"/>
      <c r="N1303" s="296"/>
      <c r="O1303" s="296"/>
      <c r="P1303" s="296"/>
      <c r="Q1303" s="296"/>
      <c r="R1303" s="296"/>
      <c r="S1303" s="296"/>
      <c r="T1303" s="296"/>
      <c r="U1303" s="297"/>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6"/>
      <c r="N1304" s="296"/>
      <c r="O1304" s="296"/>
      <c r="P1304" s="296"/>
      <c r="Q1304" s="296"/>
      <c r="R1304" s="296"/>
      <c r="S1304" s="296"/>
      <c r="T1304" s="296"/>
      <c r="U1304" s="297"/>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6"/>
      <c r="N1305" s="296"/>
      <c r="O1305" s="296"/>
      <c r="P1305" s="296"/>
      <c r="Q1305" s="296"/>
      <c r="R1305" s="296"/>
      <c r="S1305" s="296"/>
      <c r="T1305" s="296"/>
      <c r="U1305" s="297"/>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6"/>
      <c r="N1306" s="296"/>
      <c r="O1306" s="296"/>
      <c r="P1306" s="296"/>
      <c r="Q1306" s="296"/>
      <c r="R1306" s="296"/>
      <c r="S1306" s="296"/>
      <c r="T1306" s="296"/>
      <c r="U1306" s="297"/>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6"/>
      <c r="N1307" s="296"/>
      <c r="O1307" s="296"/>
      <c r="P1307" s="296"/>
      <c r="Q1307" s="296"/>
      <c r="R1307" s="296"/>
      <c r="S1307" s="296"/>
      <c r="T1307" s="296"/>
      <c r="U1307" s="297"/>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6"/>
      <c r="N1308" s="296"/>
      <c r="O1308" s="296"/>
      <c r="P1308" s="296"/>
      <c r="Q1308" s="296"/>
      <c r="R1308" s="296"/>
      <c r="S1308" s="296"/>
      <c r="T1308" s="296"/>
      <c r="U1308" s="297"/>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6"/>
      <c r="N1309" s="296"/>
      <c r="O1309" s="296"/>
      <c r="P1309" s="296"/>
      <c r="Q1309" s="296"/>
      <c r="R1309" s="296"/>
      <c r="S1309" s="296"/>
      <c r="T1309" s="296"/>
      <c r="U1309" s="297"/>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6"/>
      <c r="N1310" s="296"/>
      <c r="O1310" s="296"/>
      <c r="P1310" s="296"/>
      <c r="Q1310" s="296"/>
      <c r="R1310" s="296"/>
      <c r="S1310" s="296"/>
      <c r="T1310" s="296"/>
      <c r="U1310" s="297"/>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6"/>
      <c r="N1311" s="296"/>
      <c r="O1311" s="296"/>
      <c r="P1311" s="296"/>
      <c r="Q1311" s="296"/>
      <c r="R1311" s="296"/>
      <c r="S1311" s="296"/>
      <c r="T1311" s="296"/>
      <c r="U1311" s="297"/>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6"/>
      <c r="N1312" s="296"/>
      <c r="O1312" s="296"/>
      <c r="P1312" s="296"/>
      <c r="Q1312" s="296"/>
      <c r="R1312" s="296"/>
      <c r="S1312" s="296"/>
      <c r="T1312" s="296"/>
      <c r="U1312" s="297"/>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2" t="s">
        <v>367</v>
      </c>
      <c r="C1313" s="284"/>
      <c r="D1313" s="79"/>
      <c r="E1313" s="80"/>
      <c r="F1313" s="80"/>
      <c r="G1313" s="81"/>
      <c r="H1313" s="192"/>
      <c r="I1313" s="192"/>
      <c r="J1313" s="192"/>
      <c r="K1313" s="82"/>
      <c r="L1313" s="282" t="s">
        <v>306</v>
      </c>
      <c r="M1313" s="283"/>
      <c r="N1313" s="283"/>
      <c r="O1313" s="283"/>
      <c r="P1313" s="283"/>
      <c r="Q1313" s="283"/>
      <c r="R1313" s="283"/>
      <c r="S1313" s="283"/>
      <c r="T1313" s="283"/>
      <c r="U1313" s="284"/>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2" t="s">
        <v>307</v>
      </c>
      <c r="C1314" s="284"/>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5" t="s">
        <v>222</v>
      </c>
      <c r="C1318" s="286"/>
      <c r="D1318" s="287" t="s">
        <v>223</v>
      </c>
      <c r="E1318" s="288"/>
      <c r="F1318" s="88"/>
      <c r="G1318" s="289" t="s">
        <v>224</v>
      </c>
      <c r="H1318" s="290"/>
      <c r="I1318" s="28">
        <f>SUM(E1329:E1353)</f>
        <v>0</v>
      </c>
      <c r="J1318" s="291" t="s">
        <v>225</v>
      </c>
      <c r="K1318" s="292"/>
      <c r="L1318" s="288"/>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8" t="s">
        <v>226</v>
      </c>
      <c r="AA1318" s="299"/>
      <c r="AB1318" s="300"/>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1" t="s">
        <v>230</v>
      </c>
      <c r="H1319" s="288"/>
      <c r="I1319" s="33">
        <f>E1320-I1318</f>
        <v>0</v>
      </c>
      <c r="J1319" s="302" t="s">
        <v>231</v>
      </c>
      <c r="K1319" s="303"/>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4" t="s">
        <v>232</v>
      </c>
      <c r="AA1319" s="306" t="s">
        <v>233</v>
      </c>
      <c r="AB1319" s="307"/>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0" t="s">
        <v>237</v>
      </c>
      <c r="H1320" s="311"/>
      <c r="I1320" s="35">
        <f>IF(E1320=0,0,12-(MOD(I1318,12)))</f>
        <v>0</v>
      </c>
      <c r="J1320" s="302" t="s">
        <v>238</v>
      </c>
      <c r="K1320" s="303"/>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5"/>
      <c r="AA1320" s="308"/>
      <c r="AB1320" s="309"/>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8" t="s">
        <v>242</v>
      </c>
      <c r="H1321" s="43" t="s">
        <v>243</v>
      </c>
      <c r="I1321" s="35">
        <f>IF(E1321&lt;&gt;0,1,0)</f>
        <v>0</v>
      </c>
      <c r="J1321" s="310" t="s">
        <v>244</v>
      </c>
      <c r="K1321" s="31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9"/>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8" t="s">
        <v>251</v>
      </c>
      <c r="H1323" s="51" t="s">
        <v>252</v>
      </c>
      <c r="I1323" s="112">
        <f>E1322</f>
        <v>0</v>
      </c>
      <c r="J1323" s="312" t="s">
        <v>253</v>
      </c>
      <c r="K1323" s="313"/>
      <c r="L1323" s="31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9"/>
      <c r="H1324" s="47" t="s">
        <v>257</v>
      </c>
      <c r="I1324" s="35" t="str">
        <f>IF(E1322="","0",IF(AND(E1319="EUC",E1320=432), I1323+(203-E1321),IF(E1322=0,0,(E1322+(E1320-E1321)-1))))</f>
        <v>0</v>
      </c>
      <c r="J1324" s="293" t="str">
        <f>IFERROR(IF(OR(E1319="EUC",E1319="SS"),"---",IF(OR(P1318,S1318),"NO 2F Tethers for RPX!",IF(OR(P1320,S1320),"NO 6F Tethers for RPX!","---"))),"---")</f>
        <v>---</v>
      </c>
      <c r="K1324" s="294"/>
      <c r="L1324" s="295"/>
      <c r="M1324" s="293" t="str">
        <f>IF(E1321&gt;60,"Dead Count &gt;60: Consider Downsize","---")</f>
        <v>---</v>
      </c>
      <c r="N1324" s="294"/>
      <c r="O1324" s="294"/>
      <c r="P1324" s="294"/>
      <c r="Q1324" s="294"/>
      <c r="R1324" s="294"/>
      <c r="S1324" s="294"/>
      <c r="T1324" s="294"/>
      <c r="U1324" s="295"/>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3"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4"/>
      <c r="L1325" s="295"/>
      <c r="M1325" s="293" t="str">
        <f>IF(AND(OR(E1319="SS",E1319="RPX",E1319="EUC",E1319="RPX-T"),(OR(C1329="",C1329="Field SPL"))),"Cannot have FlexNap cables without tethers","---")</f>
        <v>---</v>
      </c>
      <c r="N1325" s="294"/>
      <c r="O1325" s="294"/>
      <c r="P1325" s="294"/>
      <c r="Q1325" s="294"/>
      <c r="R1325" s="294"/>
      <c r="S1325" s="294"/>
      <c r="T1325" s="294"/>
      <c r="U1325" s="295"/>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3" t="str">
        <f>IF(AND(OR(E1319="RPX", E1319="RPX-T", E1319="SS"),E1320=216),"NO 216 For RPX, RPX-T, OR SS CABLE","---")</f>
        <v>---</v>
      </c>
      <c r="K1326" s="294"/>
      <c r="L1326" s="295"/>
      <c r="M1326" s="293" t="str" cm="1">
        <f t="array" ref="M1326">IF(AND(E1319="",OR(C1329:C1353="FST",C1329:C1353="REV T",C1329:C1353="DBL REV",C1329:C1353="TPL REV", C1329:C1353="QD REV")),"Non-FlexNap cables cannot have tethers","---")</f>
        <v>---</v>
      </c>
      <c r="N1326" s="294"/>
      <c r="O1326" s="294"/>
      <c r="P1326" s="294"/>
      <c r="Q1326" s="294"/>
      <c r="R1326" s="294"/>
      <c r="S1326" s="294"/>
      <c r="T1326" s="294"/>
      <c r="U1326" s="295"/>
      <c r="V1326" s="25"/>
      <c r="W1326" s="58"/>
      <c r="X1326" s="58"/>
      <c r="Y1326" s="25"/>
      <c r="Z1326" s="45">
        <v>6</v>
      </c>
      <c r="AA1326" s="65">
        <v>61</v>
      </c>
      <c r="AB1326" s="65">
        <v>72</v>
      </c>
      <c r="AC1326" s="25"/>
      <c r="AD1326" s="25"/>
      <c r="BA1326" s="226"/>
    </row>
    <row r="1327" spans="1:53" ht="15.75" customHeight="1" thickBot="1" x14ac:dyDescent="0.3">
      <c r="A1327" s="88"/>
      <c r="B1327" s="278" t="s">
        <v>260</v>
      </c>
      <c r="C1327" s="315" t="s">
        <v>261</v>
      </c>
      <c r="D1327" s="315" t="s">
        <v>262</v>
      </c>
      <c r="E1327" s="317" t="s">
        <v>263</v>
      </c>
      <c r="F1327" s="315" t="s">
        <v>264</v>
      </c>
      <c r="G1327" s="280" t="s">
        <v>265</v>
      </c>
      <c r="H1327" s="280" t="s">
        <v>266</v>
      </c>
      <c r="I1327" s="280" t="s">
        <v>267</v>
      </c>
      <c r="J1327" s="319" t="s">
        <v>268</v>
      </c>
      <c r="K1327" s="315" t="s">
        <v>269</v>
      </c>
      <c r="L1327" s="321" t="s">
        <v>270</v>
      </c>
      <c r="M1327" s="323" t="s">
        <v>271</v>
      </c>
      <c r="N1327" s="323"/>
      <c r="O1327" s="323"/>
      <c r="P1327" s="323"/>
      <c r="Q1327" s="323"/>
      <c r="R1327" s="323"/>
      <c r="S1327" s="323"/>
      <c r="T1327" s="323"/>
      <c r="U1327" s="324"/>
      <c r="V1327" s="107"/>
      <c r="W1327" s="72"/>
      <c r="X1327" s="72"/>
      <c r="Y1327" s="72"/>
      <c r="Z1327" s="45">
        <v>7</v>
      </c>
      <c r="AA1327" s="65">
        <v>73</v>
      </c>
      <c r="AB1327" s="65">
        <v>84</v>
      </c>
      <c r="AC1327" s="25"/>
      <c r="AD1327" s="25"/>
      <c r="BA1327" s="228"/>
    </row>
    <row r="1328" spans="1:53" ht="15.75" thickBot="1" x14ac:dyDescent="0.3">
      <c r="A1328" s="88"/>
      <c r="B1328" s="279"/>
      <c r="C1328" s="316"/>
      <c r="D1328" s="316"/>
      <c r="E1328" s="318"/>
      <c r="F1328" s="316"/>
      <c r="G1328" s="281"/>
      <c r="H1328" s="281"/>
      <c r="I1328" s="281"/>
      <c r="J1328" s="320"/>
      <c r="K1328" s="316"/>
      <c r="L1328" s="322"/>
      <c r="M1328" s="325"/>
      <c r="N1328" s="325"/>
      <c r="O1328" s="325"/>
      <c r="P1328" s="325"/>
      <c r="Q1328" s="325"/>
      <c r="R1328" s="325"/>
      <c r="S1328" s="325"/>
      <c r="T1328" s="325"/>
      <c r="U1328" s="326"/>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6"/>
      <c r="N1329" s="296"/>
      <c r="O1329" s="296"/>
      <c r="P1329" s="296"/>
      <c r="Q1329" s="296"/>
      <c r="R1329" s="296"/>
      <c r="S1329" s="296"/>
      <c r="T1329" s="296"/>
      <c r="U1329" s="297"/>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6"/>
      <c r="N1330" s="296"/>
      <c r="O1330" s="296"/>
      <c r="P1330" s="296"/>
      <c r="Q1330" s="296"/>
      <c r="R1330" s="296"/>
      <c r="S1330" s="296"/>
      <c r="T1330" s="296"/>
      <c r="U1330" s="297"/>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6"/>
      <c r="N1331" s="296"/>
      <c r="O1331" s="296"/>
      <c r="P1331" s="296"/>
      <c r="Q1331" s="296"/>
      <c r="R1331" s="296"/>
      <c r="S1331" s="296"/>
      <c r="T1331" s="296"/>
      <c r="U1331" s="297"/>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6"/>
      <c r="N1332" s="296"/>
      <c r="O1332" s="296"/>
      <c r="P1332" s="296"/>
      <c r="Q1332" s="296"/>
      <c r="R1332" s="296"/>
      <c r="S1332" s="296"/>
      <c r="T1332" s="296"/>
      <c r="U1332" s="297"/>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6"/>
      <c r="N1333" s="296"/>
      <c r="O1333" s="296"/>
      <c r="P1333" s="296"/>
      <c r="Q1333" s="296"/>
      <c r="R1333" s="296"/>
      <c r="S1333" s="296"/>
      <c r="T1333" s="296"/>
      <c r="U1333" s="297"/>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6"/>
      <c r="N1334" s="296"/>
      <c r="O1334" s="296"/>
      <c r="P1334" s="296"/>
      <c r="Q1334" s="296"/>
      <c r="R1334" s="296"/>
      <c r="S1334" s="296"/>
      <c r="T1334" s="296"/>
      <c r="U1334" s="297"/>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6"/>
      <c r="N1335" s="296"/>
      <c r="O1335" s="296"/>
      <c r="P1335" s="296"/>
      <c r="Q1335" s="296"/>
      <c r="R1335" s="296"/>
      <c r="S1335" s="296"/>
      <c r="T1335" s="296"/>
      <c r="U1335" s="297"/>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6"/>
      <c r="N1336" s="296"/>
      <c r="O1336" s="296"/>
      <c r="P1336" s="296"/>
      <c r="Q1336" s="296"/>
      <c r="R1336" s="296"/>
      <c r="S1336" s="296"/>
      <c r="T1336" s="296"/>
      <c r="U1336" s="297"/>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6"/>
      <c r="N1337" s="296"/>
      <c r="O1337" s="296"/>
      <c r="P1337" s="296"/>
      <c r="Q1337" s="296"/>
      <c r="R1337" s="296"/>
      <c r="S1337" s="296"/>
      <c r="T1337" s="296"/>
      <c r="U1337" s="297"/>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6"/>
      <c r="N1338" s="296"/>
      <c r="O1338" s="296"/>
      <c r="P1338" s="296"/>
      <c r="Q1338" s="296"/>
      <c r="R1338" s="296"/>
      <c r="S1338" s="296"/>
      <c r="T1338" s="296"/>
      <c r="U1338" s="297"/>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6"/>
      <c r="N1339" s="296"/>
      <c r="O1339" s="296"/>
      <c r="P1339" s="296"/>
      <c r="Q1339" s="296"/>
      <c r="R1339" s="296"/>
      <c r="S1339" s="296"/>
      <c r="T1339" s="296"/>
      <c r="U1339" s="297"/>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6"/>
      <c r="N1340" s="296"/>
      <c r="O1340" s="296"/>
      <c r="P1340" s="296"/>
      <c r="Q1340" s="296"/>
      <c r="R1340" s="296"/>
      <c r="S1340" s="296"/>
      <c r="T1340" s="296"/>
      <c r="U1340" s="297"/>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6"/>
      <c r="N1341" s="296"/>
      <c r="O1341" s="296"/>
      <c r="P1341" s="296"/>
      <c r="Q1341" s="296"/>
      <c r="R1341" s="296"/>
      <c r="S1341" s="296"/>
      <c r="T1341" s="296"/>
      <c r="U1341" s="297"/>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6"/>
      <c r="N1342" s="296"/>
      <c r="O1342" s="296"/>
      <c r="P1342" s="296"/>
      <c r="Q1342" s="296"/>
      <c r="R1342" s="296"/>
      <c r="S1342" s="296"/>
      <c r="T1342" s="296"/>
      <c r="U1342" s="297"/>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6"/>
      <c r="N1343" s="296"/>
      <c r="O1343" s="296"/>
      <c r="P1343" s="296"/>
      <c r="Q1343" s="296"/>
      <c r="R1343" s="296"/>
      <c r="S1343" s="296"/>
      <c r="T1343" s="296"/>
      <c r="U1343" s="297"/>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6"/>
      <c r="N1344" s="296"/>
      <c r="O1344" s="296"/>
      <c r="P1344" s="296"/>
      <c r="Q1344" s="296"/>
      <c r="R1344" s="296"/>
      <c r="S1344" s="296"/>
      <c r="T1344" s="296"/>
      <c r="U1344" s="297"/>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6"/>
      <c r="N1345" s="296"/>
      <c r="O1345" s="296"/>
      <c r="P1345" s="296"/>
      <c r="Q1345" s="296"/>
      <c r="R1345" s="296"/>
      <c r="S1345" s="296"/>
      <c r="T1345" s="296"/>
      <c r="U1345" s="297"/>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6"/>
      <c r="N1346" s="296"/>
      <c r="O1346" s="296"/>
      <c r="P1346" s="296"/>
      <c r="Q1346" s="296"/>
      <c r="R1346" s="296"/>
      <c r="S1346" s="296"/>
      <c r="T1346" s="296"/>
      <c r="U1346" s="297"/>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6"/>
      <c r="N1347" s="296"/>
      <c r="O1347" s="296"/>
      <c r="P1347" s="296"/>
      <c r="Q1347" s="296"/>
      <c r="R1347" s="296"/>
      <c r="S1347" s="296"/>
      <c r="T1347" s="296"/>
      <c r="U1347" s="297"/>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6"/>
      <c r="N1348" s="296"/>
      <c r="O1348" s="296"/>
      <c r="P1348" s="296"/>
      <c r="Q1348" s="296"/>
      <c r="R1348" s="296"/>
      <c r="S1348" s="296"/>
      <c r="T1348" s="296"/>
      <c r="U1348" s="297"/>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6"/>
      <c r="N1349" s="296"/>
      <c r="O1349" s="296"/>
      <c r="P1349" s="296"/>
      <c r="Q1349" s="296"/>
      <c r="R1349" s="296"/>
      <c r="S1349" s="296"/>
      <c r="T1349" s="296"/>
      <c r="U1349" s="297"/>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6"/>
      <c r="N1350" s="296"/>
      <c r="O1350" s="296"/>
      <c r="P1350" s="296"/>
      <c r="Q1350" s="296"/>
      <c r="R1350" s="296"/>
      <c r="S1350" s="296"/>
      <c r="T1350" s="296"/>
      <c r="U1350" s="297"/>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6"/>
      <c r="N1351" s="296"/>
      <c r="O1351" s="296"/>
      <c r="P1351" s="296"/>
      <c r="Q1351" s="296"/>
      <c r="R1351" s="296"/>
      <c r="S1351" s="296"/>
      <c r="T1351" s="296"/>
      <c r="U1351" s="297"/>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6"/>
      <c r="N1352" s="296"/>
      <c r="O1352" s="296"/>
      <c r="P1352" s="296"/>
      <c r="Q1352" s="296"/>
      <c r="R1352" s="296"/>
      <c r="S1352" s="296"/>
      <c r="T1352" s="296"/>
      <c r="U1352" s="297"/>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6"/>
      <c r="N1353" s="296"/>
      <c r="O1353" s="296"/>
      <c r="P1353" s="296"/>
      <c r="Q1353" s="296"/>
      <c r="R1353" s="296"/>
      <c r="S1353" s="296"/>
      <c r="T1353" s="296"/>
      <c r="U1353" s="297"/>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2" t="s">
        <v>369</v>
      </c>
      <c r="C1354" s="284"/>
      <c r="D1354" s="79"/>
      <c r="E1354" s="80"/>
      <c r="F1354" s="80"/>
      <c r="G1354" s="81"/>
      <c r="H1354" s="192"/>
      <c r="I1354" s="192"/>
      <c r="J1354" s="192"/>
      <c r="K1354" s="82"/>
      <c r="L1354" s="282" t="s">
        <v>306</v>
      </c>
      <c r="M1354" s="283"/>
      <c r="N1354" s="283"/>
      <c r="O1354" s="283"/>
      <c r="P1354" s="283"/>
      <c r="Q1354" s="283"/>
      <c r="R1354" s="283"/>
      <c r="S1354" s="283"/>
      <c r="T1354" s="283"/>
      <c r="U1354" s="284"/>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2" t="s">
        <v>307</v>
      </c>
      <c r="C1355" s="284"/>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5" t="s">
        <v>222</v>
      </c>
      <c r="C1359" s="286"/>
      <c r="D1359" s="287" t="s">
        <v>223</v>
      </c>
      <c r="E1359" s="288"/>
      <c r="F1359" s="88"/>
      <c r="G1359" s="289" t="s">
        <v>224</v>
      </c>
      <c r="H1359" s="290"/>
      <c r="I1359" s="28">
        <f>SUM(E1370:E1394)</f>
        <v>0</v>
      </c>
      <c r="J1359" s="291" t="s">
        <v>225</v>
      </c>
      <c r="K1359" s="292"/>
      <c r="L1359" s="288"/>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8" t="s">
        <v>226</v>
      </c>
      <c r="AA1359" s="299"/>
      <c r="AB1359" s="300"/>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1" t="s">
        <v>230</v>
      </c>
      <c r="H1360" s="288"/>
      <c r="I1360" s="33">
        <f>E1361-I1359</f>
        <v>0</v>
      </c>
      <c r="J1360" s="302" t="s">
        <v>231</v>
      </c>
      <c r="K1360" s="303"/>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4" t="s">
        <v>232</v>
      </c>
      <c r="AA1360" s="306" t="s">
        <v>233</v>
      </c>
      <c r="AB1360" s="307"/>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0" t="s">
        <v>237</v>
      </c>
      <c r="H1361" s="311"/>
      <c r="I1361" s="35">
        <f>IF(E1361=0,0,12-(MOD(I1359,12)))</f>
        <v>0</v>
      </c>
      <c r="J1361" s="302" t="s">
        <v>238</v>
      </c>
      <c r="K1361" s="303"/>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5"/>
      <c r="AA1361" s="308"/>
      <c r="AB1361" s="309"/>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8" t="s">
        <v>242</v>
      </c>
      <c r="H1362" s="43" t="s">
        <v>243</v>
      </c>
      <c r="I1362" s="35">
        <f>IF(E1362&lt;&gt;0,1,0)</f>
        <v>0</v>
      </c>
      <c r="J1362" s="310" t="s">
        <v>244</v>
      </c>
      <c r="K1362" s="31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9"/>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8" t="s">
        <v>251</v>
      </c>
      <c r="H1364" s="51" t="s">
        <v>252</v>
      </c>
      <c r="I1364" s="112">
        <f>E1363</f>
        <v>0</v>
      </c>
      <c r="J1364" s="312" t="s">
        <v>253</v>
      </c>
      <c r="K1364" s="313"/>
      <c r="L1364" s="31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9"/>
      <c r="H1365" s="47" t="s">
        <v>257</v>
      </c>
      <c r="I1365" s="35" t="str">
        <f>IF(E1363="","0",IF(AND(E1360="EUC",E1361=432), I1364+(203-E1362),IF(E1363=0,0,(E1363+(E1361-E1362)-1))))</f>
        <v>0</v>
      </c>
      <c r="J1365" s="293" t="str">
        <f>IFERROR(IF(OR(E1360="EUC",E1360="SS"),"---",IF(OR(P1359,S1359),"NO 2F Tethers for RPX!",IF(OR(P1361,S1361),"NO 6F Tethers for RPX!","---"))),"---")</f>
        <v>---</v>
      </c>
      <c r="K1365" s="294"/>
      <c r="L1365" s="295"/>
      <c r="M1365" s="293" t="str">
        <f>IF(E1362&gt;60,"Dead Count &gt;60: Consider Downsize","---")</f>
        <v>---</v>
      </c>
      <c r="N1365" s="294"/>
      <c r="O1365" s="294"/>
      <c r="P1365" s="294"/>
      <c r="Q1365" s="294"/>
      <c r="R1365" s="294"/>
      <c r="S1365" s="294"/>
      <c r="T1365" s="294"/>
      <c r="U1365" s="295"/>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3"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4"/>
      <c r="L1366" s="295"/>
      <c r="M1366" s="293" t="str">
        <f>IF(AND(OR(E1360="SS",E1360="RPX",E1360="EUC",E1360="RPX-T"),(OR(C1370="",C1370="Field SPL"))),"Cannot have FlexNap cables without tethers","---")</f>
        <v>---</v>
      </c>
      <c r="N1366" s="294"/>
      <c r="O1366" s="294"/>
      <c r="P1366" s="294"/>
      <c r="Q1366" s="294"/>
      <c r="R1366" s="294"/>
      <c r="S1366" s="294"/>
      <c r="T1366" s="294"/>
      <c r="U1366" s="295"/>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3" t="str">
        <f>IF(AND(OR(E1360="RPX", E1360="RPX-T", E1360="SS"),E1361=216),"NO 216 For RPX, RPX-T, OR SS CABLE","---")</f>
        <v>---</v>
      </c>
      <c r="K1367" s="294"/>
      <c r="L1367" s="295"/>
      <c r="M1367" s="293" t="str" cm="1">
        <f t="array" ref="M1367">IF(AND(E1360="",OR(C1370:C1394="FST",C1370:C1394="REV T",C1370:C1394="DBL REV",C1370:C1394="TPL REV", C1370:C1394="QD REV")),"Non-FlexNap cables cannot have tethers","---")</f>
        <v>---</v>
      </c>
      <c r="N1367" s="294"/>
      <c r="O1367" s="294"/>
      <c r="P1367" s="294"/>
      <c r="Q1367" s="294"/>
      <c r="R1367" s="294"/>
      <c r="S1367" s="294"/>
      <c r="T1367" s="294"/>
      <c r="U1367" s="295"/>
      <c r="V1367" s="25"/>
      <c r="W1367" s="58"/>
      <c r="X1367" s="58"/>
      <c r="Y1367" s="25"/>
      <c r="Z1367" s="45">
        <v>6</v>
      </c>
      <c r="AA1367" s="65">
        <v>61</v>
      </c>
      <c r="AB1367" s="65">
        <v>72</v>
      </c>
      <c r="AC1367" s="25"/>
      <c r="AD1367" s="25"/>
      <c r="BA1367" s="226"/>
    </row>
    <row r="1368" spans="1:53" ht="15.75" customHeight="1" thickBot="1" x14ac:dyDescent="0.3">
      <c r="A1368" s="88"/>
      <c r="B1368" s="278" t="s">
        <v>260</v>
      </c>
      <c r="C1368" s="315" t="s">
        <v>261</v>
      </c>
      <c r="D1368" s="315" t="s">
        <v>262</v>
      </c>
      <c r="E1368" s="317" t="s">
        <v>263</v>
      </c>
      <c r="F1368" s="315" t="s">
        <v>264</v>
      </c>
      <c r="G1368" s="280" t="s">
        <v>265</v>
      </c>
      <c r="H1368" s="280" t="s">
        <v>266</v>
      </c>
      <c r="I1368" s="280" t="s">
        <v>267</v>
      </c>
      <c r="J1368" s="319" t="s">
        <v>268</v>
      </c>
      <c r="K1368" s="315" t="s">
        <v>269</v>
      </c>
      <c r="L1368" s="321" t="s">
        <v>270</v>
      </c>
      <c r="M1368" s="323" t="s">
        <v>271</v>
      </c>
      <c r="N1368" s="323"/>
      <c r="O1368" s="323"/>
      <c r="P1368" s="323"/>
      <c r="Q1368" s="323"/>
      <c r="R1368" s="323"/>
      <c r="S1368" s="323"/>
      <c r="T1368" s="323"/>
      <c r="U1368" s="324"/>
      <c r="V1368" s="107"/>
      <c r="W1368" s="72"/>
      <c r="X1368" s="72"/>
      <c r="Y1368" s="72"/>
      <c r="Z1368" s="45">
        <v>7</v>
      </c>
      <c r="AA1368" s="65">
        <v>73</v>
      </c>
      <c r="AB1368" s="65">
        <v>84</v>
      </c>
      <c r="AC1368" s="25"/>
      <c r="AD1368" s="25"/>
      <c r="BA1368" s="228"/>
    </row>
    <row r="1369" spans="1:53" ht="15.75" thickBot="1" x14ac:dyDescent="0.3">
      <c r="A1369" s="88"/>
      <c r="B1369" s="279"/>
      <c r="C1369" s="316"/>
      <c r="D1369" s="316"/>
      <c r="E1369" s="318"/>
      <c r="F1369" s="316"/>
      <c r="G1369" s="281"/>
      <c r="H1369" s="281"/>
      <c r="I1369" s="281"/>
      <c r="J1369" s="320"/>
      <c r="K1369" s="316"/>
      <c r="L1369" s="322"/>
      <c r="M1369" s="325"/>
      <c r="N1369" s="325"/>
      <c r="O1369" s="325"/>
      <c r="P1369" s="325"/>
      <c r="Q1369" s="325"/>
      <c r="R1369" s="325"/>
      <c r="S1369" s="325"/>
      <c r="T1369" s="325"/>
      <c r="U1369" s="326"/>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6"/>
      <c r="N1370" s="296"/>
      <c r="O1370" s="296"/>
      <c r="P1370" s="296"/>
      <c r="Q1370" s="296"/>
      <c r="R1370" s="296"/>
      <c r="S1370" s="296"/>
      <c r="T1370" s="296"/>
      <c r="U1370" s="297"/>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6"/>
      <c r="N1371" s="296"/>
      <c r="O1371" s="296"/>
      <c r="P1371" s="296"/>
      <c r="Q1371" s="296"/>
      <c r="R1371" s="296"/>
      <c r="S1371" s="296"/>
      <c r="T1371" s="296"/>
      <c r="U1371" s="297"/>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6"/>
      <c r="N1372" s="296"/>
      <c r="O1372" s="296"/>
      <c r="P1372" s="296"/>
      <c r="Q1372" s="296"/>
      <c r="R1372" s="296"/>
      <c r="S1372" s="296"/>
      <c r="T1372" s="296"/>
      <c r="U1372" s="297"/>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6"/>
      <c r="N1373" s="296"/>
      <c r="O1373" s="296"/>
      <c r="P1373" s="296"/>
      <c r="Q1373" s="296"/>
      <c r="R1373" s="296"/>
      <c r="S1373" s="296"/>
      <c r="T1373" s="296"/>
      <c r="U1373" s="297"/>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6"/>
      <c r="N1374" s="296"/>
      <c r="O1374" s="296"/>
      <c r="P1374" s="296"/>
      <c r="Q1374" s="296"/>
      <c r="R1374" s="296"/>
      <c r="S1374" s="296"/>
      <c r="T1374" s="296"/>
      <c r="U1374" s="297"/>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6"/>
      <c r="N1375" s="296"/>
      <c r="O1375" s="296"/>
      <c r="P1375" s="296"/>
      <c r="Q1375" s="296"/>
      <c r="R1375" s="296"/>
      <c r="S1375" s="296"/>
      <c r="T1375" s="296"/>
      <c r="U1375" s="297"/>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6"/>
      <c r="N1376" s="296"/>
      <c r="O1376" s="296"/>
      <c r="P1376" s="296"/>
      <c r="Q1376" s="296"/>
      <c r="R1376" s="296"/>
      <c r="S1376" s="296"/>
      <c r="T1376" s="296"/>
      <c r="U1376" s="297"/>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6"/>
      <c r="N1377" s="296"/>
      <c r="O1377" s="296"/>
      <c r="P1377" s="296"/>
      <c r="Q1377" s="296"/>
      <c r="R1377" s="296"/>
      <c r="S1377" s="296"/>
      <c r="T1377" s="296"/>
      <c r="U1377" s="297"/>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6"/>
      <c r="N1378" s="296"/>
      <c r="O1378" s="296"/>
      <c r="P1378" s="296"/>
      <c r="Q1378" s="296"/>
      <c r="R1378" s="296"/>
      <c r="S1378" s="296"/>
      <c r="T1378" s="296"/>
      <c r="U1378" s="297"/>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6"/>
      <c r="N1379" s="296"/>
      <c r="O1379" s="296"/>
      <c r="P1379" s="296"/>
      <c r="Q1379" s="296"/>
      <c r="R1379" s="296"/>
      <c r="S1379" s="296"/>
      <c r="T1379" s="296"/>
      <c r="U1379" s="297"/>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6"/>
      <c r="N1380" s="296"/>
      <c r="O1380" s="296"/>
      <c r="P1380" s="296"/>
      <c r="Q1380" s="296"/>
      <c r="R1380" s="296"/>
      <c r="S1380" s="296"/>
      <c r="T1380" s="296"/>
      <c r="U1380" s="297"/>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6"/>
      <c r="N1381" s="296"/>
      <c r="O1381" s="296"/>
      <c r="P1381" s="296"/>
      <c r="Q1381" s="296"/>
      <c r="R1381" s="296"/>
      <c r="S1381" s="296"/>
      <c r="T1381" s="296"/>
      <c r="U1381" s="297"/>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6"/>
      <c r="N1382" s="296"/>
      <c r="O1382" s="296"/>
      <c r="P1382" s="296"/>
      <c r="Q1382" s="296"/>
      <c r="R1382" s="296"/>
      <c r="S1382" s="296"/>
      <c r="T1382" s="296"/>
      <c r="U1382" s="297"/>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6"/>
      <c r="N1383" s="296"/>
      <c r="O1383" s="296"/>
      <c r="P1383" s="296"/>
      <c r="Q1383" s="296"/>
      <c r="R1383" s="296"/>
      <c r="S1383" s="296"/>
      <c r="T1383" s="296"/>
      <c r="U1383" s="297"/>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6"/>
      <c r="N1384" s="296"/>
      <c r="O1384" s="296"/>
      <c r="P1384" s="296"/>
      <c r="Q1384" s="296"/>
      <c r="R1384" s="296"/>
      <c r="S1384" s="296"/>
      <c r="T1384" s="296"/>
      <c r="U1384" s="297"/>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6"/>
      <c r="N1385" s="296"/>
      <c r="O1385" s="296"/>
      <c r="P1385" s="296"/>
      <c r="Q1385" s="296"/>
      <c r="R1385" s="296"/>
      <c r="S1385" s="296"/>
      <c r="T1385" s="296"/>
      <c r="U1385" s="297"/>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6"/>
      <c r="N1386" s="296"/>
      <c r="O1386" s="296"/>
      <c r="P1386" s="296"/>
      <c r="Q1386" s="296"/>
      <c r="R1386" s="296"/>
      <c r="S1386" s="296"/>
      <c r="T1386" s="296"/>
      <c r="U1386" s="297"/>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6"/>
      <c r="N1387" s="296"/>
      <c r="O1387" s="296"/>
      <c r="P1387" s="296"/>
      <c r="Q1387" s="296"/>
      <c r="R1387" s="296"/>
      <c r="S1387" s="296"/>
      <c r="T1387" s="296"/>
      <c r="U1387" s="297"/>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6"/>
      <c r="N1388" s="296"/>
      <c r="O1388" s="296"/>
      <c r="P1388" s="296"/>
      <c r="Q1388" s="296"/>
      <c r="R1388" s="296"/>
      <c r="S1388" s="296"/>
      <c r="T1388" s="296"/>
      <c r="U1388" s="297"/>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6"/>
      <c r="N1389" s="296"/>
      <c r="O1389" s="296"/>
      <c r="P1389" s="296"/>
      <c r="Q1389" s="296"/>
      <c r="R1389" s="296"/>
      <c r="S1389" s="296"/>
      <c r="T1389" s="296"/>
      <c r="U1389" s="297"/>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6"/>
      <c r="N1390" s="296"/>
      <c r="O1390" s="296"/>
      <c r="P1390" s="296"/>
      <c r="Q1390" s="296"/>
      <c r="R1390" s="296"/>
      <c r="S1390" s="296"/>
      <c r="T1390" s="296"/>
      <c r="U1390" s="297"/>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6"/>
      <c r="N1391" s="296"/>
      <c r="O1391" s="296"/>
      <c r="P1391" s="296"/>
      <c r="Q1391" s="296"/>
      <c r="R1391" s="296"/>
      <c r="S1391" s="296"/>
      <c r="T1391" s="296"/>
      <c r="U1391" s="297"/>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6"/>
      <c r="N1392" s="296"/>
      <c r="O1392" s="296"/>
      <c r="P1392" s="296"/>
      <c r="Q1392" s="296"/>
      <c r="R1392" s="296"/>
      <c r="S1392" s="296"/>
      <c r="T1392" s="296"/>
      <c r="U1392" s="297"/>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6"/>
      <c r="N1393" s="296"/>
      <c r="O1393" s="296"/>
      <c r="P1393" s="296"/>
      <c r="Q1393" s="296"/>
      <c r="R1393" s="296"/>
      <c r="S1393" s="296"/>
      <c r="T1393" s="296"/>
      <c r="U1393" s="297"/>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6"/>
      <c r="N1394" s="296"/>
      <c r="O1394" s="296"/>
      <c r="P1394" s="296"/>
      <c r="Q1394" s="296"/>
      <c r="R1394" s="296"/>
      <c r="S1394" s="296"/>
      <c r="T1394" s="296"/>
      <c r="U1394" s="297"/>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2" t="s">
        <v>371</v>
      </c>
      <c r="C1395" s="284"/>
      <c r="D1395" s="79"/>
      <c r="E1395" s="80"/>
      <c r="F1395" s="80"/>
      <c r="G1395" s="81"/>
      <c r="H1395" s="192"/>
      <c r="I1395" s="192"/>
      <c r="J1395" s="192"/>
      <c r="K1395" s="82"/>
      <c r="L1395" s="282" t="s">
        <v>306</v>
      </c>
      <c r="M1395" s="283"/>
      <c r="N1395" s="283"/>
      <c r="O1395" s="283"/>
      <c r="P1395" s="283"/>
      <c r="Q1395" s="283"/>
      <c r="R1395" s="283"/>
      <c r="S1395" s="283"/>
      <c r="T1395" s="283"/>
      <c r="U1395" s="284"/>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2" t="s">
        <v>307</v>
      </c>
      <c r="C1396" s="284"/>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5" t="s">
        <v>222</v>
      </c>
      <c r="C1400" s="286"/>
      <c r="D1400" s="287" t="s">
        <v>223</v>
      </c>
      <c r="E1400" s="288"/>
      <c r="F1400" s="88"/>
      <c r="G1400" s="289" t="s">
        <v>224</v>
      </c>
      <c r="H1400" s="290"/>
      <c r="I1400" s="28">
        <f>SUM(E1411:E1435)</f>
        <v>0</v>
      </c>
      <c r="J1400" s="291" t="s">
        <v>225</v>
      </c>
      <c r="K1400" s="292"/>
      <c r="L1400" s="288"/>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8" t="s">
        <v>226</v>
      </c>
      <c r="AA1400" s="299"/>
      <c r="AB1400" s="300"/>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1" t="s">
        <v>230</v>
      </c>
      <c r="H1401" s="288"/>
      <c r="I1401" s="33">
        <f>E1402-I1400</f>
        <v>0</v>
      </c>
      <c r="J1401" s="302" t="s">
        <v>231</v>
      </c>
      <c r="K1401" s="303"/>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4" t="s">
        <v>232</v>
      </c>
      <c r="AA1401" s="306" t="s">
        <v>233</v>
      </c>
      <c r="AB1401" s="307"/>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0" t="s">
        <v>237</v>
      </c>
      <c r="H1402" s="311"/>
      <c r="I1402" s="35">
        <f>IF(E1402=0,0,12-(MOD(I1400,12)))</f>
        <v>0</v>
      </c>
      <c r="J1402" s="302" t="s">
        <v>238</v>
      </c>
      <c r="K1402" s="303"/>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5"/>
      <c r="AA1402" s="308"/>
      <c r="AB1402" s="309"/>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8" t="s">
        <v>242</v>
      </c>
      <c r="H1403" s="43" t="s">
        <v>243</v>
      </c>
      <c r="I1403" s="35">
        <f>IF(E1403&lt;&gt;0,1,0)</f>
        <v>0</v>
      </c>
      <c r="J1403" s="310" t="s">
        <v>244</v>
      </c>
      <c r="K1403" s="31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9"/>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8" t="s">
        <v>251</v>
      </c>
      <c r="H1405" s="51" t="s">
        <v>252</v>
      </c>
      <c r="I1405" s="112">
        <f>E1404</f>
        <v>0</v>
      </c>
      <c r="J1405" s="312" t="s">
        <v>253</v>
      </c>
      <c r="K1405" s="313"/>
      <c r="L1405" s="31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9"/>
      <c r="H1406" s="47" t="s">
        <v>257</v>
      </c>
      <c r="I1406" s="35" t="str">
        <f>IF(E1404="","0",IF(AND(E1401="EUC",E1402=432), I1405+(203-E1403),IF(E1404=0,0,(E1404+(E1402-E1403)-1))))</f>
        <v>0</v>
      </c>
      <c r="J1406" s="293" t="str">
        <f>IFERROR(IF(OR(E1401="EUC",E1401="SS"),"---",IF(OR(P1400,S1400),"NO 2F Tethers for RPX!",IF(OR(P1402,S1402),"NO 6F Tethers for RPX!","---"))),"---")</f>
        <v>---</v>
      </c>
      <c r="K1406" s="294"/>
      <c r="L1406" s="295"/>
      <c r="M1406" s="293" t="str">
        <f>IF(E1403&gt;60,"Dead Count &gt;60: Consider Downsize","---")</f>
        <v>---</v>
      </c>
      <c r="N1406" s="294"/>
      <c r="O1406" s="294"/>
      <c r="P1406" s="294"/>
      <c r="Q1406" s="294"/>
      <c r="R1406" s="294"/>
      <c r="S1406" s="294"/>
      <c r="T1406" s="294"/>
      <c r="U1406" s="295"/>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3"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4"/>
      <c r="L1407" s="295"/>
      <c r="M1407" s="293" t="str">
        <f>IF(AND(OR(E1401="SS",E1401="RPX",E1401="EUC",E1401="RPX-T"),(OR(C1411="",C1411="Field SPL"))),"Cannot have FlexNap cables without tethers","---")</f>
        <v>---</v>
      </c>
      <c r="N1407" s="294"/>
      <c r="O1407" s="294"/>
      <c r="P1407" s="294"/>
      <c r="Q1407" s="294"/>
      <c r="R1407" s="294"/>
      <c r="S1407" s="294"/>
      <c r="T1407" s="294"/>
      <c r="U1407" s="295"/>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3" t="str">
        <f>IF(AND(OR(E1401="RPX", E1401="RPX-T", E1401="SS"),E1402=216),"NO 216 For RPX, RPX-T, OR SS CABLE","---")</f>
        <v>---</v>
      </c>
      <c r="K1408" s="294"/>
      <c r="L1408" s="295"/>
      <c r="M1408" s="293" t="str" cm="1">
        <f t="array" ref="M1408">IF(AND(E1401="",OR(C1411:C1435="FST",C1411:C1435="REV T",C1411:C1435="DBL REV",C1411:C1435="TPL REV", C1411:C1435="QD REV")),"Non-FlexNap cables cannot have tethers","---")</f>
        <v>---</v>
      </c>
      <c r="N1408" s="294"/>
      <c r="O1408" s="294"/>
      <c r="P1408" s="294"/>
      <c r="Q1408" s="294"/>
      <c r="R1408" s="294"/>
      <c r="S1408" s="294"/>
      <c r="T1408" s="294"/>
      <c r="U1408" s="295"/>
      <c r="V1408" s="25"/>
      <c r="W1408" s="58"/>
      <c r="X1408" s="58"/>
      <c r="Y1408" s="25"/>
      <c r="Z1408" s="45">
        <v>6</v>
      </c>
      <c r="AA1408" s="65">
        <v>61</v>
      </c>
      <c r="AB1408" s="65">
        <v>72</v>
      </c>
      <c r="AC1408" s="25"/>
      <c r="AD1408" s="25"/>
      <c r="BA1408" s="226"/>
    </row>
    <row r="1409" spans="1:53" ht="15.75" customHeight="1" thickBot="1" x14ac:dyDescent="0.3">
      <c r="A1409" s="88"/>
      <c r="B1409" s="278" t="s">
        <v>260</v>
      </c>
      <c r="C1409" s="315" t="s">
        <v>261</v>
      </c>
      <c r="D1409" s="315" t="s">
        <v>262</v>
      </c>
      <c r="E1409" s="317" t="s">
        <v>263</v>
      </c>
      <c r="F1409" s="315" t="s">
        <v>264</v>
      </c>
      <c r="G1409" s="280" t="s">
        <v>265</v>
      </c>
      <c r="H1409" s="280" t="s">
        <v>266</v>
      </c>
      <c r="I1409" s="280" t="s">
        <v>267</v>
      </c>
      <c r="J1409" s="319" t="s">
        <v>268</v>
      </c>
      <c r="K1409" s="315" t="s">
        <v>269</v>
      </c>
      <c r="L1409" s="321" t="s">
        <v>270</v>
      </c>
      <c r="M1409" s="323" t="s">
        <v>271</v>
      </c>
      <c r="N1409" s="323"/>
      <c r="O1409" s="323"/>
      <c r="P1409" s="323"/>
      <c r="Q1409" s="323"/>
      <c r="R1409" s="323"/>
      <c r="S1409" s="323"/>
      <c r="T1409" s="323"/>
      <c r="U1409" s="324"/>
      <c r="V1409" s="107"/>
      <c r="W1409" s="72"/>
      <c r="X1409" s="72"/>
      <c r="Y1409" s="72"/>
      <c r="Z1409" s="45">
        <v>7</v>
      </c>
      <c r="AA1409" s="65">
        <v>73</v>
      </c>
      <c r="AB1409" s="65">
        <v>84</v>
      </c>
      <c r="AC1409" s="25"/>
      <c r="AD1409" s="25"/>
      <c r="BA1409" s="228"/>
    </row>
    <row r="1410" spans="1:53" ht="15.75" thickBot="1" x14ac:dyDescent="0.3">
      <c r="A1410" s="88"/>
      <c r="B1410" s="279"/>
      <c r="C1410" s="316"/>
      <c r="D1410" s="316"/>
      <c r="E1410" s="318"/>
      <c r="F1410" s="316"/>
      <c r="G1410" s="281"/>
      <c r="H1410" s="281"/>
      <c r="I1410" s="281"/>
      <c r="J1410" s="320"/>
      <c r="K1410" s="316"/>
      <c r="L1410" s="322"/>
      <c r="M1410" s="325"/>
      <c r="N1410" s="325"/>
      <c r="O1410" s="325"/>
      <c r="P1410" s="325"/>
      <c r="Q1410" s="325"/>
      <c r="R1410" s="325"/>
      <c r="S1410" s="325"/>
      <c r="T1410" s="325"/>
      <c r="U1410" s="326"/>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6"/>
      <c r="N1411" s="296"/>
      <c r="O1411" s="296"/>
      <c r="P1411" s="296"/>
      <c r="Q1411" s="296"/>
      <c r="R1411" s="296"/>
      <c r="S1411" s="296"/>
      <c r="T1411" s="296"/>
      <c r="U1411" s="297"/>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6"/>
      <c r="N1412" s="296"/>
      <c r="O1412" s="296"/>
      <c r="P1412" s="296"/>
      <c r="Q1412" s="296"/>
      <c r="R1412" s="296"/>
      <c r="S1412" s="296"/>
      <c r="T1412" s="296"/>
      <c r="U1412" s="297"/>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6"/>
      <c r="N1413" s="296"/>
      <c r="O1413" s="296"/>
      <c r="P1413" s="296"/>
      <c r="Q1413" s="296"/>
      <c r="R1413" s="296"/>
      <c r="S1413" s="296"/>
      <c r="T1413" s="296"/>
      <c r="U1413" s="297"/>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6"/>
      <c r="N1414" s="296"/>
      <c r="O1414" s="296"/>
      <c r="P1414" s="296"/>
      <c r="Q1414" s="296"/>
      <c r="R1414" s="296"/>
      <c r="S1414" s="296"/>
      <c r="T1414" s="296"/>
      <c r="U1414" s="297"/>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6"/>
      <c r="N1415" s="296"/>
      <c r="O1415" s="296"/>
      <c r="P1415" s="296"/>
      <c r="Q1415" s="296"/>
      <c r="R1415" s="296"/>
      <c r="S1415" s="296"/>
      <c r="T1415" s="296"/>
      <c r="U1415" s="297"/>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6"/>
      <c r="N1416" s="296"/>
      <c r="O1416" s="296"/>
      <c r="P1416" s="296"/>
      <c r="Q1416" s="296"/>
      <c r="R1416" s="296"/>
      <c r="S1416" s="296"/>
      <c r="T1416" s="296"/>
      <c r="U1416" s="297"/>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6"/>
      <c r="N1417" s="296"/>
      <c r="O1417" s="296"/>
      <c r="P1417" s="296"/>
      <c r="Q1417" s="296"/>
      <c r="R1417" s="296"/>
      <c r="S1417" s="296"/>
      <c r="T1417" s="296"/>
      <c r="U1417" s="297"/>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6"/>
      <c r="N1418" s="296"/>
      <c r="O1418" s="296"/>
      <c r="P1418" s="296"/>
      <c r="Q1418" s="296"/>
      <c r="R1418" s="296"/>
      <c r="S1418" s="296"/>
      <c r="T1418" s="296"/>
      <c r="U1418" s="297"/>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6"/>
      <c r="N1419" s="296"/>
      <c r="O1419" s="296"/>
      <c r="P1419" s="296"/>
      <c r="Q1419" s="296"/>
      <c r="R1419" s="296"/>
      <c r="S1419" s="296"/>
      <c r="T1419" s="296"/>
      <c r="U1419" s="297"/>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6"/>
      <c r="N1420" s="296"/>
      <c r="O1420" s="296"/>
      <c r="P1420" s="296"/>
      <c r="Q1420" s="296"/>
      <c r="R1420" s="296"/>
      <c r="S1420" s="296"/>
      <c r="T1420" s="296"/>
      <c r="U1420" s="297"/>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6"/>
      <c r="N1421" s="296"/>
      <c r="O1421" s="296"/>
      <c r="P1421" s="296"/>
      <c r="Q1421" s="296"/>
      <c r="R1421" s="296"/>
      <c r="S1421" s="296"/>
      <c r="T1421" s="296"/>
      <c r="U1421" s="297"/>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6"/>
      <c r="N1422" s="296"/>
      <c r="O1422" s="296"/>
      <c r="P1422" s="296"/>
      <c r="Q1422" s="296"/>
      <c r="R1422" s="296"/>
      <c r="S1422" s="296"/>
      <c r="T1422" s="296"/>
      <c r="U1422" s="297"/>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6"/>
      <c r="N1423" s="296"/>
      <c r="O1423" s="296"/>
      <c r="P1423" s="296"/>
      <c r="Q1423" s="296"/>
      <c r="R1423" s="296"/>
      <c r="S1423" s="296"/>
      <c r="T1423" s="296"/>
      <c r="U1423" s="297"/>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6"/>
      <c r="N1424" s="296"/>
      <c r="O1424" s="296"/>
      <c r="P1424" s="296"/>
      <c r="Q1424" s="296"/>
      <c r="R1424" s="296"/>
      <c r="S1424" s="296"/>
      <c r="T1424" s="296"/>
      <c r="U1424" s="297"/>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6"/>
      <c r="N1425" s="296"/>
      <c r="O1425" s="296"/>
      <c r="P1425" s="296"/>
      <c r="Q1425" s="296"/>
      <c r="R1425" s="296"/>
      <c r="S1425" s="296"/>
      <c r="T1425" s="296"/>
      <c r="U1425" s="297"/>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6"/>
      <c r="N1426" s="296"/>
      <c r="O1426" s="296"/>
      <c r="P1426" s="296"/>
      <c r="Q1426" s="296"/>
      <c r="R1426" s="296"/>
      <c r="S1426" s="296"/>
      <c r="T1426" s="296"/>
      <c r="U1426" s="297"/>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6"/>
      <c r="N1427" s="296"/>
      <c r="O1427" s="296"/>
      <c r="P1427" s="296"/>
      <c r="Q1427" s="296"/>
      <c r="R1427" s="296"/>
      <c r="S1427" s="296"/>
      <c r="T1427" s="296"/>
      <c r="U1427" s="297"/>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6"/>
      <c r="N1428" s="296"/>
      <c r="O1428" s="296"/>
      <c r="P1428" s="296"/>
      <c r="Q1428" s="296"/>
      <c r="R1428" s="296"/>
      <c r="S1428" s="296"/>
      <c r="T1428" s="296"/>
      <c r="U1428" s="297"/>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6"/>
      <c r="N1429" s="296"/>
      <c r="O1429" s="296"/>
      <c r="P1429" s="296"/>
      <c r="Q1429" s="296"/>
      <c r="R1429" s="296"/>
      <c r="S1429" s="296"/>
      <c r="T1429" s="296"/>
      <c r="U1429" s="297"/>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6"/>
      <c r="N1430" s="296"/>
      <c r="O1430" s="296"/>
      <c r="P1430" s="296"/>
      <c r="Q1430" s="296"/>
      <c r="R1430" s="296"/>
      <c r="S1430" s="296"/>
      <c r="T1430" s="296"/>
      <c r="U1430" s="297"/>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6"/>
      <c r="N1431" s="296"/>
      <c r="O1431" s="296"/>
      <c r="P1431" s="296"/>
      <c r="Q1431" s="296"/>
      <c r="R1431" s="296"/>
      <c r="S1431" s="296"/>
      <c r="T1431" s="296"/>
      <c r="U1431" s="297"/>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6"/>
      <c r="N1432" s="296"/>
      <c r="O1432" s="296"/>
      <c r="P1432" s="296"/>
      <c r="Q1432" s="296"/>
      <c r="R1432" s="296"/>
      <c r="S1432" s="296"/>
      <c r="T1432" s="296"/>
      <c r="U1432" s="297"/>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6"/>
      <c r="N1433" s="296"/>
      <c r="O1433" s="296"/>
      <c r="P1433" s="296"/>
      <c r="Q1433" s="296"/>
      <c r="R1433" s="296"/>
      <c r="S1433" s="296"/>
      <c r="T1433" s="296"/>
      <c r="U1433" s="297"/>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6"/>
      <c r="N1434" s="296"/>
      <c r="O1434" s="296"/>
      <c r="P1434" s="296"/>
      <c r="Q1434" s="296"/>
      <c r="R1434" s="296"/>
      <c r="S1434" s="296"/>
      <c r="T1434" s="296"/>
      <c r="U1434" s="297"/>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6"/>
      <c r="N1435" s="296"/>
      <c r="O1435" s="296"/>
      <c r="P1435" s="296"/>
      <c r="Q1435" s="296"/>
      <c r="R1435" s="296"/>
      <c r="S1435" s="296"/>
      <c r="T1435" s="296"/>
      <c r="U1435" s="297"/>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2" t="s">
        <v>373</v>
      </c>
      <c r="C1436" s="284"/>
      <c r="D1436" s="79"/>
      <c r="E1436" s="80"/>
      <c r="F1436" s="80"/>
      <c r="G1436" s="81"/>
      <c r="H1436" s="192"/>
      <c r="I1436" s="192"/>
      <c r="J1436" s="192"/>
      <c r="K1436" s="82"/>
      <c r="L1436" s="282" t="s">
        <v>306</v>
      </c>
      <c r="M1436" s="283"/>
      <c r="N1436" s="283"/>
      <c r="O1436" s="283"/>
      <c r="P1436" s="283"/>
      <c r="Q1436" s="283"/>
      <c r="R1436" s="283"/>
      <c r="S1436" s="283"/>
      <c r="T1436" s="283"/>
      <c r="U1436" s="284"/>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2" t="s">
        <v>307</v>
      </c>
      <c r="C1437" s="284"/>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5" t="s">
        <v>222</v>
      </c>
      <c r="C1441" s="286"/>
      <c r="D1441" s="287" t="s">
        <v>223</v>
      </c>
      <c r="E1441" s="288"/>
      <c r="F1441" s="88"/>
      <c r="G1441" s="289" t="s">
        <v>224</v>
      </c>
      <c r="H1441" s="290"/>
      <c r="I1441" s="28">
        <f>SUM(E1452:E1476)</f>
        <v>0</v>
      </c>
      <c r="J1441" s="291" t="s">
        <v>225</v>
      </c>
      <c r="K1441" s="292"/>
      <c r="L1441" s="288"/>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8" t="s">
        <v>226</v>
      </c>
      <c r="AA1441" s="299"/>
      <c r="AB1441" s="300"/>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1" t="s">
        <v>230</v>
      </c>
      <c r="H1442" s="288"/>
      <c r="I1442" s="33">
        <f>E1443-I1441</f>
        <v>0</v>
      </c>
      <c r="J1442" s="302" t="s">
        <v>231</v>
      </c>
      <c r="K1442" s="303"/>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4" t="s">
        <v>232</v>
      </c>
      <c r="AA1442" s="306" t="s">
        <v>233</v>
      </c>
      <c r="AB1442" s="307"/>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0" t="s">
        <v>237</v>
      </c>
      <c r="H1443" s="311"/>
      <c r="I1443" s="35">
        <f>IF(E1443=0,0,12-(MOD(I1441,12)))</f>
        <v>0</v>
      </c>
      <c r="J1443" s="302" t="s">
        <v>238</v>
      </c>
      <c r="K1443" s="303"/>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5"/>
      <c r="AA1443" s="308"/>
      <c r="AB1443" s="309"/>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8" t="s">
        <v>242</v>
      </c>
      <c r="H1444" s="43" t="s">
        <v>243</v>
      </c>
      <c r="I1444" s="35">
        <f>IF(E1444&lt;&gt;0,1,0)</f>
        <v>0</v>
      </c>
      <c r="J1444" s="310" t="s">
        <v>244</v>
      </c>
      <c r="K1444" s="31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9"/>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8" t="s">
        <v>251</v>
      </c>
      <c r="H1446" s="51" t="s">
        <v>252</v>
      </c>
      <c r="I1446" s="112">
        <f>E1445</f>
        <v>0</v>
      </c>
      <c r="J1446" s="312" t="s">
        <v>253</v>
      </c>
      <c r="K1446" s="313"/>
      <c r="L1446" s="31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9"/>
      <c r="H1447" s="47" t="s">
        <v>257</v>
      </c>
      <c r="I1447" s="35" t="str">
        <f>IF(E1445="","0",IF(AND(E1442="EUC",E1443=432), I1446+(203-E1444),IF(E1445=0,0,(E1445+(E1443-E1444)-1))))</f>
        <v>0</v>
      </c>
      <c r="J1447" s="293" t="str">
        <f>IFERROR(IF(OR(E1442="EUC",E1442="SS"),"---",IF(OR(P1441,S1441),"NO 2F Tethers for RPX!",IF(OR(P1443,S1443),"NO 6F Tethers for RPX!","---"))),"---")</f>
        <v>---</v>
      </c>
      <c r="K1447" s="294"/>
      <c r="L1447" s="295"/>
      <c r="M1447" s="293" t="str">
        <f>IF(E1444&gt;60,"Dead Count &gt;60: Consider Downsize","---")</f>
        <v>---</v>
      </c>
      <c r="N1447" s="294"/>
      <c r="O1447" s="294"/>
      <c r="P1447" s="294"/>
      <c r="Q1447" s="294"/>
      <c r="R1447" s="294"/>
      <c r="S1447" s="294"/>
      <c r="T1447" s="294"/>
      <c r="U1447" s="295"/>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3"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4"/>
      <c r="L1448" s="295"/>
      <c r="M1448" s="293" t="str">
        <f>IF(AND(OR(E1442="SS",E1442="RPX",E1442="EUC",E1442="RPX-T"),(OR(C1452="",C1452="Field SPL"))),"Cannot have FlexNap cables without tethers","---")</f>
        <v>---</v>
      </c>
      <c r="N1448" s="294"/>
      <c r="O1448" s="294"/>
      <c r="P1448" s="294"/>
      <c r="Q1448" s="294"/>
      <c r="R1448" s="294"/>
      <c r="S1448" s="294"/>
      <c r="T1448" s="294"/>
      <c r="U1448" s="295"/>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3" t="str">
        <f>IF(AND(OR(E1442="RPX", E1442="RPX-T", E1442="SS"),E1443=216),"NO 216 For RPX, RPX-T, OR SS CABLE","---")</f>
        <v>---</v>
      </c>
      <c r="K1449" s="294"/>
      <c r="L1449" s="295"/>
      <c r="M1449" s="293" t="str" cm="1">
        <f t="array" ref="M1449">IF(AND(E1442="",OR(C1452:C1476="FST",C1452:C1476="REV T",C1452:C1476="DBL REV",C1452:C1476="TPL REV", C1452:C1476="QD REV")),"Non-FlexNap cables cannot have tethers","---")</f>
        <v>---</v>
      </c>
      <c r="N1449" s="294"/>
      <c r="O1449" s="294"/>
      <c r="P1449" s="294"/>
      <c r="Q1449" s="294"/>
      <c r="R1449" s="294"/>
      <c r="S1449" s="294"/>
      <c r="T1449" s="294"/>
      <c r="U1449" s="295"/>
      <c r="V1449" s="25"/>
      <c r="W1449" s="58"/>
      <c r="X1449" s="58"/>
      <c r="Y1449" s="25"/>
      <c r="Z1449" s="45">
        <v>6</v>
      </c>
      <c r="AA1449" s="65">
        <v>61</v>
      </c>
      <c r="AB1449" s="65">
        <v>72</v>
      </c>
      <c r="AC1449" s="25"/>
      <c r="AD1449" s="25"/>
      <c r="BA1449" s="226"/>
    </row>
    <row r="1450" spans="1:53" ht="15.75" customHeight="1" thickBot="1" x14ac:dyDescent="0.3">
      <c r="A1450" s="88"/>
      <c r="B1450" s="278" t="s">
        <v>260</v>
      </c>
      <c r="C1450" s="315" t="s">
        <v>261</v>
      </c>
      <c r="D1450" s="315" t="s">
        <v>262</v>
      </c>
      <c r="E1450" s="317" t="s">
        <v>263</v>
      </c>
      <c r="F1450" s="315" t="s">
        <v>264</v>
      </c>
      <c r="G1450" s="280" t="s">
        <v>265</v>
      </c>
      <c r="H1450" s="280" t="s">
        <v>266</v>
      </c>
      <c r="I1450" s="280" t="s">
        <v>267</v>
      </c>
      <c r="J1450" s="319" t="s">
        <v>268</v>
      </c>
      <c r="K1450" s="315" t="s">
        <v>269</v>
      </c>
      <c r="L1450" s="321" t="s">
        <v>270</v>
      </c>
      <c r="M1450" s="323" t="s">
        <v>271</v>
      </c>
      <c r="N1450" s="323"/>
      <c r="O1450" s="323"/>
      <c r="P1450" s="323"/>
      <c r="Q1450" s="323"/>
      <c r="R1450" s="323"/>
      <c r="S1450" s="323"/>
      <c r="T1450" s="323"/>
      <c r="U1450" s="324"/>
      <c r="V1450" s="107"/>
      <c r="W1450" s="72"/>
      <c r="X1450" s="72"/>
      <c r="Y1450" s="72"/>
      <c r="Z1450" s="45">
        <v>7</v>
      </c>
      <c r="AA1450" s="65">
        <v>73</v>
      </c>
      <c r="AB1450" s="65">
        <v>84</v>
      </c>
      <c r="AC1450" s="25"/>
      <c r="AD1450" s="25"/>
      <c r="BA1450" s="228"/>
    </row>
    <row r="1451" spans="1:53" ht="15.75" thickBot="1" x14ac:dyDescent="0.3">
      <c r="A1451" s="88"/>
      <c r="B1451" s="279"/>
      <c r="C1451" s="316"/>
      <c r="D1451" s="316"/>
      <c r="E1451" s="318"/>
      <c r="F1451" s="316"/>
      <c r="G1451" s="281"/>
      <c r="H1451" s="281"/>
      <c r="I1451" s="281"/>
      <c r="J1451" s="320"/>
      <c r="K1451" s="316"/>
      <c r="L1451" s="322"/>
      <c r="M1451" s="325"/>
      <c r="N1451" s="325"/>
      <c r="O1451" s="325"/>
      <c r="P1451" s="325"/>
      <c r="Q1451" s="325"/>
      <c r="R1451" s="325"/>
      <c r="S1451" s="325"/>
      <c r="T1451" s="325"/>
      <c r="U1451" s="326"/>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6"/>
      <c r="N1452" s="296"/>
      <c r="O1452" s="296"/>
      <c r="P1452" s="296"/>
      <c r="Q1452" s="296"/>
      <c r="R1452" s="296"/>
      <c r="S1452" s="296"/>
      <c r="T1452" s="296"/>
      <c r="U1452" s="297"/>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6"/>
      <c r="N1453" s="296"/>
      <c r="O1453" s="296"/>
      <c r="P1453" s="296"/>
      <c r="Q1453" s="296"/>
      <c r="R1453" s="296"/>
      <c r="S1453" s="296"/>
      <c r="T1453" s="296"/>
      <c r="U1453" s="297"/>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6"/>
      <c r="N1454" s="296"/>
      <c r="O1454" s="296"/>
      <c r="P1454" s="296"/>
      <c r="Q1454" s="296"/>
      <c r="R1454" s="296"/>
      <c r="S1454" s="296"/>
      <c r="T1454" s="296"/>
      <c r="U1454" s="297"/>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6"/>
      <c r="N1455" s="296"/>
      <c r="O1455" s="296"/>
      <c r="P1455" s="296"/>
      <c r="Q1455" s="296"/>
      <c r="R1455" s="296"/>
      <c r="S1455" s="296"/>
      <c r="T1455" s="296"/>
      <c r="U1455" s="297"/>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6"/>
      <c r="N1456" s="296"/>
      <c r="O1456" s="296"/>
      <c r="P1456" s="296"/>
      <c r="Q1456" s="296"/>
      <c r="R1456" s="296"/>
      <c r="S1456" s="296"/>
      <c r="T1456" s="296"/>
      <c r="U1456" s="297"/>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6"/>
      <c r="N1457" s="296"/>
      <c r="O1457" s="296"/>
      <c r="P1457" s="296"/>
      <c r="Q1457" s="296"/>
      <c r="R1457" s="296"/>
      <c r="S1457" s="296"/>
      <c r="T1457" s="296"/>
      <c r="U1457" s="297"/>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6"/>
      <c r="N1458" s="296"/>
      <c r="O1458" s="296"/>
      <c r="P1458" s="296"/>
      <c r="Q1458" s="296"/>
      <c r="R1458" s="296"/>
      <c r="S1458" s="296"/>
      <c r="T1458" s="296"/>
      <c r="U1458" s="297"/>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6"/>
      <c r="N1459" s="296"/>
      <c r="O1459" s="296"/>
      <c r="P1459" s="296"/>
      <c r="Q1459" s="296"/>
      <c r="R1459" s="296"/>
      <c r="S1459" s="296"/>
      <c r="T1459" s="296"/>
      <c r="U1459" s="297"/>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6"/>
      <c r="N1460" s="296"/>
      <c r="O1460" s="296"/>
      <c r="P1460" s="296"/>
      <c r="Q1460" s="296"/>
      <c r="R1460" s="296"/>
      <c r="S1460" s="296"/>
      <c r="T1460" s="296"/>
      <c r="U1460" s="297"/>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6"/>
      <c r="N1461" s="296"/>
      <c r="O1461" s="296"/>
      <c r="P1461" s="296"/>
      <c r="Q1461" s="296"/>
      <c r="R1461" s="296"/>
      <c r="S1461" s="296"/>
      <c r="T1461" s="296"/>
      <c r="U1461" s="297"/>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6"/>
      <c r="N1462" s="296"/>
      <c r="O1462" s="296"/>
      <c r="P1462" s="296"/>
      <c r="Q1462" s="296"/>
      <c r="R1462" s="296"/>
      <c r="S1462" s="296"/>
      <c r="T1462" s="296"/>
      <c r="U1462" s="297"/>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6"/>
      <c r="N1463" s="296"/>
      <c r="O1463" s="296"/>
      <c r="P1463" s="296"/>
      <c r="Q1463" s="296"/>
      <c r="R1463" s="296"/>
      <c r="S1463" s="296"/>
      <c r="T1463" s="296"/>
      <c r="U1463" s="297"/>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6"/>
      <c r="N1464" s="296"/>
      <c r="O1464" s="296"/>
      <c r="P1464" s="296"/>
      <c r="Q1464" s="296"/>
      <c r="R1464" s="296"/>
      <c r="S1464" s="296"/>
      <c r="T1464" s="296"/>
      <c r="U1464" s="297"/>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6"/>
      <c r="N1465" s="296"/>
      <c r="O1465" s="296"/>
      <c r="P1465" s="296"/>
      <c r="Q1465" s="296"/>
      <c r="R1465" s="296"/>
      <c r="S1465" s="296"/>
      <c r="T1465" s="296"/>
      <c r="U1465" s="297"/>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6"/>
      <c r="N1466" s="296"/>
      <c r="O1466" s="296"/>
      <c r="P1466" s="296"/>
      <c r="Q1466" s="296"/>
      <c r="R1466" s="296"/>
      <c r="S1466" s="296"/>
      <c r="T1466" s="296"/>
      <c r="U1466" s="297"/>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6"/>
      <c r="N1467" s="296"/>
      <c r="O1467" s="296"/>
      <c r="P1467" s="296"/>
      <c r="Q1467" s="296"/>
      <c r="R1467" s="296"/>
      <c r="S1467" s="296"/>
      <c r="T1467" s="296"/>
      <c r="U1467" s="297"/>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6"/>
      <c r="N1468" s="296"/>
      <c r="O1468" s="296"/>
      <c r="P1468" s="296"/>
      <c r="Q1468" s="296"/>
      <c r="R1468" s="296"/>
      <c r="S1468" s="296"/>
      <c r="T1468" s="296"/>
      <c r="U1468" s="297"/>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6"/>
      <c r="N1469" s="296"/>
      <c r="O1469" s="296"/>
      <c r="P1469" s="296"/>
      <c r="Q1469" s="296"/>
      <c r="R1469" s="296"/>
      <c r="S1469" s="296"/>
      <c r="T1469" s="296"/>
      <c r="U1469" s="297"/>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6"/>
      <c r="N1470" s="296"/>
      <c r="O1470" s="296"/>
      <c r="P1470" s="296"/>
      <c r="Q1470" s="296"/>
      <c r="R1470" s="296"/>
      <c r="S1470" s="296"/>
      <c r="T1470" s="296"/>
      <c r="U1470" s="297"/>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6"/>
      <c r="N1471" s="296"/>
      <c r="O1471" s="296"/>
      <c r="P1471" s="296"/>
      <c r="Q1471" s="296"/>
      <c r="R1471" s="296"/>
      <c r="S1471" s="296"/>
      <c r="T1471" s="296"/>
      <c r="U1471" s="297"/>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6"/>
      <c r="N1472" s="296"/>
      <c r="O1472" s="296"/>
      <c r="P1472" s="296"/>
      <c r="Q1472" s="296"/>
      <c r="R1472" s="296"/>
      <c r="S1472" s="296"/>
      <c r="T1472" s="296"/>
      <c r="U1472" s="297"/>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6"/>
      <c r="N1473" s="296"/>
      <c r="O1473" s="296"/>
      <c r="P1473" s="296"/>
      <c r="Q1473" s="296"/>
      <c r="R1473" s="296"/>
      <c r="S1473" s="296"/>
      <c r="T1473" s="296"/>
      <c r="U1473" s="297"/>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6"/>
      <c r="N1474" s="296"/>
      <c r="O1474" s="296"/>
      <c r="P1474" s="296"/>
      <c r="Q1474" s="296"/>
      <c r="R1474" s="296"/>
      <c r="S1474" s="296"/>
      <c r="T1474" s="296"/>
      <c r="U1474" s="297"/>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6"/>
      <c r="N1475" s="296"/>
      <c r="O1475" s="296"/>
      <c r="P1475" s="296"/>
      <c r="Q1475" s="296"/>
      <c r="R1475" s="296"/>
      <c r="S1475" s="296"/>
      <c r="T1475" s="296"/>
      <c r="U1475" s="297"/>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6"/>
      <c r="N1476" s="296"/>
      <c r="O1476" s="296"/>
      <c r="P1476" s="296"/>
      <c r="Q1476" s="296"/>
      <c r="R1476" s="296"/>
      <c r="S1476" s="296"/>
      <c r="T1476" s="296"/>
      <c r="U1476" s="297"/>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2" t="s">
        <v>375</v>
      </c>
      <c r="C1477" s="284"/>
      <c r="D1477" s="79"/>
      <c r="E1477" s="80"/>
      <c r="F1477" s="80"/>
      <c r="G1477" s="81"/>
      <c r="H1477" s="192"/>
      <c r="I1477" s="192"/>
      <c r="J1477" s="192"/>
      <c r="K1477" s="82"/>
      <c r="L1477" s="282" t="s">
        <v>306</v>
      </c>
      <c r="M1477" s="283"/>
      <c r="N1477" s="283"/>
      <c r="O1477" s="283"/>
      <c r="P1477" s="283"/>
      <c r="Q1477" s="283"/>
      <c r="R1477" s="283"/>
      <c r="S1477" s="283"/>
      <c r="T1477" s="283"/>
      <c r="U1477" s="284"/>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2" t="s">
        <v>307</v>
      </c>
      <c r="C1478" s="284"/>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5" t="s">
        <v>222</v>
      </c>
      <c r="C1482" s="286"/>
      <c r="D1482" s="287" t="s">
        <v>223</v>
      </c>
      <c r="E1482" s="288"/>
      <c r="F1482" s="88"/>
      <c r="G1482" s="289" t="s">
        <v>224</v>
      </c>
      <c r="H1482" s="290"/>
      <c r="I1482" s="28">
        <f>SUM(E1493:E1517)</f>
        <v>0</v>
      </c>
      <c r="J1482" s="291" t="s">
        <v>225</v>
      </c>
      <c r="K1482" s="292"/>
      <c r="L1482" s="288"/>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8" t="s">
        <v>226</v>
      </c>
      <c r="AA1482" s="299"/>
      <c r="AB1482" s="300"/>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1" t="s">
        <v>230</v>
      </c>
      <c r="H1483" s="288"/>
      <c r="I1483" s="33">
        <f>E1484-I1482</f>
        <v>0</v>
      </c>
      <c r="J1483" s="302" t="s">
        <v>231</v>
      </c>
      <c r="K1483" s="303"/>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4" t="s">
        <v>232</v>
      </c>
      <c r="AA1483" s="306" t="s">
        <v>233</v>
      </c>
      <c r="AB1483" s="307"/>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0" t="s">
        <v>237</v>
      </c>
      <c r="H1484" s="311"/>
      <c r="I1484" s="35">
        <f>IF(E1484=0,0,12-(MOD(I1482,12)))</f>
        <v>0</v>
      </c>
      <c r="J1484" s="302" t="s">
        <v>238</v>
      </c>
      <c r="K1484" s="303"/>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5"/>
      <c r="AA1484" s="308"/>
      <c r="AB1484" s="309"/>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8" t="s">
        <v>242</v>
      </c>
      <c r="H1485" s="43" t="s">
        <v>243</v>
      </c>
      <c r="I1485" s="35">
        <f>IF(E1485&lt;&gt;0,1,0)</f>
        <v>0</v>
      </c>
      <c r="J1485" s="310" t="s">
        <v>244</v>
      </c>
      <c r="K1485" s="31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9"/>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8" t="s">
        <v>251</v>
      </c>
      <c r="H1487" s="51" t="s">
        <v>252</v>
      </c>
      <c r="I1487" s="112">
        <f>E1486</f>
        <v>0</v>
      </c>
      <c r="J1487" s="312" t="s">
        <v>253</v>
      </c>
      <c r="K1487" s="313"/>
      <c r="L1487" s="31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9"/>
      <c r="H1488" s="47" t="s">
        <v>257</v>
      </c>
      <c r="I1488" s="35" t="str">
        <f>IF(E1486="","0",IF(AND(E1483="EUC",E1484=432), I1487+(203-E1485),IF(E1486=0,0,(E1486+(E1484-E1485)-1))))</f>
        <v>0</v>
      </c>
      <c r="J1488" s="293" t="str">
        <f>IFERROR(IF(OR(E1483="EUC",E1483="SS"),"---",IF(OR(P1482,S1482),"NO 2F Tethers for RPX!",IF(OR(P1484,S1484),"NO 6F Tethers for RPX!","---"))),"---")</f>
        <v>---</v>
      </c>
      <c r="K1488" s="294"/>
      <c r="L1488" s="295"/>
      <c r="M1488" s="293" t="str">
        <f>IF(E1485&gt;60,"Dead Count &gt;60: Consider Downsize","---")</f>
        <v>---</v>
      </c>
      <c r="N1488" s="294"/>
      <c r="O1488" s="294"/>
      <c r="P1488" s="294"/>
      <c r="Q1488" s="294"/>
      <c r="R1488" s="294"/>
      <c r="S1488" s="294"/>
      <c r="T1488" s="294"/>
      <c r="U1488" s="295"/>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3"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4"/>
      <c r="L1489" s="295"/>
      <c r="M1489" s="293" t="str">
        <f>IF(AND(OR(E1483="SS",E1483="RPX",E1483="EUC",E1483="RPX-T"),(OR(C1493="",C1493="Field SPL"))),"Cannot have FlexNap cables without tethers","---")</f>
        <v>---</v>
      </c>
      <c r="N1489" s="294"/>
      <c r="O1489" s="294"/>
      <c r="P1489" s="294"/>
      <c r="Q1489" s="294"/>
      <c r="R1489" s="294"/>
      <c r="S1489" s="294"/>
      <c r="T1489" s="294"/>
      <c r="U1489" s="295"/>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3" t="str">
        <f>IF(AND(OR(E1483="RPX", E1483="RPX-T", E1483="SS"),E1484=216),"NO 216 For RPX, RPX-T, OR SS CABLE","---")</f>
        <v>---</v>
      </c>
      <c r="K1490" s="294"/>
      <c r="L1490" s="295"/>
      <c r="M1490" s="293" t="str" cm="1">
        <f t="array" ref="M1490">IF(AND(E1483="",OR(C1493:C1517="FST",C1493:C1517="REV T",C1493:C1517="DBL REV",C1493:C1517="TPL REV", C1493:C1517="QD REV")),"Non-FlexNap cables cannot have tethers","---")</f>
        <v>---</v>
      </c>
      <c r="N1490" s="294"/>
      <c r="O1490" s="294"/>
      <c r="P1490" s="294"/>
      <c r="Q1490" s="294"/>
      <c r="R1490" s="294"/>
      <c r="S1490" s="294"/>
      <c r="T1490" s="294"/>
      <c r="U1490" s="295"/>
      <c r="V1490" s="25"/>
      <c r="W1490" s="58"/>
      <c r="X1490" s="58"/>
      <c r="Y1490" s="25"/>
      <c r="Z1490" s="45">
        <v>6</v>
      </c>
      <c r="AA1490" s="65">
        <v>61</v>
      </c>
      <c r="AB1490" s="65">
        <v>72</v>
      </c>
      <c r="AC1490" s="25"/>
      <c r="AD1490" s="25"/>
      <c r="BA1490" s="226"/>
    </row>
    <row r="1491" spans="1:53" ht="15.75" customHeight="1" thickBot="1" x14ac:dyDescent="0.3">
      <c r="A1491" s="88"/>
      <c r="B1491" s="278" t="s">
        <v>260</v>
      </c>
      <c r="C1491" s="315" t="s">
        <v>261</v>
      </c>
      <c r="D1491" s="315" t="s">
        <v>262</v>
      </c>
      <c r="E1491" s="317" t="s">
        <v>263</v>
      </c>
      <c r="F1491" s="315" t="s">
        <v>264</v>
      </c>
      <c r="G1491" s="280" t="s">
        <v>265</v>
      </c>
      <c r="H1491" s="280" t="s">
        <v>266</v>
      </c>
      <c r="I1491" s="280" t="s">
        <v>267</v>
      </c>
      <c r="J1491" s="319" t="s">
        <v>268</v>
      </c>
      <c r="K1491" s="315" t="s">
        <v>269</v>
      </c>
      <c r="L1491" s="321" t="s">
        <v>270</v>
      </c>
      <c r="M1491" s="323" t="s">
        <v>271</v>
      </c>
      <c r="N1491" s="323"/>
      <c r="O1491" s="323"/>
      <c r="P1491" s="323"/>
      <c r="Q1491" s="323"/>
      <c r="R1491" s="323"/>
      <c r="S1491" s="323"/>
      <c r="T1491" s="323"/>
      <c r="U1491" s="324"/>
      <c r="V1491" s="107"/>
      <c r="W1491" s="72"/>
      <c r="X1491" s="72"/>
      <c r="Y1491" s="72"/>
      <c r="Z1491" s="45">
        <v>7</v>
      </c>
      <c r="AA1491" s="65">
        <v>73</v>
      </c>
      <c r="AB1491" s="65">
        <v>84</v>
      </c>
      <c r="AC1491" s="25"/>
      <c r="AD1491" s="25"/>
      <c r="BA1491" s="228"/>
    </row>
    <row r="1492" spans="1:53" ht="15.75" thickBot="1" x14ac:dyDescent="0.3">
      <c r="A1492" s="88"/>
      <c r="B1492" s="279"/>
      <c r="C1492" s="316"/>
      <c r="D1492" s="316"/>
      <c r="E1492" s="318"/>
      <c r="F1492" s="316"/>
      <c r="G1492" s="281"/>
      <c r="H1492" s="281"/>
      <c r="I1492" s="281"/>
      <c r="J1492" s="320"/>
      <c r="K1492" s="316"/>
      <c r="L1492" s="322"/>
      <c r="M1492" s="325"/>
      <c r="N1492" s="325"/>
      <c r="O1492" s="325"/>
      <c r="P1492" s="325"/>
      <c r="Q1492" s="325"/>
      <c r="R1492" s="325"/>
      <c r="S1492" s="325"/>
      <c r="T1492" s="325"/>
      <c r="U1492" s="326"/>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6"/>
      <c r="N1493" s="296"/>
      <c r="O1493" s="296"/>
      <c r="P1493" s="296"/>
      <c r="Q1493" s="296"/>
      <c r="R1493" s="296"/>
      <c r="S1493" s="296"/>
      <c r="T1493" s="296"/>
      <c r="U1493" s="297"/>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6"/>
      <c r="N1494" s="296"/>
      <c r="O1494" s="296"/>
      <c r="P1494" s="296"/>
      <c r="Q1494" s="296"/>
      <c r="R1494" s="296"/>
      <c r="S1494" s="296"/>
      <c r="T1494" s="296"/>
      <c r="U1494" s="297"/>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6"/>
      <c r="N1495" s="296"/>
      <c r="O1495" s="296"/>
      <c r="P1495" s="296"/>
      <c r="Q1495" s="296"/>
      <c r="R1495" s="296"/>
      <c r="S1495" s="296"/>
      <c r="T1495" s="296"/>
      <c r="U1495" s="297"/>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6"/>
      <c r="N1496" s="296"/>
      <c r="O1496" s="296"/>
      <c r="P1496" s="296"/>
      <c r="Q1496" s="296"/>
      <c r="R1496" s="296"/>
      <c r="S1496" s="296"/>
      <c r="T1496" s="296"/>
      <c r="U1496" s="297"/>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6"/>
      <c r="N1497" s="296"/>
      <c r="O1497" s="296"/>
      <c r="P1497" s="296"/>
      <c r="Q1497" s="296"/>
      <c r="R1497" s="296"/>
      <c r="S1497" s="296"/>
      <c r="T1497" s="296"/>
      <c r="U1497" s="297"/>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6"/>
      <c r="N1498" s="296"/>
      <c r="O1498" s="296"/>
      <c r="P1498" s="296"/>
      <c r="Q1498" s="296"/>
      <c r="R1498" s="296"/>
      <c r="S1498" s="296"/>
      <c r="T1498" s="296"/>
      <c r="U1498" s="297"/>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6"/>
      <c r="N1499" s="296"/>
      <c r="O1499" s="296"/>
      <c r="P1499" s="296"/>
      <c r="Q1499" s="296"/>
      <c r="R1499" s="296"/>
      <c r="S1499" s="296"/>
      <c r="T1499" s="296"/>
      <c r="U1499" s="297"/>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6"/>
      <c r="N1500" s="296"/>
      <c r="O1500" s="296"/>
      <c r="P1500" s="296"/>
      <c r="Q1500" s="296"/>
      <c r="R1500" s="296"/>
      <c r="S1500" s="296"/>
      <c r="T1500" s="296"/>
      <c r="U1500" s="297"/>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6"/>
      <c r="N1501" s="296"/>
      <c r="O1501" s="296"/>
      <c r="P1501" s="296"/>
      <c r="Q1501" s="296"/>
      <c r="R1501" s="296"/>
      <c r="S1501" s="296"/>
      <c r="T1501" s="296"/>
      <c r="U1501" s="297"/>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6"/>
      <c r="N1502" s="296"/>
      <c r="O1502" s="296"/>
      <c r="P1502" s="296"/>
      <c r="Q1502" s="296"/>
      <c r="R1502" s="296"/>
      <c r="S1502" s="296"/>
      <c r="T1502" s="296"/>
      <c r="U1502" s="297"/>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6"/>
      <c r="N1503" s="296"/>
      <c r="O1503" s="296"/>
      <c r="P1503" s="296"/>
      <c r="Q1503" s="296"/>
      <c r="R1503" s="296"/>
      <c r="S1503" s="296"/>
      <c r="T1503" s="296"/>
      <c r="U1503" s="297"/>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6"/>
      <c r="N1504" s="296"/>
      <c r="O1504" s="296"/>
      <c r="P1504" s="296"/>
      <c r="Q1504" s="296"/>
      <c r="R1504" s="296"/>
      <c r="S1504" s="296"/>
      <c r="T1504" s="296"/>
      <c r="U1504" s="297"/>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6"/>
      <c r="N1505" s="296"/>
      <c r="O1505" s="296"/>
      <c r="P1505" s="296"/>
      <c r="Q1505" s="296"/>
      <c r="R1505" s="296"/>
      <c r="S1505" s="296"/>
      <c r="T1505" s="296"/>
      <c r="U1505" s="297"/>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6"/>
      <c r="N1506" s="296"/>
      <c r="O1506" s="296"/>
      <c r="P1506" s="296"/>
      <c r="Q1506" s="296"/>
      <c r="R1506" s="296"/>
      <c r="S1506" s="296"/>
      <c r="T1506" s="296"/>
      <c r="U1506" s="297"/>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6"/>
      <c r="N1507" s="296"/>
      <c r="O1507" s="296"/>
      <c r="P1507" s="296"/>
      <c r="Q1507" s="296"/>
      <c r="R1507" s="296"/>
      <c r="S1507" s="296"/>
      <c r="T1507" s="296"/>
      <c r="U1507" s="297"/>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6"/>
      <c r="N1508" s="296"/>
      <c r="O1508" s="296"/>
      <c r="P1508" s="296"/>
      <c r="Q1508" s="296"/>
      <c r="R1508" s="296"/>
      <c r="S1508" s="296"/>
      <c r="T1508" s="296"/>
      <c r="U1508" s="297"/>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6"/>
      <c r="N1509" s="296"/>
      <c r="O1509" s="296"/>
      <c r="P1509" s="296"/>
      <c r="Q1509" s="296"/>
      <c r="R1509" s="296"/>
      <c r="S1509" s="296"/>
      <c r="T1509" s="296"/>
      <c r="U1509" s="297"/>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6"/>
      <c r="N1510" s="296"/>
      <c r="O1510" s="296"/>
      <c r="P1510" s="296"/>
      <c r="Q1510" s="296"/>
      <c r="R1510" s="296"/>
      <c r="S1510" s="296"/>
      <c r="T1510" s="296"/>
      <c r="U1510" s="297"/>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6"/>
      <c r="N1511" s="296"/>
      <c r="O1511" s="296"/>
      <c r="P1511" s="296"/>
      <c r="Q1511" s="296"/>
      <c r="R1511" s="296"/>
      <c r="S1511" s="296"/>
      <c r="T1511" s="296"/>
      <c r="U1511" s="297"/>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6"/>
      <c r="N1512" s="296"/>
      <c r="O1512" s="296"/>
      <c r="P1512" s="296"/>
      <c r="Q1512" s="296"/>
      <c r="R1512" s="296"/>
      <c r="S1512" s="296"/>
      <c r="T1512" s="296"/>
      <c r="U1512" s="297"/>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6"/>
      <c r="N1513" s="296"/>
      <c r="O1513" s="296"/>
      <c r="P1513" s="296"/>
      <c r="Q1513" s="296"/>
      <c r="R1513" s="296"/>
      <c r="S1513" s="296"/>
      <c r="T1513" s="296"/>
      <c r="U1513" s="297"/>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6"/>
      <c r="N1514" s="296"/>
      <c r="O1514" s="296"/>
      <c r="P1514" s="296"/>
      <c r="Q1514" s="296"/>
      <c r="R1514" s="296"/>
      <c r="S1514" s="296"/>
      <c r="T1514" s="296"/>
      <c r="U1514" s="297"/>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6"/>
      <c r="N1515" s="296"/>
      <c r="O1515" s="296"/>
      <c r="P1515" s="296"/>
      <c r="Q1515" s="296"/>
      <c r="R1515" s="296"/>
      <c r="S1515" s="296"/>
      <c r="T1515" s="296"/>
      <c r="U1515" s="297"/>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6"/>
      <c r="N1516" s="296"/>
      <c r="O1516" s="296"/>
      <c r="P1516" s="296"/>
      <c r="Q1516" s="296"/>
      <c r="R1516" s="296"/>
      <c r="S1516" s="296"/>
      <c r="T1516" s="296"/>
      <c r="U1516" s="297"/>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6"/>
      <c r="N1517" s="296"/>
      <c r="O1517" s="296"/>
      <c r="P1517" s="296"/>
      <c r="Q1517" s="296"/>
      <c r="R1517" s="296"/>
      <c r="S1517" s="296"/>
      <c r="T1517" s="296"/>
      <c r="U1517" s="297"/>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2" t="s">
        <v>377</v>
      </c>
      <c r="C1518" s="284"/>
      <c r="D1518" s="79"/>
      <c r="E1518" s="80"/>
      <c r="F1518" s="80"/>
      <c r="G1518" s="81"/>
      <c r="H1518" s="192"/>
      <c r="I1518" s="192"/>
      <c r="J1518" s="192"/>
      <c r="K1518" s="82"/>
      <c r="L1518" s="282" t="s">
        <v>306</v>
      </c>
      <c r="M1518" s="283"/>
      <c r="N1518" s="283"/>
      <c r="O1518" s="283"/>
      <c r="P1518" s="283"/>
      <c r="Q1518" s="283"/>
      <c r="R1518" s="283"/>
      <c r="S1518" s="283"/>
      <c r="T1518" s="283"/>
      <c r="U1518" s="284"/>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2" t="s">
        <v>307</v>
      </c>
      <c r="C1519" s="284"/>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5" t="s">
        <v>222</v>
      </c>
      <c r="C1523" s="286"/>
      <c r="D1523" s="287" t="s">
        <v>223</v>
      </c>
      <c r="E1523" s="288"/>
      <c r="F1523" s="88"/>
      <c r="G1523" s="289" t="s">
        <v>224</v>
      </c>
      <c r="H1523" s="290"/>
      <c r="I1523" s="28">
        <f>SUM(E1534:E1558)</f>
        <v>0</v>
      </c>
      <c r="J1523" s="291" t="s">
        <v>225</v>
      </c>
      <c r="K1523" s="292"/>
      <c r="L1523" s="288"/>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8" t="s">
        <v>226</v>
      </c>
      <c r="AA1523" s="299"/>
      <c r="AB1523" s="300"/>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1" t="s">
        <v>230</v>
      </c>
      <c r="H1524" s="288"/>
      <c r="I1524" s="33">
        <f>E1525-I1523</f>
        <v>0</v>
      </c>
      <c r="J1524" s="302" t="s">
        <v>231</v>
      </c>
      <c r="K1524" s="303"/>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4" t="s">
        <v>232</v>
      </c>
      <c r="AA1524" s="306" t="s">
        <v>233</v>
      </c>
      <c r="AB1524" s="307"/>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0" t="s">
        <v>237</v>
      </c>
      <c r="H1525" s="311"/>
      <c r="I1525" s="35">
        <f>IF(E1525=0,0,12-(MOD(I1523,12)))</f>
        <v>0</v>
      </c>
      <c r="J1525" s="302" t="s">
        <v>238</v>
      </c>
      <c r="K1525" s="303"/>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5"/>
      <c r="AA1525" s="308"/>
      <c r="AB1525" s="309"/>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8" t="s">
        <v>242</v>
      </c>
      <c r="H1526" s="43" t="s">
        <v>243</v>
      </c>
      <c r="I1526" s="35">
        <f>IF(E1526&lt;&gt;0,1,0)</f>
        <v>0</v>
      </c>
      <c r="J1526" s="310" t="s">
        <v>244</v>
      </c>
      <c r="K1526" s="31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9"/>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8" t="s">
        <v>251</v>
      </c>
      <c r="H1528" s="51" t="s">
        <v>252</v>
      </c>
      <c r="I1528" s="112">
        <f>E1527</f>
        <v>0</v>
      </c>
      <c r="J1528" s="312" t="s">
        <v>253</v>
      </c>
      <c r="K1528" s="313"/>
      <c r="L1528" s="31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9"/>
      <c r="H1529" s="47" t="s">
        <v>257</v>
      </c>
      <c r="I1529" s="35" t="str">
        <f>IF(E1527="","0",IF(AND(E1524="EUC",E1525=432), I1528+(203-E1526),IF(E1527=0,0,(E1527+(E1525-E1526)-1))))</f>
        <v>0</v>
      </c>
      <c r="J1529" s="293" t="str">
        <f>IFERROR(IF(OR(E1524="EUC",E1524="SS"),"---",IF(OR(P1523,S1523),"NO 2F Tethers for RPX!",IF(OR(P1525,S1525),"NO 6F Tethers for RPX!","---"))),"---")</f>
        <v>---</v>
      </c>
      <c r="K1529" s="294"/>
      <c r="L1529" s="295"/>
      <c r="M1529" s="293" t="str">
        <f>IF(E1526&gt;60,"Dead Count &gt;60: Consider Downsize","---")</f>
        <v>---</v>
      </c>
      <c r="N1529" s="294"/>
      <c r="O1529" s="294"/>
      <c r="P1529" s="294"/>
      <c r="Q1529" s="294"/>
      <c r="R1529" s="294"/>
      <c r="S1529" s="294"/>
      <c r="T1529" s="294"/>
      <c r="U1529" s="295"/>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3"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4"/>
      <c r="L1530" s="295"/>
      <c r="M1530" s="293" t="str">
        <f>IF(AND(OR(E1524="SS",E1524="RPX",E1524="EUC",E1524="RPX-T"),(OR(C1534="",C1534="Field SPL"))),"Cannot have FlexNap cables without tethers","---")</f>
        <v>---</v>
      </c>
      <c r="N1530" s="294"/>
      <c r="O1530" s="294"/>
      <c r="P1530" s="294"/>
      <c r="Q1530" s="294"/>
      <c r="R1530" s="294"/>
      <c r="S1530" s="294"/>
      <c r="T1530" s="294"/>
      <c r="U1530" s="295"/>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3" t="str">
        <f>IF(AND(OR(E1524="RPX", E1524="RPX-T", E1524="SS"),E1525=216),"NO 216 For RPX, RPX-T, OR SS CABLE","---")</f>
        <v>---</v>
      </c>
      <c r="K1531" s="294"/>
      <c r="L1531" s="295"/>
      <c r="M1531" s="293" t="str" cm="1">
        <f t="array" ref="M1531">IF(AND(E1524="",OR(C1534:C1558="FST",C1534:C1558="REV T",C1534:C1558="DBL REV",C1534:C1558="TPL REV", C1534:C1558="QD REV")),"Non-FlexNap cables cannot have tethers","---")</f>
        <v>---</v>
      </c>
      <c r="N1531" s="294"/>
      <c r="O1531" s="294"/>
      <c r="P1531" s="294"/>
      <c r="Q1531" s="294"/>
      <c r="R1531" s="294"/>
      <c r="S1531" s="294"/>
      <c r="T1531" s="294"/>
      <c r="U1531" s="295"/>
      <c r="V1531" s="25"/>
      <c r="W1531" s="58"/>
      <c r="X1531" s="58"/>
      <c r="Y1531" s="25"/>
      <c r="Z1531" s="45">
        <v>6</v>
      </c>
      <c r="AA1531" s="65">
        <v>61</v>
      </c>
      <c r="AB1531" s="65">
        <v>72</v>
      </c>
      <c r="AC1531" s="25"/>
      <c r="AD1531" s="25"/>
      <c r="BA1531" s="226"/>
    </row>
    <row r="1532" spans="1:53" ht="15.75" customHeight="1" thickBot="1" x14ac:dyDescent="0.3">
      <c r="A1532" s="88"/>
      <c r="B1532" s="278" t="s">
        <v>260</v>
      </c>
      <c r="C1532" s="315" t="s">
        <v>261</v>
      </c>
      <c r="D1532" s="315" t="s">
        <v>262</v>
      </c>
      <c r="E1532" s="317" t="s">
        <v>263</v>
      </c>
      <c r="F1532" s="315" t="s">
        <v>264</v>
      </c>
      <c r="G1532" s="280" t="s">
        <v>265</v>
      </c>
      <c r="H1532" s="280" t="s">
        <v>266</v>
      </c>
      <c r="I1532" s="280" t="s">
        <v>267</v>
      </c>
      <c r="J1532" s="319" t="s">
        <v>268</v>
      </c>
      <c r="K1532" s="315" t="s">
        <v>269</v>
      </c>
      <c r="L1532" s="321" t="s">
        <v>270</v>
      </c>
      <c r="M1532" s="323" t="s">
        <v>271</v>
      </c>
      <c r="N1532" s="323"/>
      <c r="O1532" s="323"/>
      <c r="P1532" s="323"/>
      <c r="Q1532" s="323"/>
      <c r="R1532" s="323"/>
      <c r="S1532" s="323"/>
      <c r="T1532" s="323"/>
      <c r="U1532" s="324"/>
      <c r="V1532" s="107"/>
      <c r="W1532" s="72"/>
      <c r="X1532" s="72"/>
      <c r="Y1532" s="72"/>
      <c r="Z1532" s="45">
        <v>7</v>
      </c>
      <c r="AA1532" s="65">
        <v>73</v>
      </c>
      <c r="AB1532" s="65">
        <v>84</v>
      </c>
      <c r="AC1532" s="25"/>
      <c r="AD1532" s="25"/>
      <c r="BA1532" s="228"/>
    </row>
    <row r="1533" spans="1:53" ht="15.75" thickBot="1" x14ac:dyDescent="0.3">
      <c r="A1533" s="88"/>
      <c r="B1533" s="279"/>
      <c r="C1533" s="316"/>
      <c r="D1533" s="316"/>
      <c r="E1533" s="318"/>
      <c r="F1533" s="316"/>
      <c r="G1533" s="281"/>
      <c r="H1533" s="281"/>
      <c r="I1533" s="281"/>
      <c r="J1533" s="320"/>
      <c r="K1533" s="316"/>
      <c r="L1533" s="322"/>
      <c r="M1533" s="325"/>
      <c r="N1533" s="325"/>
      <c r="O1533" s="325"/>
      <c r="P1533" s="325"/>
      <c r="Q1533" s="325"/>
      <c r="R1533" s="325"/>
      <c r="S1533" s="325"/>
      <c r="T1533" s="325"/>
      <c r="U1533" s="326"/>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6"/>
      <c r="N1534" s="296"/>
      <c r="O1534" s="296"/>
      <c r="P1534" s="296"/>
      <c r="Q1534" s="296"/>
      <c r="R1534" s="296"/>
      <c r="S1534" s="296"/>
      <c r="T1534" s="296"/>
      <c r="U1534" s="297"/>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6"/>
      <c r="N1535" s="296"/>
      <c r="O1535" s="296"/>
      <c r="P1535" s="296"/>
      <c r="Q1535" s="296"/>
      <c r="R1535" s="296"/>
      <c r="S1535" s="296"/>
      <c r="T1535" s="296"/>
      <c r="U1535" s="297"/>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6"/>
      <c r="N1536" s="296"/>
      <c r="O1536" s="296"/>
      <c r="P1536" s="296"/>
      <c r="Q1536" s="296"/>
      <c r="R1536" s="296"/>
      <c r="S1536" s="296"/>
      <c r="T1536" s="296"/>
      <c r="U1536" s="297"/>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6"/>
      <c r="N1537" s="296"/>
      <c r="O1537" s="296"/>
      <c r="P1537" s="296"/>
      <c r="Q1537" s="296"/>
      <c r="R1537" s="296"/>
      <c r="S1537" s="296"/>
      <c r="T1537" s="296"/>
      <c r="U1537" s="297"/>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6"/>
      <c r="N1538" s="296"/>
      <c r="O1538" s="296"/>
      <c r="P1538" s="296"/>
      <c r="Q1538" s="296"/>
      <c r="R1538" s="296"/>
      <c r="S1538" s="296"/>
      <c r="T1538" s="296"/>
      <c r="U1538" s="297"/>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6"/>
      <c r="N1539" s="296"/>
      <c r="O1539" s="296"/>
      <c r="P1539" s="296"/>
      <c r="Q1539" s="296"/>
      <c r="R1539" s="296"/>
      <c r="S1539" s="296"/>
      <c r="T1539" s="296"/>
      <c r="U1539" s="297"/>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6"/>
      <c r="N1540" s="296"/>
      <c r="O1540" s="296"/>
      <c r="P1540" s="296"/>
      <c r="Q1540" s="296"/>
      <c r="R1540" s="296"/>
      <c r="S1540" s="296"/>
      <c r="T1540" s="296"/>
      <c r="U1540" s="297"/>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6"/>
      <c r="N1541" s="296"/>
      <c r="O1541" s="296"/>
      <c r="P1541" s="296"/>
      <c r="Q1541" s="296"/>
      <c r="R1541" s="296"/>
      <c r="S1541" s="296"/>
      <c r="T1541" s="296"/>
      <c r="U1541" s="297"/>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6"/>
      <c r="N1542" s="296"/>
      <c r="O1542" s="296"/>
      <c r="P1542" s="296"/>
      <c r="Q1542" s="296"/>
      <c r="R1542" s="296"/>
      <c r="S1542" s="296"/>
      <c r="T1542" s="296"/>
      <c r="U1542" s="297"/>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6"/>
      <c r="N1543" s="296"/>
      <c r="O1543" s="296"/>
      <c r="P1543" s="296"/>
      <c r="Q1543" s="296"/>
      <c r="R1543" s="296"/>
      <c r="S1543" s="296"/>
      <c r="T1543" s="296"/>
      <c r="U1543" s="297"/>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6"/>
      <c r="N1544" s="296"/>
      <c r="O1544" s="296"/>
      <c r="P1544" s="296"/>
      <c r="Q1544" s="296"/>
      <c r="R1544" s="296"/>
      <c r="S1544" s="296"/>
      <c r="T1544" s="296"/>
      <c r="U1544" s="297"/>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6"/>
      <c r="N1545" s="296"/>
      <c r="O1545" s="296"/>
      <c r="P1545" s="296"/>
      <c r="Q1545" s="296"/>
      <c r="R1545" s="296"/>
      <c r="S1545" s="296"/>
      <c r="T1545" s="296"/>
      <c r="U1545" s="297"/>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6"/>
      <c r="N1546" s="296"/>
      <c r="O1546" s="296"/>
      <c r="P1546" s="296"/>
      <c r="Q1546" s="296"/>
      <c r="R1546" s="296"/>
      <c r="S1546" s="296"/>
      <c r="T1546" s="296"/>
      <c r="U1546" s="297"/>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6"/>
      <c r="N1547" s="296"/>
      <c r="O1547" s="296"/>
      <c r="P1547" s="296"/>
      <c r="Q1547" s="296"/>
      <c r="R1547" s="296"/>
      <c r="S1547" s="296"/>
      <c r="T1547" s="296"/>
      <c r="U1547" s="297"/>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6"/>
      <c r="N1548" s="296"/>
      <c r="O1548" s="296"/>
      <c r="P1548" s="296"/>
      <c r="Q1548" s="296"/>
      <c r="R1548" s="296"/>
      <c r="S1548" s="296"/>
      <c r="T1548" s="296"/>
      <c r="U1548" s="297"/>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6"/>
      <c r="N1549" s="296"/>
      <c r="O1549" s="296"/>
      <c r="P1549" s="296"/>
      <c r="Q1549" s="296"/>
      <c r="R1549" s="296"/>
      <c r="S1549" s="296"/>
      <c r="T1549" s="296"/>
      <c r="U1549" s="297"/>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6"/>
      <c r="N1550" s="296"/>
      <c r="O1550" s="296"/>
      <c r="P1550" s="296"/>
      <c r="Q1550" s="296"/>
      <c r="R1550" s="296"/>
      <c r="S1550" s="296"/>
      <c r="T1550" s="296"/>
      <c r="U1550" s="297"/>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6"/>
      <c r="N1551" s="296"/>
      <c r="O1551" s="296"/>
      <c r="P1551" s="296"/>
      <c r="Q1551" s="296"/>
      <c r="R1551" s="296"/>
      <c r="S1551" s="296"/>
      <c r="T1551" s="296"/>
      <c r="U1551" s="297"/>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6"/>
      <c r="N1552" s="296"/>
      <c r="O1552" s="296"/>
      <c r="P1552" s="296"/>
      <c r="Q1552" s="296"/>
      <c r="R1552" s="296"/>
      <c r="S1552" s="296"/>
      <c r="T1552" s="296"/>
      <c r="U1552" s="297"/>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6"/>
      <c r="N1553" s="296"/>
      <c r="O1553" s="296"/>
      <c r="P1553" s="296"/>
      <c r="Q1553" s="296"/>
      <c r="R1553" s="296"/>
      <c r="S1553" s="296"/>
      <c r="T1553" s="296"/>
      <c r="U1553" s="297"/>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6"/>
      <c r="N1554" s="296"/>
      <c r="O1554" s="296"/>
      <c r="P1554" s="296"/>
      <c r="Q1554" s="296"/>
      <c r="R1554" s="296"/>
      <c r="S1554" s="296"/>
      <c r="T1554" s="296"/>
      <c r="U1554" s="297"/>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6"/>
      <c r="N1555" s="296"/>
      <c r="O1555" s="296"/>
      <c r="P1555" s="296"/>
      <c r="Q1555" s="296"/>
      <c r="R1555" s="296"/>
      <c r="S1555" s="296"/>
      <c r="T1555" s="296"/>
      <c r="U1555" s="297"/>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6"/>
      <c r="N1556" s="296"/>
      <c r="O1556" s="296"/>
      <c r="P1556" s="296"/>
      <c r="Q1556" s="296"/>
      <c r="R1556" s="296"/>
      <c r="S1556" s="296"/>
      <c r="T1556" s="296"/>
      <c r="U1556" s="297"/>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6"/>
      <c r="N1557" s="296"/>
      <c r="O1557" s="296"/>
      <c r="P1557" s="296"/>
      <c r="Q1557" s="296"/>
      <c r="R1557" s="296"/>
      <c r="S1557" s="296"/>
      <c r="T1557" s="296"/>
      <c r="U1557" s="297"/>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6"/>
      <c r="N1558" s="296"/>
      <c r="O1558" s="296"/>
      <c r="P1558" s="296"/>
      <c r="Q1558" s="296"/>
      <c r="R1558" s="296"/>
      <c r="S1558" s="296"/>
      <c r="T1558" s="296"/>
      <c r="U1558" s="297"/>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2" t="s">
        <v>379</v>
      </c>
      <c r="C1559" s="284"/>
      <c r="D1559" s="79"/>
      <c r="E1559" s="80"/>
      <c r="F1559" s="80"/>
      <c r="G1559" s="81"/>
      <c r="H1559" s="192"/>
      <c r="I1559" s="192"/>
      <c r="J1559" s="192"/>
      <c r="K1559" s="82"/>
      <c r="L1559" s="282" t="s">
        <v>306</v>
      </c>
      <c r="M1559" s="283"/>
      <c r="N1559" s="283"/>
      <c r="O1559" s="283"/>
      <c r="P1559" s="283"/>
      <c r="Q1559" s="283"/>
      <c r="R1559" s="283"/>
      <c r="S1559" s="283"/>
      <c r="T1559" s="283"/>
      <c r="U1559" s="284"/>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2" t="s">
        <v>307</v>
      </c>
      <c r="C1560" s="284"/>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5" t="s">
        <v>222</v>
      </c>
      <c r="C1564" s="286"/>
      <c r="D1564" s="287" t="s">
        <v>223</v>
      </c>
      <c r="E1564" s="288"/>
      <c r="F1564" s="88"/>
      <c r="G1564" s="289" t="s">
        <v>224</v>
      </c>
      <c r="H1564" s="290"/>
      <c r="I1564" s="28">
        <f>SUM(E1575:E1599)</f>
        <v>0</v>
      </c>
      <c r="J1564" s="291" t="s">
        <v>225</v>
      </c>
      <c r="K1564" s="292"/>
      <c r="L1564" s="288"/>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8" t="s">
        <v>226</v>
      </c>
      <c r="AA1564" s="299"/>
      <c r="AB1564" s="300"/>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1" t="s">
        <v>230</v>
      </c>
      <c r="H1565" s="288"/>
      <c r="I1565" s="33">
        <f>E1566-I1564</f>
        <v>0</v>
      </c>
      <c r="J1565" s="302" t="s">
        <v>231</v>
      </c>
      <c r="K1565" s="303"/>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4" t="s">
        <v>232</v>
      </c>
      <c r="AA1565" s="306" t="s">
        <v>233</v>
      </c>
      <c r="AB1565" s="307"/>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0" t="s">
        <v>237</v>
      </c>
      <c r="H1566" s="311"/>
      <c r="I1566" s="35">
        <f>IF(E1566=0,0,12-(MOD(I1564,12)))</f>
        <v>0</v>
      </c>
      <c r="J1566" s="302" t="s">
        <v>238</v>
      </c>
      <c r="K1566" s="303"/>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5"/>
      <c r="AA1566" s="308"/>
      <c r="AB1566" s="309"/>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8" t="s">
        <v>242</v>
      </c>
      <c r="H1567" s="43" t="s">
        <v>243</v>
      </c>
      <c r="I1567" s="35">
        <f>IF(E1567&lt;&gt;0,1,0)</f>
        <v>0</v>
      </c>
      <c r="J1567" s="310" t="s">
        <v>244</v>
      </c>
      <c r="K1567" s="31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9"/>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8" t="s">
        <v>251</v>
      </c>
      <c r="H1569" s="51" t="s">
        <v>252</v>
      </c>
      <c r="I1569" s="112">
        <f>E1568</f>
        <v>0</v>
      </c>
      <c r="J1569" s="312" t="s">
        <v>253</v>
      </c>
      <c r="K1569" s="313"/>
      <c r="L1569" s="31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9"/>
      <c r="H1570" s="47" t="s">
        <v>257</v>
      </c>
      <c r="I1570" s="35" t="str">
        <f>IF(E1568="","0",IF(AND(E1565="EUC",E1566=432), I1569+(203-E1567),IF(E1568=0,0,(E1568+(E1566-E1567)-1))))</f>
        <v>0</v>
      </c>
      <c r="J1570" s="293" t="str">
        <f>IFERROR(IF(OR(E1565="EUC",E1565="SS"),"---",IF(OR(P1564,S1564),"NO 2F Tethers for RPX!",IF(OR(P1566,S1566),"NO 6F Tethers for RPX!","---"))),"---")</f>
        <v>---</v>
      </c>
      <c r="K1570" s="294"/>
      <c r="L1570" s="295"/>
      <c r="M1570" s="293" t="str">
        <f>IF(E1567&gt;60,"Dead Count &gt;60: Consider Downsize","---")</f>
        <v>---</v>
      </c>
      <c r="N1570" s="294"/>
      <c r="O1570" s="294"/>
      <c r="P1570" s="294"/>
      <c r="Q1570" s="294"/>
      <c r="R1570" s="294"/>
      <c r="S1570" s="294"/>
      <c r="T1570" s="294"/>
      <c r="U1570" s="295"/>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3"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4"/>
      <c r="L1571" s="295"/>
      <c r="M1571" s="293" t="str">
        <f>IF(AND(OR(E1565="SS",E1565="RPX",E1565="EUC",E1565="RPX-T"),(OR(C1575="",C1575="Field SPL"))),"Cannot have FlexNap cables without tethers","---")</f>
        <v>---</v>
      </c>
      <c r="N1571" s="294"/>
      <c r="O1571" s="294"/>
      <c r="P1571" s="294"/>
      <c r="Q1571" s="294"/>
      <c r="R1571" s="294"/>
      <c r="S1571" s="294"/>
      <c r="T1571" s="294"/>
      <c r="U1571" s="295"/>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3" t="str">
        <f>IF(AND(OR(E1565="RPX", E1565="RPX-T", E1565="SS"),E1566=216),"NO 216 For RPX, RPX-T, OR SS CABLE","---")</f>
        <v>---</v>
      </c>
      <c r="K1572" s="294"/>
      <c r="L1572" s="295"/>
      <c r="M1572" s="293" t="str" cm="1">
        <f t="array" ref="M1572">IF(AND(E1565="",OR(C1575:C1599="FST",C1575:C1599="REV T",C1575:C1599="DBL REV",C1575:C1599="TPL REV", C1575:C1599="QD REV")),"Non-FlexNap cables cannot have tethers","---")</f>
        <v>---</v>
      </c>
      <c r="N1572" s="294"/>
      <c r="O1572" s="294"/>
      <c r="P1572" s="294"/>
      <c r="Q1572" s="294"/>
      <c r="R1572" s="294"/>
      <c r="S1572" s="294"/>
      <c r="T1572" s="294"/>
      <c r="U1572" s="295"/>
      <c r="V1572" s="25"/>
      <c r="W1572" s="58"/>
      <c r="X1572" s="58"/>
      <c r="Y1572" s="25"/>
      <c r="Z1572" s="45">
        <v>6</v>
      </c>
      <c r="AA1572" s="65">
        <v>61</v>
      </c>
      <c r="AB1572" s="65">
        <v>72</v>
      </c>
      <c r="AC1572" s="25"/>
      <c r="AD1572" s="25"/>
      <c r="BA1572" s="226"/>
    </row>
    <row r="1573" spans="1:53" ht="15.75" customHeight="1" thickBot="1" x14ac:dyDescent="0.3">
      <c r="A1573" s="88"/>
      <c r="B1573" s="278" t="s">
        <v>260</v>
      </c>
      <c r="C1573" s="315" t="s">
        <v>261</v>
      </c>
      <c r="D1573" s="315" t="s">
        <v>262</v>
      </c>
      <c r="E1573" s="317" t="s">
        <v>263</v>
      </c>
      <c r="F1573" s="315" t="s">
        <v>264</v>
      </c>
      <c r="G1573" s="280" t="s">
        <v>265</v>
      </c>
      <c r="H1573" s="280" t="s">
        <v>266</v>
      </c>
      <c r="I1573" s="280" t="s">
        <v>267</v>
      </c>
      <c r="J1573" s="319" t="s">
        <v>268</v>
      </c>
      <c r="K1573" s="315" t="s">
        <v>269</v>
      </c>
      <c r="L1573" s="321" t="s">
        <v>270</v>
      </c>
      <c r="M1573" s="323" t="s">
        <v>271</v>
      </c>
      <c r="N1573" s="323"/>
      <c r="O1573" s="323"/>
      <c r="P1573" s="323"/>
      <c r="Q1573" s="323"/>
      <c r="R1573" s="323"/>
      <c r="S1573" s="323"/>
      <c r="T1573" s="323"/>
      <c r="U1573" s="324"/>
      <c r="V1573" s="107"/>
      <c r="W1573" s="72"/>
      <c r="X1573" s="72"/>
      <c r="Y1573" s="72"/>
      <c r="Z1573" s="45">
        <v>7</v>
      </c>
      <c r="AA1573" s="65">
        <v>73</v>
      </c>
      <c r="AB1573" s="65">
        <v>84</v>
      </c>
      <c r="AC1573" s="25"/>
      <c r="AD1573" s="25"/>
      <c r="BA1573" s="228"/>
    </row>
    <row r="1574" spans="1:53" ht="15.75" thickBot="1" x14ac:dyDescent="0.3">
      <c r="A1574" s="88"/>
      <c r="B1574" s="279"/>
      <c r="C1574" s="316"/>
      <c r="D1574" s="316"/>
      <c r="E1574" s="318"/>
      <c r="F1574" s="316"/>
      <c r="G1574" s="281"/>
      <c r="H1574" s="281"/>
      <c r="I1574" s="281"/>
      <c r="J1574" s="320"/>
      <c r="K1574" s="316"/>
      <c r="L1574" s="322"/>
      <c r="M1574" s="325"/>
      <c r="N1574" s="325"/>
      <c r="O1574" s="325"/>
      <c r="P1574" s="325"/>
      <c r="Q1574" s="325"/>
      <c r="R1574" s="325"/>
      <c r="S1574" s="325"/>
      <c r="T1574" s="325"/>
      <c r="U1574" s="326"/>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6"/>
      <c r="N1575" s="296"/>
      <c r="O1575" s="296"/>
      <c r="P1575" s="296"/>
      <c r="Q1575" s="296"/>
      <c r="R1575" s="296"/>
      <c r="S1575" s="296"/>
      <c r="T1575" s="296"/>
      <c r="U1575" s="297"/>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6"/>
      <c r="N1576" s="296"/>
      <c r="O1576" s="296"/>
      <c r="P1576" s="296"/>
      <c r="Q1576" s="296"/>
      <c r="R1576" s="296"/>
      <c r="S1576" s="296"/>
      <c r="T1576" s="296"/>
      <c r="U1576" s="297"/>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6"/>
      <c r="N1577" s="296"/>
      <c r="O1577" s="296"/>
      <c r="P1577" s="296"/>
      <c r="Q1577" s="296"/>
      <c r="R1577" s="296"/>
      <c r="S1577" s="296"/>
      <c r="T1577" s="296"/>
      <c r="U1577" s="297"/>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6"/>
      <c r="N1578" s="296"/>
      <c r="O1578" s="296"/>
      <c r="P1578" s="296"/>
      <c r="Q1578" s="296"/>
      <c r="R1578" s="296"/>
      <c r="S1578" s="296"/>
      <c r="T1578" s="296"/>
      <c r="U1578" s="297"/>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6"/>
      <c r="N1579" s="296"/>
      <c r="O1579" s="296"/>
      <c r="P1579" s="296"/>
      <c r="Q1579" s="296"/>
      <c r="R1579" s="296"/>
      <c r="S1579" s="296"/>
      <c r="T1579" s="296"/>
      <c r="U1579" s="297"/>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6"/>
      <c r="N1580" s="296"/>
      <c r="O1580" s="296"/>
      <c r="P1580" s="296"/>
      <c r="Q1580" s="296"/>
      <c r="R1580" s="296"/>
      <c r="S1580" s="296"/>
      <c r="T1580" s="296"/>
      <c r="U1580" s="297"/>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6"/>
      <c r="N1581" s="296"/>
      <c r="O1581" s="296"/>
      <c r="P1581" s="296"/>
      <c r="Q1581" s="296"/>
      <c r="R1581" s="296"/>
      <c r="S1581" s="296"/>
      <c r="T1581" s="296"/>
      <c r="U1581" s="297"/>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6"/>
      <c r="N1582" s="296"/>
      <c r="O1582" s="296"/>
      <c r="P1582" s="296"/>
      <c r="Q1582" s="296"/>
      <c r="R1582" s="296"/>
      <c r="S1582" s="296"/>
      <c r="T1582" s="296"/>
      <c r="U1582" s="297"/>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6"/>
      <c r="N1583" s="296"/>
      <c r="O1583" s="296"/>
      <c r="P1583" s="296"/>
      <c r="Q1583" s="296"/>
      <c r="R1583" s="296"/>
      <c r="S1583" s="296"/>
      <c r="T1583" s="296"/>
      <c r="U1583" s="297"/>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6"/>
      <c r="N1584" s="296"/>
      <c r="O1584" s="296"/>
      <c r="P1584" s="296"/>
      <c r="Q1584" s="296"/>
      <c r="R1584" s="296"/>
      <c r="S1584" s="296"/>
      <c r="T1584" s="296"/>
      <c r="U1584" s="297"/>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6"/>
      <c r="N1585" s="296"/>
      <c r="O1585" s="296"/>
      <c r="P1585" s="296"/>
      <c r="Q1585" s="296"/>
      <c r="R1585" s="296"/>
      <c r="S1585" s="296"/>
      <c r="T1585" s="296"/>
      <c r="U1585" s="297"/>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6"/>
      <c r="N1586" s="296"/>
      <c r="O1586" s="296"/>
      <c r="P1586" s="296"/>
      <c r="Q1586" s="296"/>
      <c r="R1586" s="296"/>
      <c r="S1586" s="296"/>
      <c r="T1586" s="296"/>
      <c r="U1586" s="297"/>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6"/>
      <c r="N1587" s="296"/>
      <c r="O1587" s="296"/>
      <c r="P1587" s="296"/>
      <c r="Q1587" s="296"/>
      <c r="R1587" s="296"/>
      <c r="S1587" s="296"/>
      <c r="T1587" s="296"/>
      <c r="U1587" s="297"/>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6"/>
      <c r="N1588" s="296"/>
      <c r="O1588" s="296"/>
      <c r="P1588" s="296"/>
      <c r="Q1588" s="296"/>
      <c r="R1588" s="296"/>
      <c r="S1588" s="296"/>
      <c r="T1588" s="296"/>
      <c r="U1588" s="297"/>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6"/>
      <c r="N1589" s="296"/>
      <c r="O1589" s="296"/>
      <c r="P1589" s="296"/>
      <c r="Q1589" s="296"/>
      <c r="R1589" s="296"/>
      <c r="S1589" s="296"/>
      <c r="T1589" s="296"/>
      <c r="U1589" s="297"/>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6"/>
      <c r="N1590" s="296"/>
      <c r="O1590" s="296"/>
      <c r="P1590" s="296"/>
      <c r="Q1590" s="296"/>
      <c r="R1590" s="296"/>
      <c r="S1590" s="296"/>
      <c r="T1590" s="296"/>
      <c r="U1590" s="297"/>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6"/>
      <c r="N1591" s="296"/>
      <c r="O1591" s="296"/>
      <c r="P1591" s="296"/>
      <c r="Q1591" s="296"/>
      <c r="R1591" s="296"/>
      <c r="S1591" s="296"/>
      <c r="T1591" s="296"/>
      <c r="U1591" s="297"/>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6"/>
      <c r="N1592" s="296"/>
      <c r="O1592" s="296"/>
      <c r="P1592" s="296"/>
      <c r="Q1592" s="296"/>
      <c r="R1592" s="296"/>
      <c r="S1592" s="296"/>
      <c r="T1592" s="296"/>
      <c r="U1592" s="297"/>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6"/>
      <c r="N1593" s="296"/>
      <c r="O1593" s="296"/>
      <c r="P1593" s="296"/>
      <c r="Q1593" s="296"/>
      <c r="R1593" s="296"/>
      <c r="S1593" s="296"/>
      <c r="T1593" s="296"/>
      <c r="U1593" s="297"/>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6"/>
      <c r="N1594" s="296"/>
      <c r="O1594" s="296"/>
      <c r="P1594" s="296"/>
      <c r="Q1594" s="296"/>
      <c r="R1594" s="296"/>
      <c r="S1594" s="296"/>
      <c r="T1594" s="296"/>
      <c r="U1594" s="297"/>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6"/>
      <c r="N1595" s="296"/>
      <c r="O1595" s="296"/>
      <c r="P1595" s="296"/>
      <c r="Q1595" s="296"/>
      <c r="R1595" s="296"/>
      <c r="S1595" s="296"/>
      <c r="T1595" s="296"/>
      <c r="U1595" s="297"/>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6"/>
      <c r="N1596" s="296"/>
      <c r="O1596" s="296"/>
      <c r="P1596" s="296"/>
      <c r="Q1596" s="296"/>
      <c r="R1596" s="296"/>
      <c r="S1596" s="296"/>
      <c r="T1596" s="296"/>
      <c r="U1596" s="297"/>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6"/>
      <c r="N1597" s="296"/>
      <c r="O1597" s="296"/>
      <c r="P1597" s="296"/>
      <c r="Q1597" s="296"/>
      <c r="R1597" s="296"/>
      <c r="S1597" s="296"/>
      <c r="T1597" s="296"/>
      <c r="U1597" s="297"/>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6"/>
      <c r="N1598" s="296"/>
      <c r="O1598" s="296"/>
      <c r="P1598" s="296"/>
      <c r="Q1598" s="296"/>
      <c r="R1598" s="296"/>
      <c r="S1598" s="296"/>
      <c r="T1598" s="296"/>
      <c r="U1598" s="297"/>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6"/>
      <c r="N1599" s="296"/>
      <c r="O1599" s="296"/>
      <c r="P1599" s="296"/>
      <c r="Q1599" s="296"/>
      <c r="R1599" s="296"/>
      <c r="S1599" s="296"/>
      <c r="T1599" s="296"/>
      <c r="U1599" s="297"/>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2" t="s">
        <v>381</v>
      </c>
      <c r="C1600" s="284"/>
      <c r="D1600" s="79"/>
      <c r="E1600" s="80"/>
      <c r="F1600" s="80"/>
      <c r="G1600" s="81"/>
      <c r="H1600" s="192"/>
      <c r="I1600" s="192"/>
      <c r="J1600" s="192"/>
      <c r="K1600" s="82"/>
      <c r="L1600" s="282" t="s">
        <v>306</v>
      </c>
      <c r="M1600" s="283"/>
      <c r="N1600" s="283"/>
      <c r="O1600" s="283"/>
      <c r="P1600" s="283"/>
      <c r="Q1600" s="283"/>
      <c r="R1600" s="283"/>
      <c r="S1600" s="283"/>
      <c r="T1600" s="283"/>
      <c r="U1600" s="284"/>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2" t="s">
        <v>307</v>
      </c>
      <c r="C1601" s="284"/>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5" t="s">
        <v>222</v>
      </c>
      <c r="C1605" s="286"/>
      <c r="D1605" s="287" t="s">
        <v>223</v>
      </c>
      <c r="E1605" s="288"/>
      <c r="F1605" s="88"/>
      <c r="G1605" s="289" t="s">
        <v>224</v>
      </c>
      <c r="H1605" s="290"/>
      <c r="I1605" s="28">
        <f>SUM(E1616:E1640)</f>
        <v>0</v>
      </c>
      <c r="J1605" s="291" t="s">
        <v>225</v>
      </c>
      <c r="K1605" s="292"/>
      <c r="L1605" s="288"/>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8" t="s">
        <v>226</v>
      </c>
      <c r="AA1605" s="299"/>
      <c r="AB1605" s="300"/>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1" t="s">
        <v>230</v>
      </c>
      <c r="H1606" s="288"/>
      <c r="I1606" s="33">
        <f>E1607-I1605</f>
        <v>0</v>
      </c>
      <c r="J1606" s="302" t="s">
        <v>231</v>
      </c>
      <c r="K1606" s="303"/>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4" t="s">
        <v>232</v>
      </c>
      <c r="AA1606" s="306" t="s">
        <v>233</v>
      </c>
      <c r="AB1606" s="307"/>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0" t="s">
        <v>237</v>
      </c>
      <c r="H1607" s="311"/>
      <c r="I1607" s="35">
        <f>IF(E1607=0,0,12-(MOD(I1605,12)))</f>
        <v>0</v>
      </c>
      <c r="J1607" s="302" t="s">
        <v>238</v>
      </c>
      <c r="K1607" s="303"/>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5"/>
      <c r="AA1607" s="308"/>
      <c r="AB1607" s="309"/>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8" t="s">
        <v>242</v>
      </c>
      <c r="H1608" s="43" t="s">
        <v>243</v>
      </c>
      <c r="I1608" s="35">
        <f>IF(E1608&lt;&gt;0,1,0)</f>
        <v>0</v>
      </c>
      <c r="J1608" s="310" t="s">
        <v>244</v>
      </c>
      <c r="K1608" s="31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9"/>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8" t="s">
        <v>251</v>
      </c>
      <c r="H1610" s="51" t="s">
        <v>252</v>
      </c>
      <c r="I1610" s="112">
        <f>E1609</f>
        <v>0</v>
      </c>
      <c r="J1610" s="312" t="s">
        <v>253</v>
      </c>
      <c r="K1610" s="313"/>
      <c r="L1610" s="31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9"/>
      <c r="H1611" s="47" t="s">
        <v>257</v>
      </c>
      <c r="I1611" s="35" t="str">
        <f>IF(E1609="","0",IF(AND(E1606="EUC",E1607=432), I1610+(203-E1608),IF(E1609=0,0,(E1609+(E1607-E1608)-1))))</f>
        <v>0</v>
      </c>
      <c r="J1611" s="293" t="str">
        <f>IFERROR(IF(OR(E1606="EUC",E1606="SS"),"---",IF(OR(P1605,S1605),"NO 2F Tethers for RPX!",IF(OR(P1607,S1607),"NO 6F Tethers for RPX!","---"))),"---")</f>
        <v>---</v>
      </c>
      <c r="K1611" s="294"/>
      <c r="L1611" s="295"/>
      <c r="M1611" s="293" t="str">
        <f>IF(E1608&gt;60,"Dead Count &gt;60: Consider Downsize","---")</f>
        <v>---</v>
      </c>
      <c r="N1611" s="294"/>
      <c r="O1611" s="294"/>
      <c r="P1611" s="294"/>
      <c r="Q1611" s="294"/>
      <c r="R1611" s="294"/>
      <c r="S1611" s="294"/>
      <c r="T1611" s="294"/>
      <c r="U1611" s="295"/>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3"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4"/>
      <c r="L1612" s="295"/>
      <c r="M1612" s="293" t="str">
        <f>IF(AND(OR(E1606="SS",E1606="RPX",E1606="EUC",E1606="RPX-T"),(OR(C1616="",C1616="Field SPL"))),"Cannot have FlexNap cables without tethers","---")</f>
        <v>---</v>
      </c>
      <c r="N1612" s="294"/>
      <c r="O1612" s="294"/>
      <c r="P1612" s="294"/>
      <c r="Q1612" s="294"/>
      <c r="R1612" s="294"/>
      <c r="S1612" s="294"/>
      <c r="T1612" s="294"/>
      <c r="U1612" s="295"/>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3" t="str">
        <f>IF(AND(OR(E1606="RPX", E1606="RPX-T", E1606="SS"),E1607=216),"NO 216 For RPX, RPX-T, OR SS CABLE","---")</f>
        <v>---</v>
      </c>
      <c r="K1613" s="294"/>
      <c r="L1613" s="295"/>
      <c r="M1613" s="293" t="str" cm="1">
        <f t="array" ref="M1613">IF(AND(E1606="",OR(C1616:C1640="FST",C1616:C1640="REV T",C1616:C1640="DBL REV",C1616:C1640="TPL REV", C1616:C1640="QD REV")),"Non-FlexNap cables cannot have tethers","---")</f>
        <v>---</v>
      </c>
      <c r="N1613" s="294"/>
      <c r="O1613" s="294"/>
      <c r="P1613" s="294"/>
      <c r="Q1613" s="294"/>
      <c r="R1613" s="294"/>
      <c r="S1613" s="294"/>
      <c r="T1613" s="294"/>
      <c r="U1613" s="295"/>
      <c r="V1613" s="25"/>
      <c r="W1613" s="58"/>
      <c r="X1613" s="58"/>
      <c r="Y1613" s="25"/>
      <c r="Z1613" s="45">
        <v>6</v>
      </c>
      <c r="AA1613" s="65">
        <v>61</v>
      </c>
      <c r="AB1613" s="65">
        <v>72</v>
      </c>
      <c r="AC1613" s="25"/>
      <c r="AD1613" s="25"/>
      <c r="BA1613" s="226"/>
    </row>
    <row r="1614" spans="1:53" ht="15.75" customHeight="1" thickBot="1" x14ac:dyDescent="0.3">
      <c r="A1614" s="88"/>
      <c r="B1614" s="278" t="s">
        <v>260</v>
      </c>
      <c r="C1614" s="315" t="s">
        <v>261</v>
      </c>
      <c r="D1614" s="315" t="s">
        <v>262</v>
      </c>
      <c r="E1614" s="317" t="s">
        <v>263</v>
      </c>
      <c r="F1614" s="315" t="s">
        <v>264</v>
      </c>
      <c r="G1614" s="280" t="s">
        <v>265</v>
      </c>
      <c r="H1614" s="280" t="s">
        <v>266</v>
      </c>
      <c r="I1614" s="280" t="s">
        <v>267</v>
      </c>
      <c r="J1614" s="319" t="s">
        <v>268</v>
      </c>
      <c r="K1614" s="315" t="s">
        <v>269</v>
      </c>
      <c r="L1614" s="321" t="s">
        <v>270</v>
      </c>
      <c r="M1614" s="323" t="s">
        <v>271</v>
      </c>
      <c r="N1614" s="323"/>
      <c r="O1614" s="323"/>
      <c r="P1614" s="323"/>
      <c r="Q1614" s="323"/>
      <c r="R1614" s="323"/>
      <c r="S1614" s="323"/>
      <c r="T1614" s="323"/>
      <c r="U1614" s="324"/>
      <c r="V1614" s="107"/>
      <c r="W1614" s="72"/>
      <c r="X1614" s="72"/>
      <c r="Y1614" s="72"/>
      <c r="Z1614" s="45">
        <v>7</v>
      </c>
      <c r="AA1614" s="65">
        <v>73</v>
      </c>
      <c r="AB1614" s="65">
        <v>84</v>
      </c>
      <c r="AC1614" s="25"/>
      <c r="AD1614" s="25"/>
      <c r="BA1614" s="228"/>
    </row>
    <row r="1615" spans="1:53" ht="15.75" thickBot="1" x14ac:dyDescent="0.3">
      <c r="A1615" s="88"/>
      <c r="B1615" s="279"/>
      <c r="C1615" s="316"/>
      <c r="D1615" s="316"/>
      <c r="E1615" s="318"/>
      <c r="F1615" s="316"/>
      <c r="G1615" s="281"/>
      <c r="H1615" s="281"/>
      <c r="I1615" s="281"/>
      <c r="J1615" s="320"/>
      <c r="K1615" s="316"/>
      <c r="L1615" s="322"/>
      <c r="M1615" s="325"/>
      <c r="N1615" s="325"/>
      <c r="O1615" s="325"/>
      <c r="P1615" s="325"/>
      <c r="Q1615" s="325"/>
      <c r="R1615" s="325"/>
      <c r="S1615" s="325"/>
      <c r="T1615" s="325"/>
      <c r="U1615" s="326"/>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6"/>
      <c r="N1616" s="296"/>
      <c r="O1616" s="296"/>
      <c r="P1616" s="296"/>
      <c r="Q1616" s="296"/>
      <c r="R1616" s="296"/>
      <c r="S1616" s="296"/>
      <c r="T1616" s="296"/>
      <c r="U1616" s="297"/>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6"/>
      <c r="N1617" s="296"/>
      <c r="O1617" s="296"/>
      <c r="P1617" s="296"/>
      <c r="Q1617" s="296"/>
      <c r="R1617" s="296"/>
      <c r="S1617" s="296"/>
      <c r="T1617" s="296"/>
      <c r="U1617" s="297"/>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6"/>
      <c r="N1618" s="296"/>
      <c r="O1618" s="296"/>
      <c r="P1618" s="296"/>
      <c r="Q1618" s="296"/>
      <c r="R1618" s="296"/>
      <c r="S1618" s="296"/>
      <c r="T1618" s="296"/>
      <c r="U1618" s="297"/>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6"/>
      <c r="N1619" s="296"/>
      <c r="O1619" s="296"/>
      <c r="P1619" s="296"/>
      <c r="Q1619" s="296"/>
      <c r="R1619" s="296"/>
      <c r="S1619" s="296"/>
      <c r="T1619" s="296"/>
      <c r="U1619" s="297"/>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6"/>
      <c r="N1620" s="296"/>
      <c r="O1620" s="296"/>
      <c r="P1620" s="296"/>
      <c r="Q1620" s="296"/>
      <c r="R1620" s="296"/>
      <c r="S1620" s="296"/>
      <c r="T1620" s="296"/>
      <c r="U1620" s="297"/>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6"/>
      <c r="N1621" s="296"/>
      <c r="O1621" s="296"/>
      <c r="P1621" s="296"/>
      <c r="Q1621" s="296"/>
      <c r="R1621" s="296"/>
      <c r="S1621" s="296"/>
      <c r="T1621" s="296"/>
      <c r="U1621" s="297"/>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6"/>
      <c r="N1622" s="296"/>
      <c r="O1622" s="296"/>
      <c r="P1622" s="296"/>
      <c r="Q1622" s="296"/>
      <c r="R1622" s="296"/>
      <c r="S1622" s="296"/>
      <c r="T1622" s="296"/>
      <c r="U1622" s="297"/>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6"/>
      <c r="N1623" s="296"/>
      <c r="O1623" s="296"/>
      <c r="P1623" s="296"/>
      <c r="Q1623" s="296"/>
      <c r="R1623" s="296"/>
      <c r="S1623" s="296"/>
      <c r="T1623" s="296"/>
      <c r="U1623" s="297"/>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6"/>
      <c r="N1624" s="296"/>
      <c r="O1624" s="296"/>
      <c r="P1624" s="296"/>
      <c r="Q1624" s="296"/>
      <c r="R1624" s="296"/>
      <c r="S1624" s="296"/>
      <c r="T1624" s="296"/>
      <c r="U1624" s="297"/>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6"/>
      <c r="N1625" s="296"/>
      <c r="O1625" s="296"/>
      <c r="P1625" s="296"/>
      <c r="Q1625" s="296"/>
      <c r="R1625" s="296"/>
      <c r="S1625" s="296"/>
      <c r="T1625" s="296"/>
      <c r="U1625" s="297"/>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6"/>
      <c r="N1626" s="296"/>
      <c r="O1626" s="296"/>
      <c r="P1626" s="296"/>
      <c r="Q1626" s="296"/>
      <c r="R1626" s="296"/>
      <c r="S1626" s="296"/>
      <c r="T1626" s="296"/>
      <c r="U1626" s="297"/>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6"/>
      <c r="N1627" s="296"/>
      <c r="O1627" s="296"/>
      <c r="P1627" s="296"/>
      <c r="Q1627" s="296"/>
      <c r="R1627" s="296"/>
      <c r="S1627" s="296"/>
      <c r="T1627" s="296"/>
      <c r="U1627" s="297"/>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6"/>
      <c r="N1628" s="296"/>
      <c r="O1628" s="296"/>
      <c r="P1628" s="296"/>
      <c r="Q1628" s="296"/>
      <c r="R1628" s="296"/>
      <c r="S1628" s="296"/>
      <c r="T1628" s="296"/>
      <c r="U1628" s="297"/>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6"/>
      <c r="N1629" s="296"/>
      <c r="O1629" s="296"/>
      <c r="P1629" s="296"/>
      <c r="Q1629" s="296"/>
      <c r="R1629" s="296"/>
      <c r="S1629" s="296"/>
      <c r="T1629" s="296"/>
      <c r="U1629" s="297"/>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6"/>
      <c r="N1630" s="296"/>
      <c r="O1630" s="296"/>
      <c r="P1630" s="296"/>
      <c r="Q1630" s="296"/>
      <c r="R1630" s="296"/>
      <c r="S1630" s="296"/>
      <c r="T1630" s="296"/>
      <c r="U1630" s="297"/>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6"/>
      <c r="N1631" s="296"/>
      <c r="O1631" s="296"/>
      <c r="P1631" s="296"/>
      <c r="Q1631" s="296"/>
      <c r="R1631" s="296"/>
      <c r="S1631" s="296"/>
      <c r="T1631" s="296"/>
      <c r="U1631" s="297"/>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6"/>
      <c r="N1632" s="296"/>
      <c r="O1632" s="296"/>
      <c r="P1632" s="296"/>
      <c r="Q1632" s="296"/>
      <c r="R1632" s="296"/>
      <c r="S1632" s="296"/>
      <c r="T1632" s="296"/>
      <c r="U1632" s="297"/>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6"/>
      <c r="N1633" s="296"/>
      <c r="O1633" s="296"/>
      <c r="P1633" s="296"/>
      <c r="Q1633" s="296"/>
      <c r="R1633" s="296"/>
      <c r="S1633" s="296"/>
      <c r="T1633" s="296"/>
      <c r="U1633" s="297"/>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6"/>
      <c r="N1634" s="296"/>
      <c r="O1634" s="296"/>
      <c r="P1634" s="296"/>
      <c r="Q1634" s="296"/>
      <c r="R1634" s="296"/>
      <c r="S1634" s="296"/>
      <c r="T1634" s="296"/>
      <c r="U1634" s="297"/>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6"/>
      <c r="N1635" s="296"/>
      <c r="O1635" s="296"/>
      <c r="P1635" s="296"/>
      <c r="Q1635" s="296"/>
      <c r="R1635" s="296"/>
      <c r="S1635" s="296"/>
      <c r="T1635" s="296"/>
      <c r="U1635" s="297"/>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6"/>
      <c r="N1636" s="296"/>
      <c r="O1636" s="296"/>
      <c r="P1636" s="296"/>
      <c r="Q1636" s="296"/>
      <c r="R1636" s="296"/>
      <c r="S1636" s="296"/>
      <c r="T1636" s="296"/>
      <c r="U1636" s="297"/>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6"/>
      <c r="N1637" s="296"/>
      <c r="O1637" s="296"/>
      <c r="P1637" s="296"/>
      <c r="Q1637" s="296"/>
      <c r="R1637" s="296"/>
      <c r="S1637" s="296"/>
      <c r="T1637" s="296"/>
      <c r="U1637" s="297"/>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6"/>
      <c r="N1638" s="296"/>
      <c r="O1638" s="296"/>
      <c r="P1638" s="296"/>
      <c r="Q1638" s="296"/>
      <c r="R1638" s="296"/>
      <c r="S1638" s="296"/>
      <c r="T1638" s="296"/>
      <c r="U1638" s="297"/>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6"/>
      <c r="N1639" s="296"/>
      <c r="O1639" s="296"/>
      <c r="P1639" s="296"/>
      <c r="Q1639" s="296"/>
      <c r="R1639" s="296"/>
      <c r="S1639" s="296"/>
      <c r="T1639" s="296"/>
      <c r="U1639" s="297"/>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6"/>
      <c r="N1640" s="296"/>
      <c r="O1640" s="296"/>
      <c r="P1640" s="296"/>
      <c r="Q1640" s="296"/>
      <c r="R1640" s="296"/>
      <c r="S1640" s="296"/>
      <c r="T1640" s="296"/>
      <c r="U1640" s="297"/>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2" t="s">
        <v>383</v>
      </c>
      <c r="C1641" s="284"/>
      <c r="D1641" s="79"/>
      <c r="E1641" s="80"/>
      <c r="F1641" s="80"/>
      <c r="G1641" s="81"/>
      <c r="H1641" s="192"/>
      <c r="I1641" s="192"/>
      <c r="J1641" s="192"/>
      <c r="K1641" s="82"/>
      <c r="L1641" s="282" t="s">
        <v>306</v>
      </c>
      <c r="M1641" s="283"/>
      <c r="N1641" s="283"/>
      <c r="O1641" s="283"/>
      <c r="P1641" s="283"/>
      <c r="Q1641" s="283"/>
      <c r="R1641" s="283"/>
      <c r="S1641" s="283"/>
      <c r="T1641" s="283"/>
      <c r="U1641" s="284"/>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2" t="s">
        <v>307</v>
      </c>
      <c r="C1642" s="284"/>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5" t="s">
        <v>222</v>
      </c>
      <c r="C1646" s="286"/>
      <c r="D1646" s="287" t="s">
        <v>223</v>
      </c>
      <c r="E1646" s="288"/>
      <c r="F1646" s="88"/>
      <c r="G1646" s="289" t="s">
        <v>224</v>
      </c>
      <c r="H1646" s="290"/>
      <c r="I1646" s="28">
        <f>SUM(E1657:E1681)</f>
        <v>0</v>
      </c>
      <c r="J1646" s="291" t="s">
        <v>225</v>
      </c>
      <c r="K1646" s="292"/>
      <c r="L1646" s="288"/>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8" t="s">
        <v>226</v>
      </c>
      <c r="AA1646" s="299"/>
      <c r="AB1646" s="300"/>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1" t="s">
        <v>230</v>
      </c>
      <c r="H1647" s="288"/>
      <c r="I1647" s="33">
        <f>E1648-I1646</f>
        <v>0</v>
      </c>
      <c r="J1647" s="302" t="s">
        <v>231</v>
      </c>
      <c r="K1647" s="303"/>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4" t="s">
        <v>232</v>
      </c>
      <c r="AA1647" s="306" t="s">
        <v>233</v>
      </c>
      <c r="AB1647" s="307"/>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0" t="s">
        <v>237</v>
      </c>
      <c r="H1648" s="311"/>
      <c r="I1648" s="35">
        <f>IF(E1648=0,0,12-(MOD(I1646,12)))</f>
        <v>0</v>
      </c>
      <c r="J1648" s="302" t="s">
        <v>238</v>
      </c>
      <c r="K1648" s="303"/>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5"/>
      <c r="AA1648" s="308"/>
      <c r="AB1648" s="309"/>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8" t="s">
        <v>242</v>
      </c>
      <c r="H1649" s="43" t="s">
        <v>243</v>
      </c>
      <c r="I1649" s="35">
        <f>IF(E1649&lt;&gt;0,1,0)</f>
        <v>0</v>
      </c>
      <c r="J1649" s="310" t="s">
        <v>244</v>
      </c>
      <c r="K1649" s="31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9"/>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8" t="s">
        <v>251</v>
      </c>
      <c r="H1651" s="51" t="s">
        <v>252</v>
      </c>
      <c r="I1651" s="112">
        <f>E1650</f>
        <v>0</v>
      </c>
      <c r="J1651" s="312" t="s">
        <v>253</v>
      </c>
      <c r="K1651" s="313"/>
      <c r="L1651" s="31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9"/>
      <c r="H1652" s="47" t="s">
        <v>257</v>
      </c>
      <c r="I1652" s="35" t="str">
        <f>IF(E1650="","0",IF(AND(E1647="EUC",E1648=432), I1651+(203-E1649),IF(E1650=0,0,(E1650+(E1648-E1649)-1))))</f>
        <v>0</v>
      </c>
      <c r="J1652" s="293" t="str">
        <f>IFERROR(IF(OR(E1647="EUC",E1647="SS"),"---",IF(OR(P1646,S1646),"NO 2F Tethers for RPX!",IF(OR(P1648,S1648),"NO 6F Tethers for RPX!","---"))),"---")</f>
        <v>---</v>
      </c>
      <c r="K1652" s="294"/>
      <c r="L1652" s="295"/>
      <c r="M1652" s="293" t="str">
        <f>IF(E1649&gt;60,"Dead Count &gt;60: Consider Downsize","---")</f>
        <v>---</v>
      </c>
      <c r="N1652" s="294"/>
      <c r="O1652" s="294"/>
      <c r="P1652" s="294"/>
      <c r="Q1652" s="294"/>
      <c r="R1652" s="294"/>
      <c r="S1652" s="294"/>
      <c r="T1652" s="294"/>
      <c r="U1652" s="295"/>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3"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4"/>
      <c r="L1653" s="295"/>
      <c r="M1653" s="293" t="str">
        <f>IF(AND(OR(E1647="SS",E1647="RPX",E1647="EUC",E1647="RPX-T"),(OR(C1657="",C1657="Field SPL"))),"Cannot have FlexNap cables without tethers","---")</f>
        <v>---</v>
      </c>
      <c r="N1653" s="294"/>
      <c r="O1653" s="294"/>
      <c r="P1653" s="294"/>
      <c r="Q1653" s="294"/>
      <c r="R1653" s="294"/>
      <c r="S1653" s="294"/>
      <c r="T1653" s="294"/>
      <c r="U1653" s="295"/>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3" t="str">
        <f>IF(AND(OR(E1647="RPX", E1647="RPX-T", E1647="SS"),E1648=216),"NO 216 For RPX, RPX-T, OR SS CABLE","---")</f>
        <v>---</v>
      </c>
      <c r="K1654" s="294"/>
      <c r="L1654" s="295"/>
      <c r="M1654" s="293" t="str" cm="1">
        <f t="array" ref="M1654">IF(AND(E1647="",OR(C1657:C1681="FST",C1657:C1681="REV T",C1657:C1681="DBL REV",C1657:C1681="TPL REV", C1657:C1681="QD REV")),"Non-FlexNap cables cannot have tethers","---")</f>
        <v>---</v>
      </c>
      <c r="N1654" s="294"/>
      <c r="O1654" s="294"/>
      <c r="P1654" s="294"/>
      <c r="Q1654" s="294"/>
      <c r="R1654" s="294"/>
      <c r="S1654" s="294"/>
      <c r="T1654" s="294"/>
      <c r="U1654" s="295"/>
      <c r="V1654" s="25"/>
      <c r="W1654" s="58"/>
      <c r="X1654" s="58"/>
      <c r="Y1654" s="25"/>
      <c r="Z1654" s="45">
        <v>6</v>
      </c>
      <c r="AA1654" s="65">
        <v>61</v>
      </c>
      <c r="AB1654" s="65">
        <v>72</v>
      </c>
      <c r="AC1654" s="25"/>
      <c r="AD1654" s="25"/>
      <c r="BA1654" s="226"/>
    </row>
    <row r="1655" spans="1:53" ht="15.75" customHeight="1" thickBot="1" x14ac:dyDescent="0.3">
      <c r="A1655" s="88"/>
      <c r="B1655" s="278" t="s">
        <v>260</v>
      </c>
      <c r="C1655" s="315" t="s">
        <v>261</v>
      </c>
      <c r="D1655" s="315" t="s">
        <v>262</v>
      </c>
      <c r="E1655" s="317" t="s">
        <v>263</v>
      </c>
      <c r="F1655" s="315" t="s">
        <v>264</v>
      </c>
      <c r="G1655" s="280" t="s">
        <v>265</v>
      </c>
      <c r="H1655" s="280" t="s">
        <v>266</v>
      </c>
      <c r="I1655" s="280" t="s">
        <v>267</v>
      </c>
      <c r="J1655" s="319" t="s">
        <v>268</v>
      </c>
      <c r="K1655" s="315" t="s">
        <v>269</v>
      </c>
      <c r="L1655" s="321" t="s">
        <v>270</v>
      </c>
      <c r="M1655" s="323" t="s">
        <v>271</v>
      </c>
      <c r="N1655" s="323"/>
      <c r="O1655" s="323"/>
      <c r="P1655" s="323"/>
      <c r="Q1655" s="323"/>
      <c r="R1655" s="323"/>
      <c r="S1655" s="323"/>
      <c r="T1655" s="323"/>
      <c r="U1655" s="324"/>
      <c r="V1655" s="107"/>
      <c r="W1655" s="72"/>
      <c r="X1655" s="72"/>
      <c r="Y1655" s="72"/>
      <c r="Z1655" s="45">
        <v>7</v>
      </c>
      <c r="AA1655" s="65">
        <v>73</v>
      </c>
      <c r="AB1655" s="65">
        <v>84</v>
      </c>
      <c r="AC1655" s="25"/>
      <c r="AD1655" s="25"/>
      <c r="BA1655" s="228"/>
    </row>
    <row r="1656" spans="1:53" ht="15.75" thickBot="1" x14ac:dyDescent="0.3">
      <c r="A1656" s="88"/>
      <c r="B1656" s="279"/>
      <c r="C1656" s="316"/>
      <c r="D1656" s="316"/>
      <c r="E1656" s="318"/>
      <c r="F1656" s="316"/>
      <c r="G1656" s="281"/>
      <c r="H1656" s="281"/>
      <c r="I1656" s="281"/>
      <c r="J1656" s="320"/>
      <c r="K1656" s="316"/>
      <c r="L1656" s="322"/>
      <c r="M1656" s="325"/>
      <c r="N1656" s="325"/>
      <c r="O1656" s="325"/>
      <c r="P1656" s="325"/>
      <c r="Q1656" s="325"/>
      <c r="R1656" s="325"/>
      <c r="S1656" s="325"/>
      <c r="T1656" s="325"/>
      <c r="U1656" s="326"/>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6"/>
      <c r="N1657" s="296"/>
      <c r="O1657" s="296"/>
      <c r="P1657" s="296"/>
      <c r="Q1657" s="296"/>
      <c r="R1657" s="296"/>
      <c r="S1657" s="296"/>
      <c r="T1657" s="296"/>
      <c r="U1657" s="297"/>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6"/>
      <c r="N1658" s="296"/>
      <c r="O1658" s="296"/>
      <c r="P1658" s="296"/>
      <c r="Q1658" s="296"/>
      <c r="R1658" s="296"/>
      <c r="S1658" s="296"/>
      <c r="T1658" s="296"/>
      <c r="U1658" s="297"/>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6"/>
      <c r="N1659" s="296"/>
      <c r="O1659" s="296"/>
      <c r="P1659" s="296"/>
      <c r="Q1659" s="296"/>
      <c r="R1659" s="296"/>
      <c r="S1659" s="296"/>
      <c r="T1659" s="296"/>
      <c r="U1659" s="297"/>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6"/>
      <c r="N1660" s="296"/>
      <c r="O1660" s="296"/>
      <c r="P1660" s="296"/>
      <c r="Q1660" s="296"/>
      <c r="R1660" s="296"/>
      <c r="S1660" s="296"/>
      <c r="T1660" s="296"/>
      <c r="U1660" s="297"/>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6"/>
      <c r="N1661" s="296"/>
      <c r="O1661" s="296"/>
      <c r="P1661" s="296"/>
      <c r="Q1661" s="296"/>
      <c r="R1661" s="296"/>
      <c r="S1661" s="296"/>
      <c r="T1661" s="296"/>
      <c r="U1661" s="297"/>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6"/>
      <c r="N1662" s="296"/>
      <c r="O1662" s="296"/>
      <c r="P1662" s="296"/>
      <c r="Q1662" s="296"/>
      <c r="R1662" s="296"/>
      <c r="S1662" s="296"/>
      <c r="T1662" s="296"/>
      <c r="U1662" s="297"/>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6"/>
      <c r="N1663" s="296"/>
      <c r="O1663" s="296"/>
      <c r="P1663" s="296"/>
      <c r="Q1663" s="296"/>
      <c r="R1663" s="296"/>
      <c r="S1663" s="296"/>
      <c r="T1663" s="296"/>
      <c r="U1663" s="297"/>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6"/>
      <c r="N1664" s="296"/>
      <c r="O1664" s="296"/>
      <c r="P1664" s="296"/>
      <c r="Q1664" s="296"/>
      <c r="R1664" s="296"/>
      <c r="S1664" s="296"/>
      <c r="T1664" s="296"/>
      <c r="U1664" s="297"/>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6"/>
      <c r="N1665" s="296"/>
      <c r="O1665" s="296"/>
      <c r="P1665" s="296"/>
      <c r="Q1665" s="296"/>
      <c r="R1665" s="296"/>
      <c r="S1665" s="296"/>
      <c r="T1665" s="296"/>
      <c r="U1665" s="297"/>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6"/>
      <c r="N1666" s="296"/>
      <c r="O1666" s="296"/>
      <c r="P1666" s="296"/>
      <c r="Q1666" s="296"/>
      <c r="R1666" s="296"/>
      <c r="S1666" s="296"/>
      <c r="T1666" s="296"/>
      <c r="U1666" s="297"/>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6"/>
      <c r="N1667" s="296"/>
      <c r="O1667" s="296"/>
      <c r="P1667" s="296"/>
      <c r="Q1667" s="296"/>
      <c r="R1667" s="296"/>
      <c r="S1667" s="296"/>
      <c r="T1667" s="296"/>
      <c r="U1667" s="297"/>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6"/>
      <c r="N1668" s="296"/>
      <c r="O1668" s="296"/>
      <c r="P1668" s="296"/>
      <c r="Q1668" s="296"/>
      <c r="R1668" s="296"/>
      <c r="S1668" s="296"/>
      <c r="T1668" s="296"/>
      <c r="U1668" s="297"/>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6"/>
      <c r="N1669" s="296"/>
      <c r="O1669" s="296"/>
      <c r="P1669" s="296"/>
      <c r="Q1669" s="296"/>
      <c r="R1669" s="296"/>
      <c r="S1669" s="296"/>
      <c r="T1669" s="296"/>
      <c r="U1669" s="297"/>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6"/>
      <c r="N1670" s="296"/>
      <c r="O1670" s="296"/>
      <c r="P1670" s="296"/>
      <c r="Q1670" s="296"/>
      <c r="R1670" s="296"/>
      <c r="S1670" s="296"/>
      <c r="T1670" s="296"/>
      <c r="U1670" s="297"/>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6"/>
      <c r="N1671" s="296"/>
      <c r="O1671" s="296"/>
      <c r="P1671" s="296"/>
      <c r="Q1671" s="296"/>
      <c r="R1671" s="296"/>
      <c r="S1671" s="296"/>
      <c r="T1671" s="296"/>
      <c r="U1671" s="297"/>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6"/>
      <c r="N1672" s="296"/>
      <c r="O1672" s="296"/>
      <c r="P1672" s="296"/>
      <c r="Q1672" s="296"/>
      <c r="R1672" s="296"/>
      <c r="S1672" s="296"/>
      <c r="T1672" s="296"/>
      <c r="U1672" s="297"/>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6"/>
      <c r="N1673" s="296"/>
      <c r="O1673" s="296"/>
      <c r="P1673" s="296"/>
      <c r="Q1673" s="296"/>
      <c r="R1673" s="296"/>
      <c r="S1673" s="296"/>
      <c r="T1673" s="296"/>
      <c r="U1673" s="297"/>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6"/>
      <c r="N1674" s="296"/>
      <c r="O1674" s="296"/>
      <c r="P1674" s="296"/>
      <c r="Q1674" s="296"/>
      <c r="R1674" s="296"/>
      <c r="S1674" s="296"/>
      <c r="T1674" s="296"/>
      <c r="U1674" s="297"/>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6"/>
      <c r="N1675" s="296"/>
      <c r="O1675" s="296"/>
      <c r="P1675" s="296"/>
      <c r="Q1675" s="296"/>
      <c r="R1675" s="296"/>
      <c r="S1675" s="296"/>
      <c r="T1675" s="296"/>
      <c r="U1675" s="297"/>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6"/>
      <c r="N1676" s="296"/>
      <c r="O1676" s="296"/>
      <c r="P1676" s="296"/>
      <c r="Q1676" s="296"/>
      <c r="R1676" s="296"/>
      <c r="S1676" s="296"/>
      <c r="T1676" s="296"/>
      <c r="U1676" s="297"/>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6"/>
      <c r="N1677" s="296"/>
      <c r="O1677" s="296"/>
      <c r="P1677" s="296"/>
      <c r="Q1677" s="296"/>
      <c r="R1677" s="296"/>
      <c r="S1677" s="296"/>
      <c r="T1677" s="296"/>
      <c r="U1677" s="297"/>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6"/>
      <c r="N1678" s="296"/>
      <c r="O1678" s="296"/>
      <c r="P1678" s="296"/>
      <c r="Q1678" s="296"/>
      <c r="R1678" s="296"/>
      <c r="S1678" s="296"/>
      <c r="T1678" s="296"/>
      <c r="U1678" s="297"/>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6"/>
      <c r="N1679" s="296"/>
      <c r="O1679" s="296"/>
      <c r="P1679" s="296"/>
      <c r="Q1679" s="296"/>
      <c r="R1679" s="296"/>
      <c r="S1679" s="296"/>
      <c r="T1679" s="296"/>
      <c r="U1679" s="297"/>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6"/>
      <c r="N1680" s="296"/>
      <c r="O1680" s="296"/>
      <c r="P1680" s="296"/>
      <c r="Q1680" s="296"/>
      <c r="R1680" s="296"/>
      <c r="S1680" s="296"/>
      <c r="T1680" s="296"/>
      <c r="U1680" s="297"/>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6"/>
      <c r="N1681" s="296"/>
      <c r="O1681" s="296"/>
      <c r="P1681" s="296"/>
      <c r="Q1681" s="296"/>
      <c r="R1681" s="296"/>
      <c r="S1681" s="296"/>
      <c r="T1681" s="296"/>
      <c r="U1681" s="297"/>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2" t="s">
        <v>385</v>
      </c>
      <c r="C1682" s="284"/>
      <c r="D1682" s="79"/>
      <c r="E1682" s="80"/>
      <c r="F1682" s="80"/>
      <c r="G1682" s="81"/>
      <c r="H1682" s="192"/>
      <c r="I1682" s="192"/>
      <c r="J1682" s="192"/>
      <c r="K1682" s="82"/>
      <c r="L1682" s="282" t="s">
        <v>306</v>
      </c>
      <c r="M1682" s="283"/>
      <c r="N1682" s="283"/>
      <c r="O1682" s="283"/>
      <c r="P1682" s="283"/>
      <c r="Q1682" s="283"/>
      <c r="R1682" s="283"/>
      <c r="S1682" s="283"/>
      <c r="T1682" s="283"/>
      <c r="U1682" s="284"/>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2" t="s">
        <v>307</v>
      </c>
      <c r="C1683" s="284"/>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5" t="s">
        <v>222</v>
      </c>
      <c r="C1687" s="286"/>
      <c r="D1687" s="287" t="s">
        <v>223</v>
      </c>
      <c r="E1687" s="288"/>
      <c r="F1687" s="88"/>
      <c r="G1687" s="289" t="s">
        <v>224</v>
      </c>
      <c r="H1687" s="290"/>
      <c r="I1687" s="28">
        <f>SUM(E1698:E1722)</f>
        <v>0</v>
      </c>
      <c r="J1687" s="291" t="s">
        <v>225</v>
      </c>
      <c r="K1687" s="292"/>
      <c r="L1687" s="288"/>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8" t="s">
        <v>226</v>
      </c>
      <c r="AA1687" s="299"/>
      <c r="AB1687" s="300"/>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1" t="s">
        <v>230</v>
      </c>
      <c r="H1688" s="288"/>
      <c r="I1688" s="33">
        <f>E1689-I1687</f>
        <v>0</v>
      </c>
      <c r="J1688" s="302" t="s">
        <v>231</v>
      </c>
      <c r="K1688" s="303"/>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4" t="s">
        <v>232</v>
      </c>
      <c r="AA1688" s="306" t="s">
        <v>233</v>
      </c>
      <c r="AB1688" s="307"/>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0" t="s">
        <v>237</v>
      </c>
      <c r="H1689" s="311"/>
      <c r="I1689" s="35">
        <f>IF(E1689=0,0,12-(MOD(I1687,12)))</f>
        <v>0</v>
      </c>
      <c r="J1689" s="302" t="s">
        <v>238</v>
      </c>
      <c r="K1689" s="303"/>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5"/>
      <c r="AA1689" s="308"/>
      <c r="AB1689" s="309"/>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8" t="s">
        <v>242</v>
      </c>
      <c r="H1690" s="43" t="s">
        <v>243</v>
      </c>
      <c r="I1690" s="35">
        <f>IF(E1690&lt;&gt;0,1,0)</f>
        <v>0</v>
      </c>
      <c r="J1690" s="310" t="s">
        <v>244</v>
      </c>
      <c r="K1690" s="31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9"/>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8" t="s">
        <v>251</v>
      </c>
      <c r="H1692" s="51" t="s">
        <v>252</v>
      </c>
      <c r="I1692" s="112">
        <f>E1691</f>
        <v>0</v>
      </c>
      <c r="J1692" s="312" t="s">
        <v>253</v>
      </c>
      <c r="K1692" s="313"/>
      <c r="L1692" s="31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9"/>
      <c r="H1693" s="47" t="s">
        <v>257</v>
      </c>
      <c r="I1693" s="35" t="str">
        <f>IF(E1691="","0",IF(AND(E1688="EUC",E1689=432), I1692+(203-E1690),IF(E1691=0,0,(E1691+(E1689-E1690)-1))))</f>
        <v>0</v>
      </c>
      <c r="J1693" s="293" t="str">
        <f>IFERROR(IF(OR(E1688="EUC",E1688="SS"),"---",IF(OR(P1687,S1687),"NO 2F Tethers for RPX!",IF(OR(P1689,S1689),"NO 6F Tethers for RPX!","---"))),"---")</f>
        <v>---</v>
      </c>
      <c r="K1693" s="294"/>
      <c r="L1693" s="295"/>
      <c r="M1693" s="293" t="str">
        <f>IF(E1690&gt;60,"Dead Count &gt;60: Consider Downsize","---")</f>
        <v>---</v>
      </c>
      <c r="N1693" s="294"/>
      <c r="O1693" s="294"/>
      <c r="P1693" s="294"/>
      <c r="Q1693" s="294"/>
      <c r="R1693" s="294"/>
      <c r="S1693" s="294"/>
      <c r="T1693" s="294"/>
      <c r="U1693" s="295"/>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3"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4"/>
      <c r="L1694" s="295"/>
      <c r="M1694" s="293" t="str">
        <f>IF(AND(OR(E1688="SS",E1688="RPX",E1688="EUC",E1688="RPX-T"),(OR(C1698="",C1698="Field SPL"))),"Cannot have FlexNap cables without tethers","---")</f>
        <v>---</v>
      </c>
      <c r="N1694" s="294"/>
      <c r="O1694" s="294"/>
      <c r="P1694" s="294"/>
      <c r="Q1694" s="294"/>
      <c r="R1694" s="294"/>
      <c r="S1694" s="294"/>
      <c r="T1694" s="294"/>
      <c r="U1694" s="295"/>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3" t="str">
        <f>IF(AND(OR(E1688="RPX", E1688="RPX-T", E1688="SS"),E1689=216),"NO 216 For RPX, RPX-T, OR SS CABLE","---")</f>
        <v>---</v>
      </c>
      <c r="K1695" s="294"/>
      <c r="L1695" s="295"/>
      <c r="M1695" s="293" t="str" cm="1">
        <f t="array" ref="M1695">IF(AND(E1688="",OR(C1698:C1722="FST",C1698:C1722="REV T",C1698:C1722="DBL REV",C1698:C1722="TPL REV", C1698:C1722="QD REV")),"Non-FlexNap cables cannot have tethers","---")</f>
        <v>---</v>
      </c>
      <c r="N1695" s="294"/>
      <c r="O1695" s="294"/>
      <c r="P1695" s="294"/>
      <c r="Q1695" s="294"/>
      <c r="R1695" s="294"/>
      <c r="S1695" s="294"/>
      <c r="T1695" s="294"/>
      <c r="U1695" s="295"/>
      <c r="V1695" s="25"/>
      <c r="W1695" s="58"/>
      <c r="X1695" s="58"/>
      <c r="Y1695" s="25"/>
      <c r="Z1695" s="45">
        <v>6</v>
      </c>
      <c r="AA1695" s="65">
        <v>61</v>
      </c>
      <c r="AB1695" s="65">
        <v>72</v>
      </c>
      <c r="AC1695" s="25"/>
      <c r="AD1695" s="25"/>
      <c r="BA1695" s="226"/>
    </row>
    <row r="1696" spans="1:53" ht="15.75" customHeight="1" thickBot="1" x14ac:dyDescent="0.3">
      <c r="A1696" s="88"/>
      <c r="B1696" s="278" t="s">
        <v>260</v>
      </c>
      <c r="C1696" s="315" t="s">
        <v>261</v>
      </c>
      <c r="D1696" s="315" t="s">
        <v>262</v>
      </c>
      <c r="E1696" s="317" t="s">
        <v>263</v>
      </c>
      <c r="F1696" s="315" t="s">
        <v>264</v>
      </c>
      <c r="G1696" s="280" t="s">
        <v>265</v>
      </c>
      <c r="H1696" s="280" t="s">
        <v>266</v>
      </c>
      <c r="I1696" s="280" t="s">
        <v>267</v>
      </c>
      <c r="J1696" s="319" t="s">
        <v>268</v>
      </c>
      <c r="K1696" s="315" t="s">
        <v>269</v>
      </c>
      <c r="L1696" s="321" t="s">
        <v>270</v>
      </c>
      <c r="M1696" s="323" t="s">
        <v>271</v>
      </c>
      <c r="N1696" s="323"/>
      <c r="O1696" s="323"/>
      <c r="P1696" s="323"/>
      <c r="Q1696" s="323"/>
      <c r="R1696" s="323"/>
      <c r="S1696" s="323"/>
      <c r="T1696" s="323"/>
      <c r="U1696" s="324"/>
      <c r="V1696" s="107"/>
      <c r="W1696" s="72"/>
      <c r="X1696" s="72"/>
      <c r="Y1696" s="72"/>
      <c r="Z1696" s="45">
        <v>7</v>
      </c>
      <c r="AA1696" s="65">
        <v>73</v>
      </c>
      <c r="AB1696" s="65">
        <v>84</v>
      </c>
      <c r="AC1696" s="25"/>
      <c r="AD1696" s="25"/>
      <c r="BA1696" s="228"/>
    </row>
    <row r="1697" spans="1:53" ht="15.75" thickBot="1" x14ac:dyDescent="0.3">
      <c r="A1697" s="88"/>
      <c r="B1697" s="279"/>
      <c r="C1697" s="316"/>
      <c r="D1697" s="316"/>
      <c r="E1697" s="318"/>
      <c r="F1697" s="316"/>
      <c r="G1697" s="281"/>
      <c r="H1697" s="281"/>
      <c r="I1697" s="281"/>
      <c r="J1697" s="320"/>
      <c r="K1697" s="316"/>
      <c r="L1697" s="322"/>
      <c r="M1697" s="325"/>
      <c r="N1697" s="325"/>
      <c r="O1697" s="325"/>
      <c r="P1697" s="325"/>
      <c r="Q1697" s="325"/>
      <c r="R1697" s="325"/>
      <c r="S1697" s="325"/>
      <c r="T1697" s="325"/>
      <c r="U1697" s="326"/>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6"/>
      <c r="N1698" s="296"/>
      <c r="O1698" s="296"/>
      <c r="P1698" s="296"/>
      <c r="Q1698" s="296"/>
      <c r="R1698" s="296"/>
      <c r="S1698" s="296"/>
      <c r="T1698" s="296"/>
      <c r="U1698" s="297"/>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6"/>
      <c r="N1699" s="296"/>
      <c r="O1699" s="296"/>
      <c r="P1699" s="296"/>
      <c r="Q1699" s="296"/>
      <c r="R1699" s="296"/>
      <c r="S1699" s="296"/>
      <c r="T1699" s="296"/>
      <c r="U1699" s="297"/>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6"/>
      <c r="N1700" s="296"/>
      <c r="O1700" s="296"/>
      <c r="P1700" s="296"/>
      <c r="Q1700" s="296"/>
      <c r="R1700" s="296"/>
      <c r="S1700" s="296"/>
      <c r="T1700" s="296"/>
      <c r="U1700" s="297"/>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6"/>
      <c r="N1701" s="296"/>
      <c r="O1701" s="296"/>
      <c r="P1701" s="296"/>
      <c r="Q1701" s="296"/>
      <c r="R1701" s="296"/>
      <c r="S1701" s="296"/>
      <c r="T1701" s="296"/>
      <c r="U1701" s="297"/>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6"/>
      <c r="N1702" s="296"/>
      <c r="O1702" s="296"/>
      <c r="P1702" s="296"/>
      <c r="Q1702" s="296"/>
      <c r="R1702" s="296"/>
      <c r="S1702" s="296"/>
      <c r="T1702" s="296"/>
      <c r="U1702" s="297"/>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6"/>
      <c r="N1703" s="296"/>
      <c r="O1703" s="296"/>
      <c r="P1703" s="296"/>
      <c r="Q1703" s="296"/>
      <c r="R1703" s="296"/>
      <c r="S1703" s="296"/>
      <c r="T1703" s="296"/>
      <c r="U1703" s="297"/>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6"/>
      <c r="N1704" s="296"/>
      <c r="O1704" s="296"/>
      <c r="P1704" s="296"/>
      <c r="Q1704" s="296"/>
      <c r="R1704" s="296"/>
      <c r="S1704" s="296"/>
      <c r="T1704" s="296"/>
      <c r="U1704" s="297"/>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6"/>
      <c r="N1705" s="296"/>
      <c r="O1705" s="296"/>
      <c r="P1705" s="296"/>
      <c r="Q1705" s="296"/>
      <c r="R1705" s="296"/>
      <c r="S1705" s="296"/>
      <c r="T1705" s="296"/>
      <c r="U1705" s="297"/>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6"/>
      <c r="N1706" s="296"/>
      <c r="O1706" s="296"/>
      <c r="P1706" s="296"/>
      <c r="Q1706" s="296"/>
      <c r="R1706" s="296"/>
      <c r="S1706" s="296"/>
      <c r="T1706" s="296"/>
      <c r="U1706" s="297"/>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6"/>
      <c r="N1707" s="296"/>
      <c r="O1707" s="296"/>
      <c r="P1707" s="296"/>
      <c r="Q1707" s="296"/>
      <c r="R1707" s="296"/>
      <c r="S1707" s="296"/>
      <c r="T1707" s="296"/>
      <c r="U1707" s="297"/>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6"/>
      <c r="N1708" s="296"/>
      <c r="O1708" s="296"/>
      <c r="P1708" s="296"/>
      <c r="Q1708" s="296"/>
      <c r="R1708" s="296"/>
      <c r="S1708" s="296"/>
      <c r="T1708" s="296"/>
      <c r="U1708" s="297"/>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6"/>
      <c r="N1709" s="296"/>
      <c r="O1709" s="296"/>
      <c r="P1709" s="296"/>
      <c r="Q1709" s="296"/>
      <c r="R1709" s="296"/>
      <c r="S1709" s="296"/>
      <c r="T1709" s="296"/>
      <c r="U1709" s="297"/>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6"/>
      <c r="N1710" s="296"/>
      <c r="O1710" s="296"/>
      <c r="P1710" s="296"/>
      <c r="Q1710" s="296"/>
      <c r="R1710" s="296"/>
      <c r="S1710" s="296"/>
      <c r="T1710" s="296"/>
      <c r="U1710" s="297"/>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6"/>
      <c r="N1711" s="296"/>
      <c r="O1711" s="296"/>
      <c r="P1711" s="296"/>
      <c r="Q1711" s="296"/>
      <c r="R1711" s="296"/>
      <c r="S1711" s="296"/>
      <c r="T1711" s="296"/>
      <c r="U1711" s="297"/>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6"/>
      <c r="N1712" s="296"/>
      <c r="O1712" s="296"/>
      <c r="P1712" s="296"/>
      <c r="Q1712" s="296"/>
      <c r="R1712" s="296"/>
      <c r="S1712" s="296"/>
      <c r="T1712" s="296"/>
      <c r="U1712" s="297"/>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6"/>
      <c r="N1713" s="296"/>
      <c r="O1713" s="296"/>
      <c r="P1713" s="296"/>
      <c r="Q1713" s="296"/>
      <c r="R1713" s="296"/>
      <c r="S1713" s="296"/>
      <c r="T1713" s="296"/>
      <c r="U1713" s="297"/>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6"/>
      <c r="N1714" s="296"/>
      <c r="O1714" s="296"/>
      <c r="P1714" s="296"/>
      <c r="Q1714" s="296"/>
      <c r="R1714" s="296"/>
      <c r="S1714" s="296"/>
      <c r="T1714" s="296"/>
      <c r="U1714" s="297"/>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6"/>
      <c r="N1715" s="296"/>
      <c r="O1715" s="296"/>
      <c r="P1715" s="296"/>
      <c r="Q1715" s="296"/>
      <c r="R1715" s="296"/>
      <c r="S1715" s="296"/>
      <c r="T1715" s="296"/>
      <c r="U1715" s="297"/>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6"/>
      <c r="N1716" s="296"/>
      <c r="O1716" s="296"/>
      <c r="P1716" s="296"/>
      <c r="Q1716" s="296"/>
      <c r="R1716" s="296"/>
      <c r="S1716" s="296"/>
      <c r="T1716" s="296"/>
      <c r="U1716" s="297"/>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6"/>
      <c r="N1717" s="296"/>
      <c r="O1717" s="296"/>
      <c r="P1717" s="296"/>
      <c r="Q1717" s="296"/>
      <c r="R1717" s="296"/>
      <c r="S1717" s="296"/>
      <c r="T1717" s="296"/>
      <c r="U1717" s="297"/>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6"/>
      <c r="N1718" s="296"/>
      <c r="O1718" s="296"/>
      <c r="P1718" s="296"/>
      <c r="Q1718" s="296"/>
      <c r="R1718" s="296"/>
      <c r="S1718" s="296"/>
      <c r="T1718" s="296"/>
      <c r="U1718" s="297"/>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6"/>
      <c r="N1719" s="296"/>
      <c r="O1719" s="296"/>
      <c r="P1719" s="296"/>
      <c r="Q1719" s="296"/>
      <c r="R1719" s="296"/>
      <c r="S1719" s="296"/>
      <c r="T1719" s="296"/>
      <c r="U1719" s="297"/>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6"/>
      <c r="N1720" s="296"/>
      <c r="O1720" s="296"/>
      <c r="P1720" s="296"/>
      <c r="Q1720" s="296"/>
      <c r="R1720" s="296"/>
      <c r="S1720" s="296"/>
      <c r="T1720" s="296"/>
      <c r="U1720" s="297"/>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6"/>
      <c r="N1721" s="296"/>
      <c r="O1721" s="296"/>
      <c r="P1721" s="296"/>
      <c r="Q1721" s="296"/>
      <c r="R1721" s="296"/>
      <c r="S1721" s="296"/>
      <c r="T1721" s="296"/>
      <c r="U1721" s="297"/>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6"/>
      <c r="N1722" s="296"/>
      <c r="O1722" s="296"/>
      <c r="P1722" s="296"/>
      <c r="Q1722" s="296"/>
      <c r="R1722" s="296"/>
      <c r="S1722" s="296"/>
      <c r="T1722" s="296"/>
      <c r="U1722" s="297"/>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2" t="s">
        <v>387</v>
      </c>
      <c r="C1723" s="284"/>
      <c r="D1723" s="79"/>
      <c r="E1723" s="80"/>
      <c r="F1723" s="80"/>
      <c r="G1723" s="81"/>
      <c r="H1723" s="192"/>
      <c r="I1723" s="192"/>
      <c r="J1723" s="192"/>
      <c r="K1723" s="82"/>
      <c r="L1723" s="282" t="s">
        <v>306</v>
      </c>
      <c r="M1723" s="283"/>
      <c r="N1723" s="283"/>
      <c r="O1723" s="283"/>
      <c r="P1723" s="283"/>
      <c r="Q1723" s="283"/>
      <c r="R1723" s="283"/>
      <c r="S1723" s="283"/>
      <c r="T1723" s="283"/>
      <c r="U1723" s="284"/>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2" t="s">
        <v>307</v>
      </c>
      <c r="C1724" s="284"/>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5" t="s">
        <v>222</v>
      </c>
      <c r="C1728" s="286"/>
      <c r="D1728" s="287" t="s">
        <v>223</v>
      </c>
      <c r="E1728" s="288"/>
      <c r="F1728" s="88"/>
      <c r="G1728" s="289" t="s">
        <v>224</v>
      </c>
      <c r="H1728" s="290"/>
      <c r="I1728" s="28">
        <f>SUM(E1739:E1763)</f>
        <v>0</v>
      </c>
      <c r="J1728" s="291" t="s">
        <v>225</v>
      </c>
      <c r="K1728" s="292"/>
      <c r="L1728" s="288"/>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8" t="s">
        <v>226</v>
      </c>
      <c r="AA1728" s="299"/>
      <c r="AB1728" s="300"/>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1" t="s">
        <v>230</v>
      </c>
      <c r="H1729" s="288"/>
      <c r="I1729" s="33">
        <f>E1730-I1728</f>
        <v>0</v>
      </c>
      <c r="J1729" s="302" t="s">
        <v>231</v>
      </c>
      <c r="K1729" s="303"/>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4" t="s">
        <v>232</v>
      </c>
      <c r="AA1729" s="306" t="s">
        <v>233</v>
      </c>
      <c r="AB1729" s="307"/>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0" t="s">
        <v>237</v>
      </c>
      <c r="H1730" s="311"/>
      <c r="I1730" s="35">
        <f>IF(E1730=0,0,12-(MOD(I1728,12)))</f>
        <v>0</v>
      </c>
      <c r="J1730" s="302" t="s">
        <v>238</v>
      </c>
      <c r="K1730" s="303"/>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5"/>
      <c r="AA1730" s="308"/>
      <c r="AB1730" s="309"/>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8" t="s">
        <v>242</v>
      </c>
      <c r="H1731" s="43" t="s">
        <v>243</v>
      </c>
      <c r="I1731" s="35">
        <f>IF(E1731&lt;&gt;0,1,0)</f>
        <v>0</v>
      </c>
      <c r="J1731" s="310" t="s">
        <v>244</v>
      </c>
      <c r="K1731" s="31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9"/>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8" t="s">
        <v>251</v>
      </c>
      <c r="H1733" s="51" t="s">
        <v>252</v>
      </c>
      <c r="I1733" s="112">
        <f>E1732</f>
        <v>0</v>
      </c>
      <c r="J1733" s="312" t="s">
        <v>253</v>
      </c>
      <c r="K1733" s="313"/>
      <c r="L1733" s="31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9"/>
      <c r="H1734" s="47" t="s">
        <v>257</v>
      </c>
      <c r="I1734" s="35" t="str">
        <f>IF(E1732="","0",IF(AND(E1729="EUC",E1730=432), I1733+(203-E1731),IF(E1732=0,0,(E1732+(E1730-E1731)-1))))</f>
        <v>0</v>
      </c>
      <c r="J1734" s="293" t="str">
        <f>IFERROR(IF(OR(E1729="EUC",E1729="SS"),"---",IF(OR(P1728,S1728),"NO 2F Tethers for RPX!",IF(OR(P1730,S1730),"NO 6F Tethers for RPX!","---"))),"---")</f>
        <v>---</v>
      </c>
      <c r="K1734" s="294"/>
      <c r="L1734" s="295"/>
      <c r="M1734" s="293" t="str">
        <f>IF(E1731&gt;60,"Dead Count &gt;60: Consider Downsize","---")</f>
        <v>---</v>
      </c>
      <c r="N1734" s="294"/>
      <c r="O1734" s="294"/>
      <c r="P1734" s="294"/>
      <c r="Q1734" s="294"/>
      <c r="R1734" s="294"/>
      <c r="S1734" s="294"/>
      <c r="T1734" s="294"/>
      <c r="U1734" s="295"/>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3"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4"/>
      <c r="L1735" s="295"/>
      <c r="M1735" s="293" t="str">
        <f>IF(AND(OR(E1729="SS",E1729="RPX",E1729="EUC",E1729="RPX-T"),(OR(C1739="",C1739="Field SPL"))),"Cannot have FlexNap cables without tethers","---")</f>
        <v>---</v>
      </c>
      <c r="N1735" s="294"/>
      <c r="O1735" s="294"/>
      <c r="P1735" s="294"/>
      <c r="Q1735" s="294"/>
      <c r="R1735" s="294"/>
      <c r="S1735" s="294"/>
      <c r="T1735" s="294"/>
      <c r="U1735" s="295"/>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3" t="str">
        <f>IF(AND(OR(E1729="RPX", E1729="RPX-T", E1729="SS"),E1730=216),"NO 216 For RPX, RPX-T, OR SS CABLE","---")</f>
        <v>---</v>
      </c>
      <c r="K1736" s="294"/>
      <c r="L1736" s="295"/>
      <c r="M1736" s="293" t="str" cm="1">
        <f t="array" ref="M1736">IF(AND(E1729="",OR(C1739:C1763="FST",C1739:C1763="REV T",C1739:C1763="DBL REV",C1739:C1763="TPL REV", C1739:C1763="QD REV")),"Non-FlexNap cables cannot have tethers","---")</f>
        <v>---</v>
      </c>
      <c r="N1736" s="294"/>
      <c r="O1736" s="294"/>
      <c r="P1736" s="294"/>
      <c r="Q1736" s="294"/>
      <c r="R1736" s="294"/>
      <c r="S1736" s="294"/>
      <c r="T1736" s="294"/>
      <c r="U1736" s="295"/>
      <c r="V1736" s="25"/>
      <c r="W1736" s="58"/>
      <c r="X1736" s="58"/>
      <c r="Y1736" s="25"/>
      <c r="Z1736" s="45">
        <v>6</v>
      </c>
      <c r="AA1736" s="65">
        <v>61</v>
      </c>
      <c r="AB1736" s="65">
        <v>72</v>
      </c>
      <c r="AC1736" s="25"/>
      <c r="AD1736" s="25"/>
      <c r="BA1736" s="226"/>
    </row>
    <row r="1737" spans="1:53" ht="15.75" customHeight="1" thickBot="1" x14ac:dyDescent="0.3">
      <c r="A1737" s="88"/>
      <c r="B1737" s="278" t="s">
        <v>260</v>
      </c>
      <c r="C1737" s="315" t="s">
        <v>261</v>
      </c>
      <c r="D1737" s="315" t="s">
        <v>262</v>
      </c>
      <c r="E1737" s="317" t="s">
        <v>263</v>
      </c>
      <c r="F1737" s="315" t="s">
        <v>264</v>
      </c>
      <c r="G1737" s="280" t="s">
        <v>265</v>
      </c>
      <c r="H1737" s="280" t="s">
        <v>266</v>
      </c>
      <c r="I1737" s="280" t="s">
        <v>267</v>
      </c>
      <c r="J1737" s="319" t="s">
        <v>268</v>
      </c>
      <c r="K1737" s="315" t="s">
        <v>269</v>
      </c>
      <c r="L1737" s="321" t="s">
        <v>270</v>
      </c>
      <c r="M1737" s="323" t="s">
        <v>271</v>
      </c>
      <c r="N1737" s="323"/>
      <c r="O1737" s="323"/>
      <c r="P1737" s="323"/>
      <c r="Q1737" s="323"/>
      <c r="R1737" s="323"/>
      <c r="S1737" s="323"/>
      <c r="T1737" s="323"/>
      <c r="U1737" s="324"/>
      <c r="V1737" s="107"/>
      <c r="W1737" s="72"/>
      <c r="X1737" s="72"/>
      <c r="Y1737" s="72"/>
      <c r="Z1737" s="45">
        <v>7</v>
      </c>
      <c r="AA1737" s="65">
        <v>73</v>
      </c>
      <c r="AB1737" s="65">
        <v>84</v>
      </c>
      <c r="AC1737" s="25"/>
      <c r="AD1737" s="25"/>
      <c r="BA1737" s="228"/>
    </row>
    <row r="1738" spans="1:53" ht="15.75" thickBot="1" x14ac:dyDescent="0.3">
      <c r="A1738" s="88"/>
      <c r="B1738" s="279"/>
      <c r="C1738" s="316"/>
      <c r="D1738" s="316"/>
      <c r="E1738" s="318"/>
      <c r="F1738" s="316"/>
      <c r="G1738" s="281"/>
      <c r="H1738" s="281"/>
      <c r="I1738" s="281"/>
      <c r="J1738" s="320"/>
      <c r="K1738" s="316"/>
      <c r="L1738" s="322"/>
      <c r="M1738" s="325"/>
      <c r="N1738" s="325"/>
      <c r="O1738" s="325"/>
      <c r="P1738" s="325"/>
      <c r="Q1738" s="325"/>
      <c r="R1738" s="325"/>
      <c r="S1738" s="325"/>
      <c r="T1738" s="325"/>
      <c r="U1738" s="326"/>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6"/>
      <c r="N1739" s="296"/>
      <c r="O1739" s="296"/>
      <c r="P1739" s="296"/>
      <c r="Q1739" s="296"/>
      <c r="R1739" s="296"/>
      <c r="S1739" s="296"/>
      <c r="T1739" s="296"/>
      <c r="U1739" s="297"/>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6"/>
      <c r="N1740" s="296"/>
      <c r="O1740" s="296"/>
      <c r="P1740" s="296"/>
      <c r="Q1740" s="296"/>
      <c r="R1740" s="296"/>
      <c r="S1740" s="296"/>
      <c r="T1740" s="296"/>
      <c r="U1740" s="297"/>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6"/>
      <c r="N1741" s="296"/>
      <c r="O1741" s="296"/>
      <c r="P1741" s="296"/>
      <c r="Q1741" s="296"/>
      <c r="R1741" s="296"/>
      <c r="S1741" s="296"/>
      <c r="T1741" s="296"/>
      <c r="U1741" s="297"/>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6"/>
      <c r="N1742" s="296"/>
      <c r="O1742" s="296"/>
      <c r="P1742" s="296"/>
      <c r="Q1742" s="296"/>
      <c r="R1742" s="296"/>
      <c r="S1742" s="296"/>
      <c r="T1742" s="296"/>
      <c r="U1742" s="297"/>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6"/>
      <c r="N1743" s="296"/>
      <c r="O1743" s="296"/>
      <c r="P1743" s="296"/>
      <c r="Q1743" s="296"/>
      <c r="R1743" s="296"/>
      <c r="S1743" s="296"/>
      <c r="T1743" s="296"/>
      <c r="U1743" s="297"/>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6"/>
      <c r="N1744" s="296"/>
      <c r="O1744" s="296"/>
      <c r="P1744" s="296"/>
      <c r="Q1744" s="296"/>
      <c r="R1744" s="296"/>
      <c r="S1744" s="296"/>
      <c r="T1744" s="296"/>
      <c r="U1744" s="297"/>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6"/>
      <c r="N1745" s="296"/>
      <c r="O1745" s="296"/>
      <c r="P1745" s="296"/>
      <c r="Q1745" s="296"/>
      <c r="R1745" s="296"/>
      <c r="S1745" s="296"/>
      <c r="T1745" s="296"/>
      <c r="U1745" s="297"/>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6"/>
      <c r="N1746" s="296"/>
      <c r="O1746" s="296"/>
      <c r="P1746" s="296"/>
      <c r="Q1746" s="296"/>
      <c r="R1746" s="296"/>
      <c r="S1746" s="296"/>
      <c r="T1746" s="296"/>
      <c r="U1746" s="297"/>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6"/>
      <c r="N1747" s="296"/>
      <c r="O1747" s="296"/>
      <c r="P1747" s="296"/>
      <c r="Q1747" s="296"/>
      <c r="R1747" s="296"/>
      <c r="S1747" s="296"/>
      <c r="T1747" s="296"/>
      <c r="U1747" s="297"/>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6"/>
      <c r="N1748" s="296"/>
      <c r="O1748" s="296"/>
      <c r="P1748" s="296"/>
      <c r="Q1748" s="296"/>
      <c r="R1748" s="296"/>
      <c r="S1748" s="296"/>
      <c r="T1748" s="296"/>
      <c r="U1748" s="297"/>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6"/>
      <c r="N1749" s="296"/>
      <c r="O1749" s="296"/>
      <c r="P1749" s="296"/>
      <c r="Q1749" s="296"/>
      <c r="R1749" s="296"/>
      <c r="S1749" s="296"/>
      <c r="T1749" s="296"/>
      <c r="U1749" s="297"/>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6"/>
      <c r="N1750" s="296"/>
      <c r="O1750" s="296"/>
      <c r="P1750" s="296"/>
      <c r="Q1750" s="296"/>
      <c r="R1750" s="296"/>
      <c r="S1750" s="296"/>
      <c r="T1750" s="296"/>
      <c r="U1750" s="297"/>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6"/>
      <c r="N1751" s="296"/>
      <c r="O1751" s="296"/>
      <c r="P1751" s="296"/>
      <c r="Q1751" s="296"/>
      <c r="R1751" s="296"/>
      <c r="S1751" s="296"/>
      <c r="T1751" s="296"/>
      <c r="U1751" s="297"/>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6"/>
      <c r="N1752" s="296"/>
      <c r="O1752" s="296"/>
      <c r="P1752" s="296"/>
      <c r="Q1752" s="296"/>
      <c r="R1752" s="296"/>
      <c r="S1752" s="296"/>
      <c r="T1752" s="296"/>
      <c r="U1752" s="297"/>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6"/>
      <c r="N1753" s="296"/>
      <c r="O1753" s="296"/>
      <c r="P1753" s="296"/>
      <c r="Q1753" s="296"/>
      <c r="R1753" s="296"/>
      <c r="S1753" s="296"/>
      <c r="T1753" s="296"/>
      <c r="U1753" s="297"/>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6"/>
      <c r="N1754" s="296"/>
      <c r="O1754" s="296"/>
      <c r="P1754" s="296"/>
      <c r="Q1754" s="296"/>
      <c r="R1754" s="296"/>
      <c r="S1754" s="296"/>
      <c r="T1754" s="296"/>
      <c r="U1754" s="297"/>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6"/>
      <c r="N1755" s="296"/>
      <c r="O1755" s="296"/>
      <c r="P1755" s="296"/>
      <c r="Q1755" s="296"/>
      <c r="R1755" s="296"/>
      <c r="S1755" s="296"/>
      <c r="T1755" s="296"/>
      <c r="U1755" s="297"/>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6"/>
      <c r="N1756" s="296"/>
      <c r="O1756" s="296"/>
      <c r="P1756" s="296"/>
      <c r="Q1756" s="296"/>
      <c r="R1756" s="296"/>
      <c r="S1756" s="296"/>
      <c r="T1756" s="296"/>
      <c r="U1756" s="297"/>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6"/>
      <c r="N1757" s="296"/>
      <c r="O1757" s="296"/>
      <c r="P1757" s="296"/>
      <c r="Q1757" s="296"/>
      <c r="R1757" s="296"/>
      <c r="S1757" s="296"/>
      <c r="T1757" s="296"/>
      <c r="U1757" s="297"/>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6"/>
      <c r="N1758" s="296"/>
      <c r="O1758" s="296"/>
      <c r="P1758" s="296"/>
      <c r="Q1758" s="296"/>
      <c r="R1758" s="296"/>
      <c r="S1758" s="296"/>
      <c r="T1758" s="296"/>
      <c r="U1758" s="297"/>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6"/>
      <c r="N1759" s="296"/>
      <c r="O1759" s="296"/>
      <c r="P1759" s="296"/>
      <c r="Q1759" s="296"/>
      <c r="R1759" s="296"/>
      <c r="S1759" s="296"/>
      <c r="T1759" s="296"/>
      <c r="U1759" s="297"/>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6"/>
      <c r="N1760" s="296"/>
      <c r="O1760" s="296"/>
      <c r="P1760" s="296"/>
      <c r="Q1760" s="296"/>
      <c r="R1760" s="296"/>
      <c r="S1760" s="296"/>
      <c r="T1760" s="296"/>
      <c r="U1760" s="297"/>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6"/>
      <c r="N1761" s="296"/>
      <c r="O1761" s="296"/>
      <c r="P1761" s="296"/>
      <c r="Q1761" s="296"/>
      <c r="R1761" s="296"/>
      <c r="S1761" s="296"/>
      <c r="T1761" s="296"/>
      <c r="U1761" s="297"/>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6"/>
      <c r="N1762" s="296"/>
      <c r="O1762" s="296"/>
      <c r="P1762" s="296"/>
      <c r="Q1762" s="296"/>
      <c r="R1762" s="296"/>
      <c r="S1762" s="296"/>
      <c r="T1762" s="296"/>
      <c r="U1762" s="297"/>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6"/>
      <c r="N1763" s="296"/>
      <c r="O1763" s="296"/>
      <c r="P1763" s="296"/>
      <c r="Q1763" s="296"/>
      <c r="R1763" s="296"/>
      <c r="S1763" s="296"/>
      <c r="T1763" s="296"/>
      <c r="U1763" s="297"/>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2" t="s">
        <v>389</v>
      </c>
      <c r="C1764" s="284"/>
      <c r="D1764" s="79"/>
      <c r="E1764" s="80"/>
      <c r="F1764" s="80"/>
      <c r="G1764" s="81"/>
      <c r="H1764" s="192"/>
      <c r="I1764" s="192"/>
      <c r="J1764" s="192"/>
      <c r="K1764" s="82"/>
      <c r="L1764" s="282" t="s">
        <v>306</v>
      </c>
      <c r="M1764" s="283"/>
      <c r="N1764" s="283"/>
      <c r="O1764" s="283"/>
      <c r="P1764" s="283"/>
      <c r="Q1764" s="283"/>
      <c r="R1764" s="283"/>
      <c r="S1764" s="283"/>
      <c r="T1764" s="283"/>
      <c r="U1764" s="284"/>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2" t="s">
        <v>307</v>
      </c>
      <c r="C1765" s="284"/>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5" t="s">
        <v>222</v>
      </c>
      <c r="C1769" s="286"/>
      <c r="D1769" s="287" t="s">
        <v>223</v>
      </c>
      <c r="E1769" s="288"/>
      <c r="F1769" s="88"/>
      <c r="G1769" s="289" t="s">
        <v>224</v>
      </c>
      <c r="H1769" s="290"/>
      <c r="I1769" s="28">
        <f>SUM(E1780:E1804)</f>
        <v>0</v>
      </c>
      <c r="J1769" s="291" t="s">
        <v>225</v>
      </c>
      <c r="K1769" s="292"/>
      <c r="L1769" s="288"/>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8" t="s">
        <v>226</v>
      </c>
      <c r="AA1769" s="299"/>
      <c r="AB1769" s="300"/>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1" t="s">
        <v>230</v>
      </c>
      <c r="H1770" s="288"/>
      <c r="I1770" s="33">
        <f>E1771-I1769</f>
        <v>0</v>
      </c>
      <c r="J1770" s="302" t="s">
        <v>231</v>
      </c>
      <c r="K1770" s="303"/>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4" t="s">
        <v>232</v>
      </c>
      <c r="AA1770" s="306" t="s">
        <v>233</v>
      </c>
      <c r="AB1770" s="307"/>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0" t="s">
        <v>237</v>
      </c>
      <c r="H1771" s="311"/>
      <c r="I1771" s="35">
        <f>IF(E1771=0,0,12-(MOD(I1769,12)))</f>
        <v>0</v>
      </c>
      <c r="J1771" s="302" t="s">
        <v>238</v>
      </c>
      <c r="K1771" s="303"/>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5"/>
      <c r="AA1771" s="308"/>
      <c r="AB1771" s="309"/>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8" t="s">
        <v>242</v>
      </c>
      <c r="H1772" s="43" t="s">
        <v>243</v>
      </c>
      <c r="I1772" s="35">
        <f>IF(E1772&lt;&gt;0,1,0)</f>
        <v>0</v>
      </c>
      <c r="J1772" s="310" t="s">
        <v>244</v>
      </c>
      <c r="K1772" s="31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9"/>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8" t="s">
        <v>251</v>
      </c>
      <c r="H1774" s="51" t="s">
        <v>252</v>
      </c>
      <c r="I1774" s="112">
        <f>E1773</f>
        <v>0</v>
      </c>
      <c r="J1774" s="312" t="s">
        <v>253</v>
      </c>
      <c r="K1774" s="313"/>
      <c r="L1774" s="31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9"/>
      <c r="H1775" s="47" t="s">
        <v>257</v>
      </c>
      <c r="I1775" s="35" t="str">
        <f>IF(E1773="","0",IF(AND(E1770="EUC",E1771=432), I1774+(203-E1772),IF(E1773=0,0,(E1773+(E1771-E1772)-1))))</f>
        <v>0</v>
      </c>
      <c r="J1775" s="293" t="str">
        <f>IFERROR(IF(OR(E1770="EUC",E1770="SS"),"---",IF(OR(P1769,S1769),"NO 2F Tethers for RPX!",IF(OR(P1771,S1771),"NO 6F Tethers for RPX!","---"))),"---")</f>
        <v>---</v>
      </c>
      <c r="K1775" s="294"/>
      <c r="L1775" s="295"/>
      <c r="M1775" s="293" t="str">
        <f>IF(E1772&gt;60,"Dead Count &gt;60: Consider Downsize","---")</f>
        <v>---</v>
      </c>
      <c r="N1775" s="294"/>
      <c r="O1775" s="294"/>
      <c r="P1775" s="294"/>
      <c r="Q1775" s="294"/>
      <c r="R1775" s="294"/>
      <c r="S1775" s="294"/>
      <c r="T1775" s="294"/>
      <c r="U1775" s="295"/>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3"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4"/>
      <c r="L1776" s="295"/>
      <c r="M1776" s="293" t="str">
        <f>IF(AND(OR(E1770="SS",E1770="RPX",E1770="EUC",E1770="RPX-T"),(OR(C1780="",C1780="Field SPL"))),"Cannot have FlexNap cables without tethers","---")</f>
        <v>---</v>
      </c>
      <c r="N1776" s="294"/>
      <c r="O1776" s="294"/>
      <c r="P1776" s="294"/>
      <c r="Q1776" s="294"/>
      <c r="R1776" s="294"/>
      <c r="S1776" s="294"/>
      <c r="T1776" s="294"/>
      <c r="U1776" s="295"/>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3" t="str">
        <f>IF(AND(OR(E1770="RPX", E1770="RPX-T", E1770="SS"),E1771=216),"NO 216 For RPX, RPX-T, OR SS CABLE","---")</f>
        <v>---</v>
      </c>
      <c r="K1777" s="294"/>
      <c r="L1777" s="295"/>
      <c r="M1777" s="293" t="str" cm="1">
        <f t="array" ref="M1777">IF(AND(E1770="",OR(C1780:C1804="FST",C1780:C1804="REV T",C1780:C1804="DBL REV",C1780:C1804="TPL REV", C1780:C1804="QD REV")),"Non-FlexNap cables cannot have tethers","---")</f>
        <v>---</v>
      </c>
      <c r="N1777" s="294"/>
      <c r="O1777" s="294"/>
      <c r="P1777" s="294"/>
      <c r="Q1777" s="294"/>
      <c r="R1777" s="294"/>
      <c r="S1777" s="294"/>
      <c r="T1777" s="294"/>
      <c r="U1777" s="295"/>
      <c r="V1777" s="25"/>
      <c r="W1777" s="58"/>
      <c r="X1777" s="58"/>
      <c r="Y1777" s="25"/>
      <c r="Z1777" s="45">
        <v>6</v>
      </c>
      <c r="AA1777" s="65">
        <v>61</v>
      </c>
      <c r="AB1777" s="65">
        <v>72</v>
      </c>
      <c r="AC1777" s="25"/>
      <c r="AD1777" s="25"/>
      <c r="BA1777" s="226"/>
    </row>
    <row r="1778" spans="1:53" ht="15.75" customHeight="1" thickBot="1" x14ac:dyDescent="0.3">
      <c r="A1778" s="88"/>
      <c r="B1778" s="278" t="s">
        <v>260</v>
      </c>
      <c r="C1778" s="315" t="s">
        <v>261</v>
      </c>
      <c r="D1778" s="315" t="s">
        <v>262</v>
      </c>
      <c r="E1778" s="317" t="s">
        <v>263</v>
      </c>
      <c r="F1778" s="315" t="s">
        <v>264</v>
      </c>
      <c r="G1778" s="280" t="s">
        <v>265</v>
      </c>
      <c r="H1778" s="280" t="s">
        <v>266</v>
      </c>
      <c r="I1778" s="280" t="s">
        <v>267</v>
      </c>
      <c r="J1778" s="319" t="s">
        <v>268</v>
      </c>
      <c r="K1778" s="315" t="s">
        <v>269</v>
      </c>
      <c r="L1778" s="321" t="s">
        <v>270</v>
      </c>
      <c r="M1778" s="323" t="s">
        <v>271</v>
      </c>
      <c r="N1778" s="323"/>
      <c r="O1778" s="323"/>
      <c r="P1778" s="323"/>
      <c r="Q1778" s="323"/>
      <c r="R1778" s="323"/>
      <c r="S1778" s="323"/>
      <c r="T1778" s="323"/>
      <c r="U1778" s="324"/>
      <c r="V1778" s="107"/>
      <c r="W1778" s="72"/>
      <c r="X1778" s="72"/>
      <c r="Y1778" s="72"/>
      <c r="Z1778" s="45">
        <v>7</v>
      </c>
      <c r="AA1778" s="65">
        <v>73</v>
      </c>
      <c r="AB1778" s="65">
        <v>84</v>
      </c>
      <c r="AC1778" s="25"/>
      <c r="AD1778" s="25"/>
      <c r="BA1778" s="228"/>
    </row>
    <row r="1779" spans="1:53" ht="15.75" thickBot="1" x14ac:dyDescent="0.3">
      <c r="A1779" s="88"/>
      <c r="B1779" s="279"/>
      <c r="C1779" s="316"/>
      <c r="D1779" s="316"/>
      <c r="E1779" s="318"/>
      <c r="F1779" s="316"/>
      <c r="G1779" s="281"/>
      <c r="H1779" s="281"/>
      <c r="I1779" s="281"/>
      <c r="J1779" s="320"/>
      <c r="K1779" s="316"/>
      <c r="L1779" s="322"/>
      <c r="M1779" s="325"/>
      <c r="N1779" s="325"/>
      <c r="O1779" s="325"/>
      <c r="P1779" s="325"/>
      <c r="Q1779" s="325"/>
      <c r="R1779" s="325"/>
      <c r="S1779" s="325"/>
      <c r="T1779" s="325"/>
      <c r="U1779" s="326"/>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6"/>
      <c r="N1780" s="296"/>
      <c r="O1780" s="296"/>
      <c r="P1780" s="296"/>
      <c r="Q1780" s="296"/>
      <c r="R1780" s="296"/>
      <c r="S1780" s="296"/>
      <c r="T1780" s="296"/>
      <c r="U1780" s="297"/>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6"/>
      <c r="N1781" s="296"/>
      <c r="O1781" s="296"/>
      <c r="P1781" s="296"/>
      <c r="Q1781" s="296"/>
      <c r="R1781" s="296"/>
      <c r="S1781" s="296"/>
      <c r="T1781" s="296"/>
      <c r="U1781" s="297"/>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6"/>
      <c r="N1782" s="296"/>
      <c r="O1782" s="296"/>
      <c r="P1782" s="296"/>
      <c r="Q1782" s="296"/>
      <c r="R1782" s="296"/>
      <c r="S1782" s="296"/>
      <c r="T1782" s="296"/>
      <c r="U1782" s="297"/>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6"/>
      <c r="N1783" s="296"/>
      <c r="O1783" s="296"/>
      <c r="P1783" s="296"/>
      <c r="Q1783" s="296"/>
      <c r="R1783" s="296"/>
      <c r="S1783" s="296"/>
      <c r="T1783" s="296"/>
      <c r="U1783" s="297"/>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6"/>
      <c r="N1784" s="296"/>
      <c r="O1784" s="296"/>
      <c r="P1784" s="296"/>
      <c r="Q1784" s="296"/>
      <c r="R1784" s="296"/>
      <c r="S1784" s="296"/>
      <c r="T1784" s="296"/>
      <c r="U1784" s="297"/>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6"/>
      <c r="N1785" s="296"/>
      <c r="O1785" s="296"/>
      <c r="P1785" s="296"/>
      <c r="Q1785" s="296"/>
      <c r="R1785" s="296"/>
      <c r="S1785" s="296"/>
      <c r="T1785" s="296"/>
      <c r="U1785" s="297"/>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6"/>
      <c r="N1786" s="296"/>
      <c r="O1786" s="296"/>
      <c r="P1786" s="296"/>
      <c r="Q1786" s="296"/>
      <c r="R1786" s="296"/>
      <c r="S1786" s="296"/>
      <c r="T1786" s="296"/>
      <c r="U1786" s="297"/>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6"/>
      <c r="N1787" s="296"/>
      <c r="O1787" s="296"/>
      <c r="P1787" s="296"/>
      <c r="Q1787" s="296"/>
      <c r="R1787" s="296"/>
      <c r="S1787" s="296"/>
      <c r="T1787" s="296"/>
      <c r="U1787" s="297"/>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6"/>
      <c r="N1788" s="296"/>
      <c r="O1788" s="296"/>
      <c r="P1788" s="296"/>
      <c r="Q1788" s="296"/>
      <c r="R1788" s="296"/>
      <c r="S1788" s="296"/>
      <c r="T1788" s="296"/>
      <c r="U1788" s="297"/>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6"/>
      <c r="N1789" s="296"/>
      <c r="O1789" s="296"/>
      <c r="P1789" s="296"/>
      <c r="Q1789" s="296"/>
      <c r="R1789" s="296"/>
      <c r="S1789" s="296"/>
      <c r="T1789" s="296"/>
      <c r="U1789" s="297"/>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6"/>
      <c r="N1790" s="296"/>
      <c r="O1790" s="296"/>
      <c r="P1790" s="296"/>
      <c r="Q1790" s="296"/>
      <c r="R1790" s="296"/>
      <c r="S1790" s="296"/>
      <c r="T1790" s="296"/>
      <c r="U1790" s="297"/>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6"/>
      <c r="N1791" s="296"/>
      <c r="O1791" s="296"/>
      <c r="P1791" s="296"/>
      <c r="Q1791" s="296"/>
      <c r="R1791" s="296"/>
      <c r="S1791" s="296"/>
      <c r="T1791" s="296"/>
      <c r="U1791" s="297"/>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6"/>
      <c r="N1792" s="296"/>
      <c r="O1792" s="296"/>
      <c r="P1792" s="296"/>
      <c r="Q1792" s="296"/>
      <c r="R1792" s="296"/>
      <c r="S1792" s="296"/>
      <c r="T1792" s="296"/>
      <c r="U1792" s="297"/>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6"/>
      <c r="N1793" s="296"/>
      <c r="O1793" s="296"/>
      <c r="P1793" s="296"/>
      <c r="Q1793" s="296"/>
      <c r="R1793" s="296"/>
      <c r="S1793" s="296"/>
      <c r="T1793" s="296"/>
      <c r="U1793" s="297"/>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6"/>
      <c r="N1794" s="296"/>
      <c r="O1794" s="296"/>
      <c r="P1794" s="296"/>
      <c r="Q1794" s="296"/>
      <c r="R1794" s="296"/>
      <c r="S1794" s="296"/>
      <c r="T1794" s="296"/>
      <c r="U1794" s="297"/>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6"/>
      <c r="N1795" s="296"/>
      <c r="O1795" s="296"/>
      <c r="P1795" s="296"/>
      <c r="Q1795" s="296"/>
      <c r="R1795" s="296"/>
      <c r="S1795" s="296"/>
      <c r="T1795" s="296"/>
      <c r="U1795" s="297"/>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6"/>
      <c r="N1796" s="296"/>
      <c r="O1796" s="296"/>
      <c r="P1796" s="296"/>
      <c r="Q1796" s="296"/>
      <c r="R1796" s="296"/>
      <c r="S1796" s="296"/>
      <c r="T1796" s="296"/>
      <c r="U1796" s="297"/>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6"/>
      <c r="N1797" s="296"/>
      <c r="O1797" s="296"/>
      <c r="P1797" s="296"/>
      <c r="Q1797" s="296"/>
      <c r="R1797" s="296"/>
      <c r="S1797" s="296"/>
      <c r="T1797" s="296"/>
      <c r="U1797" s="297"/>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6"/>
      <c r="N1798" s="296"/>
      <c r="O1798" s="296"/>
      <c r="P1798" s="296"/>
      <c r="Q1798" s="296"/>
      <c r="R1798" s="296"/>
      <c r="S1798" s="296"/>
      <c r="T1798" s="296"/>
      <c r="U1798" s="297"/>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6"/>
      <c r="N1799" s="296"/>
      <c r="O1799" s="296"/>
      <c r="P1799" s="296"/>
      <c r="Q1799" s="296"/>
      <c r="R1799" s="296"/>
      <c r="S1799" s="296"/>
      <c r="T1799" s="296"/>
      <c r="U1799" s="297"/>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6"/>
      <c r="N1800" s="296"/>
      <c r="O1800" s="296"/>
      <c r="P1800" s="296"/>
      <c r="Q1800" s="296"/>
      <c r="R1800" s="296"/>
      <c r="S1800" s="296"/>
      <c r="T1800" s="296"/>
      <c r="U1800" s="297"/>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6"/>
      <c r="N1801" s="296"/>
      <c r="O1801" s="296"/>
      <c r="P1801" s="296"/>
      <c r="Q1801" s="296"/>
      <c r="R1801" s="296"/>
      <c r="S1801" s="296"/>
      <c r="T1801" s="296"/>
      <c r="U1801" s="297"/>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6"/>
      <c r="N1802" s="296"/>
      <c r="O1802" s="296"/>
      <c r="P1802" s="296"/>
      <c r="Q1802" s="296"/>
      <c r="R1802" s="296"/>
      <c r="S1802" s="296"/>
      <c r="T1802" s="296"/>
      <c r="U1802" s="297"/>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6"/>
      <c r="N1803" s="296"/>
      <c r="O1803" s="296"/>
      <c r="P1803" s="296"/>
      <c r="Q1803" s="296"/>
      <c r="R1803" s="296"/>
      <c r="S1803" s="296"/>
      <c r="T1803" s="296"/>
      <c r="U1803" s="297"/>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6"/>
      <c r="N1804" s="296"/>
      <c r="O1804" s="296"/>
      <c r="P1804" s="296"/>
      <c r="Q1804" s="296"/>
      <c r="R1804" s="296"/>
      <c r="S1804" s="296"/>
      <c r="T1804" s="296"/>
      <c r="U1804" s="297"/>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2" t="s">
        <v>391</v>
      </c>
      <c r="C1805" s="284"/>
      <c r="D1805" s="79"/>
      <c r="E1805" s="80"/>
      <c r="F1805" s="80"/>
      <c r="G1805" s="81"/>
      <c r="H1805" s="192"/>
      <c r="I1805" s="192"/>
      <c r="J1805" s="192"/>
      <c r="K1805" s="82"/>
      <c r="L1805" s="282" t="s">
        <v>306</v>
      </c>
      <c r="M1805" s="283"/>
      <c r="N1805" s="283"/>
      <c r="O1805" s="283"/>
      <c r="P1805" s="283"/>
      <c r="Q1805" s="283"/>
      <c r="R1805" s="283"/>
      <c r="S1805" s="283"/>
      <c r="T1805" s="283"/>
      <c r="U1805" s="284"/>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2" t="s">
        <v>307</v>
      </c>
      <c r="C1806" s="284"/>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5" t="s">
        <v>222</v>
      </c>
      <c r="C1810" s="286"/>
      <c r="D1810" s="287" t="s">
        <v>223</v>
      </c>
      <c r="E1810" s="288"/>
      <c r="F1810" s="88"/>
      <c r="G1810" s="289" t="s">
        <v>224</v>
      </c>
      <c r="H1810" s="290"/>
      <c r="I1810" s="28">
        <f>SUM(E1821:E1845)</f>
        <v>0</v>
      </c>
      <c r="J1810" s="291" t="s">
        <v>225</v>
      </c>
      <c r="K1810" s="292"/>
      <c r="L1810" s="288"/>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8" t="s">
        <v>226</v>
      </c>
      <c r="AA1810" s="299"/>
      <c r="AB1810" s="300"/>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1" t="s">
        <v>230</v>
      </c>
      <c r="H1811" s="288"/>
      <c r="I1811" s="33">
        <f>E1812-I1810</f>
        <v>0</v>
      </c>
      <c r="J1811" s="302" t="s">
        <v>231</v>
      </c>
      <c r="K1811" s="303"/>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4" t="s">
        <v>232</v>
      </c>
      <c r="AA1811" s="306" t="s">
        <v>233</v>
      </c>
      <c r="AB1811" s="307"/>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0" t="s">
        <v>237</v>
      </c>
      <c r="H1812" s="311"/>
      <c r="I1812" s="35">
        <f>IF(E1812=0,0,12-(MOD(I1810,12)))</f>
        <v>0</v>
      </c>
      <c r="J1812" s="302" t="s">
        <v>238</v>
      </c>
      <c r="K1812" s="303"/>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5"/>
      <c r="AA1812" s="308"/>
      <c r="AB1812" s="309"/>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8" t="s">
        <v>242</v>
      </c>
      <c r="H1813" s="43" t="s">
        <v>243</v>
      </c>
      <c r="I1813" s="35">
        <f>IF(E1813&lt;&gt;0,1,0)</f>
        <v>0</v>
      </c>
      <c r="J1813" s="310" t="s">
        <v>244</v>
      </c>
      <c r="K1813" s="31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9"/>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8" t="s">
        <v>251</v>
      </c>
      <c r="H1815" s="51" t="s">
        <v>252</v>
      </c>
      <c r="I1815" s="112">
        <f>E1814</f>
        <v>0</v>
      </c>
      <c r="J1815" s="312" t="s">
        <v>253</v>
      </c>
      <c r="K1815" s="313"/>
      <c r="L1815" s="31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9"/>
      <c r="H1816" s="47" t="s">
        <v>257</v>
      </c>
      <c r="I1816" s="35" t="str">
        <f>IF(E1814="","0",IF(AND(E1811="EUC",E1812=432), I1815+(203-E1813),IF(E1814=0,0,(E1814+(E1812-E1813)-1))))</f>
        <v>0</v>
      </c>
      <c r="J1816" s="293" t="str">
        <f>IFERROR(IF(OR(E1811="EUC",E1811="SS"),"---",IF(OR(P1810,S1810),"NO 2F Tethers for RPX!",IF(OR(P1812,S1812),"NO 6F Tethers for RPX!","---"))),"---")</f>
        <v>---</v>
      </c>
      <c r="K1816" s="294"/>
      <c r="L1816" s="295"/>
      <c r="M1816" s="293" t="str">
        <f>IF(E1813&gt;60,"Dead Count &gt;60: Consider Downsize","---")</f>
        <v>---</v>
      </c>
      <c r="N1816" s="294"/>
      <c r="O1816" s="294"/>
      <c r="P1816" s="294"/>
      <c r="Q1816" s="294"/>
      <c r="R1816" s="294"/>
      <c r="S1816" s="294"/>
      <c r="T1816" s="294"/>
      <c r="U1816" s="295"/>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3"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4"/>
      <c r="L1817" s="295"/>
      <c r="M1817" s="293" t="str">
        <f>IF(AND(OR(E1811="SS",E1811="RPX",E1811="EUC",E1811="RPX-T"),(OR(C1821="",C1821="Field SPL"))),"Cannot have FlexNap cables without tethers","---")</f>
        <v>---</v>
      </c>
      <c r="N1817" s="294"/>
      <c r="O1817" s="294"/>
      <c r="P1817" s="294"/>
      <c r="Q1817" s="294"/>
      <c r="R1817" s="294"/>
      <c r="S1817" s="294"/>
      <c r="T1817" s="294"/>
      <c r="U1817" s="295"/>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3" t="str">
        <f>IF(AND(OR(E1811="RPX", E1811="RPX-T", E1811="SS"),E1812=216),"NO 216 For RPX, RPX-T, OR SS CABLE","---")</f>
        <v>---</v>
      </c>
      <c r="K1818" s="294"/>
      <c r="L1818" s="295"/>
      <c r="M1818" s="293" t="str" cm="1">
        <f t="array" ref="M1818">IF(AND(E1811="",OR(C1821:C1845="FST",C1821:C1845="REV T",C1821:C1845="DBL REV",C1821:C1845="TPL REV", C1821:C1845="QD REV")),"Non-FlexNap cables cannot have tethers","---")</f>
        <v>---</v>
      </c>
      <c r="N1818" s="294"/>
      <c r="O1818" s="294"/>
      <c r="P1818" s="294"/>
      <c r="Q1818" s="294"/>
      <c r="R1818" s="294"/>
      <c r="S1818" s="294"/>
      <c r="T1818" s="294"/>
      <c r="U1818" s="295"/>
      <c r="V1818" s="25"/>
      <c r="W1818" s="58"/>
      <c r="X1818" s="58"/>
      <c r="Y1818" s="25"/>
      <c r="Z1818" s="45">
        <v>6</v>
      </c>
      <c r="AA1818" s="65">
        <v>61</v>
      </c>
      <c r="AB1818" s="65">
        <v>72</v>
      </c>
      <c r="AC1818" s="25"/>
      <c r="AD1818" s="25"/>
      <c r="BA1818" s="226"/>
    </row>
    <row r="1819" spans="1:53" ht="15.75" customHeight="1" thickBot="1" x14ac:dyDescent="0.3">
      <c r="A1819" s="88"/>
      <c r="B1819" s="278" t="s">
        <v>260</v>
      </c>
      <c r="C1819" s="315" t="s">
        <v>261</v>
      </c>
      <c r="D1819" s="315" t="s">
        <v>262</v>
      </c>
      <c r="E1819" s="317" t="s">
        <v>263</v>
      </c>
      <c r="F1819" s="315" t="s">
        <v>264</v>
      </c>
      <c r="G1819" s="280" t="s">
        <v>265</v>
      </c>
      <c r="H1819" s="280" t="s">
        <v>266</v>
      </c>
      <c r="I1819" s="280" t="s">
        <v>267</v>
      </c>
      <c r="J1819" s="319" t="s">
        <v>268</v>
      </c>
      <c r="K1819" s="315" t="s">
        <v>269</v>
      </c>
      <c r="L1819" s="321" t="s">
        <v>270</v>
      </c>
      <c r="M1819" s="323" t="s">
        <v>271</v>
      </c>
      <c r="N1819" s="323"/>
      <c r="O1819" s="323"/>
      <c r="P1819" s="323"/>
      <c r="Q1819" s="323"/>
      <c r="R1819" s="323"/>
      <c r="S1819" s="323"/>
      <c r="T1819" s="323"/>
      <c r="U1819" s="324"/>
      <c r="V1819" s="107"/>
      <c r="W1819" s="72"/>
      <c r="X1819" s="72"/>
      <c r="Y1819" s="72"/>
      <c r="Z1819" s="45">
        <v>7</v>
      </c>
      <c r="AA1819" s="65">
        <v>73</v>
      </c>
      <c r="AB1819" s="65">
        <v>84</v>
      </c>
      <c r="AC1819" s="25"/>
      <c r="AD1819" s="25"/>
      <c r="BA1819" s="228"/>
    </row>
    <row r="1820" spans="1:53" ht="15.75" thickBot="1" x14ac:dyDescent="0.3">
      <c r="A1820" s="88"/>
      <c r="B1820" s="279"/>
      <c r="C1820" s="316"/>
      <c r="D1820" s="316"/>
      <c r="E1820" s="318"/>
      <c r="F1820" s="316"/>
      <c r="G1820" s="281"/>
      <c r="H1820" s="281"/>
      <c r="I1820" s="281"/>
      <c r="J1820" s="320"/>
      <c r="K1820" s="316"/>
      <c r="L1820" s="322"/>
      <c r="M1820" s="325"/>
      <c r="N1820" s="325"/>
      <c r="O1820" s="325"/>
      <c r="P1820" s="325"/>
      <c r="Q1820" s="325"/>
      <c r="R1820" s="325"/>
      <c r="S1820" s="325"/>
      <c r="T1820" s="325"/>
      <c r="U1820" s="326"/>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6"/>
      <c r="N1821" s="296"/>
      <c r="O1821" s="296"/>
      <c r="P1821" s="296"/>
      <c r="Q1821" s="296"/>
      <c r="R1821" s="296"/>
      <c r="S1821" s="296"/>
      <c r="T1821" s="296"/>
      <c r="U1821" s="297"/>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6"/>
      <c r="N1822" s="296"/>
      <c r="O1822" s="296"/>
      <c r="P1822" s="296"/>
      <c r="Q1822" s="296"/>
      <c r="R1822" s="296"/>
      <c r="S1822" s="296"/>
      <c r="T1822" s="296"/>
      <c r="U1822" s="297"/>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6"/>
      <c r="N1823" s="296"/>
      <c r="O1823" s="296"/>
      <c r="P1823" s="296"/>
      <c r="Q1823" s="296"/>
      <c r="R1823" s="296"/>
      <c r="S1823" s="296"/>
      <c r="T1823" s="296"/>
      <c r="U1823" s="297"/>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6"/>
      <c r="N1824" s="296"/>
      <c r="O1824" s="296"/>
      <c r="P1824" s="296"/>
      <c r="Q1824" s="296"/>
      <c r="R1824" s="296"/>
      <c r="S1824" s="296"/>
      <c r="T1824" s="296"/>
      <c r="U1824" s="297"/>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6"/>
      <c r="N1825" s="296"/>
      <c r="O1825" s="296"/>
      <c r="P1825" s="296"/>
      <c r="Q1825" s="296"/>
      <c r="R1825" s="296"/>
      <c r="S1825" s="296"/>
      <c r="T1825" s="296"/>
      <c r="U1825" s="297"/>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6"/>
      <c r="N1826" s="296"/>
      <c r="O1826" s="296"/>
      <c r="P1826" s="296"/>
      <c r="Q1826" s="296"/>
      <c r="R1826" s="296"/>
      <c r="S1826" s="296"/>
      <c r="T1826" s="296"/>
      <c r="U1826" s="297"/>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6"/>
      <c r="N1827" s="296"/>
      <c r="O1827" s="296"/>
      <c r="P1827" s="296"/>
      <c r="Q1827" s="296"/>
      <c r="R1827" s="296"/>
      <c r="S1827" s="296"/>
      <c r="T1827" s="296"/>
      <c r="U1827" s="297"/>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6"/>
      <c r="N1828" s="296"/>
      <c r="O1828" s="296"/>
      <c r="P1828" s="296"/>
      <c r="Q1828" s="296"/>
      <c r="R1828" s="296"/>
      <c r="S1828" s="296"/>
      <c r="T1828" s="296"/>
      <c r="U1828" s="297"/>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6"/>
      <c r="N1829" s="296"/>
      <c r="O1829" s="296"/>
      <c r="P1829" s="296"/>
      <c r="Q1829" s="296"/>
      <c r="R1829" s="296"/>
      <c r="S1829" s="296"/>
      <c r="T1829" s="296"/>
      <c r="U1829" s="297"/>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6"/>
      <c r="N1830" s="296"/>
      <c r="O1830" s="296"/>
      <c r="P1830" s="296"/>
      <c r="Q1830" s="296"/>
      <c r="R1830" s="296"/>
      <c r="S1830" s="296"/>
      <c r="T1830" s="296"/>
      <c r="U1830" s="297"/>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6"/>
      <c r="N1831" s="296"/>
      <c r="O1831" s="296"/>
      <c r="P1831" s="296"/>
      <c r="Q1831" s="296"/>
      <c r="R1831" s="296"/>
      <c r="S1831" s="296"/>
      <c r="T1831" s="296"/>
      <c r="U1831" s="297"/>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6"/>
      <c r="N1832" s="296"/>
      <c r="O1832" s="296"/>
      <c r="P1832" s="296"/>
      <c r="Q1832" s="296"/>
      <c r="R1832" s="296"/>
      <c r="S1832" s="296"/>
      <c r="T1832" s="296"/>
      <c r="U1832" s="297"/>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6"/>
      <c r="N1833" s="296"/>
      <c r="O1833" s="296"/>
      <c r="P1833" s="296"/>
      <c r="Q1833" s="296"/>
      <c r="R1833" s="296"/>
      <c r="S1833" s="296"/>
      <c r="T1833" s="296"/>
      <c r="U1833" s="297"/>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6"/>
      <c r="N1834" s="296"/>
      <c r="O1834" s="296"/>
      <c r="P1834" s="296"/>
      <c r="Q1834" s="296"/>
      <c r="R1834" s="296"/>
      <c r="S1834" s="296"/>
      <c r="T1834" s="296"/>
      <c r="U1834" s="297"/>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6"/>
      <c r="N1835" s="296"/>
      <c r="O1835" s="296"/>
      <c r="P1835" s="296"/>
      <c r="Q1835" s="296"/>
      <c r="R1835" s="296"/>
      <c r="S1835" s="296"/>
      <c r="T1835" s="296"/>
      <c r="U1835" s="297"/>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6"/>
      <c r="N1836" s="296"/>
      <c r="O1836" s="296"/>
      <c r="P1836" s="296"/>
      <c r="Q1836" s="296"/>
      <c r="R1836" s="296"/>
      <c r="S1836" s="296"/>
      <c r="T1836" s="296"/>
      <c r="U1836" s="297"/>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6"/>
      <c r="N1837" s="296"/>
      <c r="O1837" s="296"/>
      <c r="P1837" s="296"/>
      <c r="Q1837" s="296"/>
      <c r="R1837" s="296"/>
      <c r="S1837" s="296"/>
      <c r="T1837" s="296"/>
      <c r="U1837" s="297"/>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6"/>
      <c r="N1838" s="296"/>
      <c r="O1838" s="296"/>
      <c r="P1838" s="296"/>
      <c r="Q1838" s="296"/>
      <c r="R1838" s="296"/>
      <c r="S1838" s="296"/>
      <c r="T1838" s="296"/>
      <c r="U1838" s="297"/>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6"/>
      <c r="N1839" s="296"/>
      <c r="O1839" s="296"/>
      <c r="P1839" s="296"/>
      <c r="Q1839" s="296"/>
      <c r="R1839" s="296"/>
      <c r="S1839" s="296"/>
      <c r="T1839" s="296"/>
      <c r="U1839" s="297"/>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6"/>
      <c r="N1840" s="296"/>
      <c r="O1840" s="296"/>
      <c r="P1840" s="296"/>
      <c r="Q1840" s="296"/>
      <c r="R1840" s="296"/>
      <c r="S1840" s="296"/>
      <c r="T1840" s="296"/>
      <c r="U1840" s="297"/>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6"/>
      <c r="N1841" s="296"/>
      <c r="O1841" s="296"/>
      <c r="P1841" s="296"/>
      <c r="Q1841" s="296"/>
      <c r="R1841" s="296"/>
      <c r="S1841" s="296"/>
      <c r="T1841" s="296"/>
      <c r="U1841" s="297"/>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6"/>
      <c r="N1842" s="296"/>
      <c r="O1842" s="296"/>
      <c r="P1842" s="296"/>
      <c r="Q1842" s="296"/>
      <c r="R1842" s="296"/>
      <c r="S1842" s="296"/>
      <c r="T1842" s="296"/>
      <c r="U1842" s="297"/>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6"/>
      <c r="N1843" s="296"/>
      <c r="O1843" s="296"/>
      <c r="P1843" s="296"/>
      <c r="Q1843" s="296"/>
      <c r="R1843" s="296"/>
      <c r="S1843" s="296"/>
      <c r="T1843" s="296"/>
      <c r="U1843" s="297"/>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6"/>
      <c r="N1844" s="296"/>
      <c r="O1844" s="296"/>
      <c r="P1844" s="296"/>
      <c r="Q1844" s="296"/>
      <c r="R1844" s="296"/>
      <c r="S1844" s="296"/>
      <c r="T1844" s="296"/>
      <c r="U1844" s="297"/>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6"/>
      <c r="N1845" s="296"/>
      <c r="O1845" s="296"/>
      <c r="P1845" s="296"/>
      <c r="Q1845" s="296"/>
      <c r="R1845" s="296"/>
      <c r="S1845" s="296"/>
      <c r="T1845" s="296"/>
      <c r="U1845" s="297"/>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2" t="s">
        <v>393</v>
      </c>
      <c r="C1846" s="284"/>
      <c r="D1846" s="79"/>
      <c r="E1846" s="80"/>
      <c r="F1846" s="80"/>
      <c r="G1846" s="81"/>
      <c r="H1846" s="192"/>
      <c r="I1846" s="192"/>
      <c r="J1846" s="192"/>
      <c r="K1846" s="82"/>
      <c r="L1846" s="282" t="s">
        <v>306</v>
      </c>
      <c r="M1846" s="283"/>
      <c r="N1846" s="283"/>
      <c r="O1846" s="283"/>
      <c r="P1846" s="283"/>
      <c r="Q1846" s="283"/>
      <c r="R1846" s="283"/>
      <c r="S1846" s="283"/>
      <c r="T1846" s="283"/>
      <c r="U1846" s="284"/>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2" t="s">
        <v>307</v>
      </c>
      <c r="C1847" s="284"/>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5" t="s">
        <v>222</v>
      </c>
      <c r="C1851" s="286"/>
      <c r="D1851" s="287" t="s">
        <v>223</v>
      </c>
      <c r="E1851" s="288"/>
      <c r="F1851" s="88"/>
      <c r="G1851" s="289" t="s">
        <v>224</v>
      </c>
      <c r="H1851" s="290"/>
      <c r="I1851" s="28">
        <f>SUM(E1862:E1886)</f>
        <v>0</v>
      </c>
      <c r="J1851" s="291" t="s">
        <v>225</v>
      </c>
      <c r="K1851" s="292"/>
      <c r="L1851" s="288"/>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8" t="s">
        <v>226</v>
      </c>
      <c r="AA1851" s="299"/>
      <c r="AB1851" s="300"/>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1" t="s">
        <v>230</v>
      </c>
      <c r="H1852" s="288"/>
      <c r="I1852" s="33">
        <f>E1853-I1851</f>
        <v>0</v>
      </c>
      <c r="J1852" s="302" t="s">
        <v>231</v>
      </c>
      <c r="K1852" s="303"/>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4" t="s">
        <v>232</v>
      </c>
      <c r="AA1852" s="306" t="s">
        <v>233</v>
      </c>
      <c r="AB1852" s="307"/>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0" t="s">
        <v>237</v>
      </c>
      <c r="H1853" s="311"/>
      <c r="I1853" s="35">
        <f>IF(E1853=0,0,12-(MOD(I1851,12)))</f>
        <v>0</v>
      </c>
      <c r="J1853" s="302" t="s">
        <v>238</v>
      </c>
      <c r="K1853" s="303"/>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5"/>
      <c r="AA1853" s="308"/>
      <c r="AB1853" s="309"/>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8" t="s">
        <v>242</v>
      </c>
      <c r="H1854" s="43" t="s">
        <v>243</v>
      </c>
      <c r="I1854" s="35">
        <f>IF(E1854&lt;&gt;0,1,0)</f>
        <v>0</v>
      </c>
      <c r="J1854" s="310" t="s">
        <v>244</v>
      </c>
      <c r="K1854" s="31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9"/>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8" t="s">
        <v>251</v>
      </c>
      <c r="H1856" s="51" t="s">
        <v>252</v>
      </c>
      <c r="I1856" s="112">
        <f>E1855</f>
        <v>0</v>
      </c>
      <c r="J1856" s="312" t="s">
        <v>253</v>
      </c>
      <c r="K1856" s="313"/>
      <c r="L1856" s="31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9"/>
      <c r="H1857" s="47" t="s">
        <v>257</v>
      </c>
      <c r="I1857" s="35" t="str">
        <f>IF(E1855="","0",IF(AND(E1852="EUC",E1853=432), I1856+(203-E1854),IF(E1855=0,0,(E1855+(E1853-E1854)-1))))</f>
        <v>0</v>
      </c>
      <c r="J1857" s="293" t="str">
        <f>IFERROR(IF(OR(E1852="EUC",E1852="SS"),"---",IF(OR(P1851,S1851),"NO 2F Tethers for RPX!",IF(OR(P1853,S1853),"NO 6F Tethers for RPX!","---"))),"---")</f>
        <v>---</v>
      </c>
      <c r="K1857" s="294"/>
      <c r="L1857" s="295"/>
      <c r="M1857" s="293" t="str">
        <f>IF(E1854&gt;60,"Dead Count &gt;60: Consider Downsize","---")</f>
        <v>---</v>
      </c>
      <c r="N1857" s="294"/>
      <c r="O1857" s="294"/>
      <c r="P1857" s="294"/>
      <c r="Q1857" s="294"/>
      <c r="R1857" s="294"/>
      <c r="S1857" s="294"/>
      <c r="T1857" s="294"/>
      <c r="U1857" s="295"/>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3"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4"/>
      <c r="L1858" s="295"/>
      <c r="M1858" s="293" t="str">
        <f>IF(AND(OR(E1852="SS",E1852="RPX",E1852="EUC",E1852="RPX-T"),(OR(C1862="",C1862="Field SPL"))),"Cannot have FlexNap cables without tethers","---")</f>
        <v>---</v>
      </c>
      <c r="N1858" s="294"/>
      <c r="O1858" s="294"/>
      <c r="P1858" s="294"/>
      <c r="Q1858" s="294"/>
      <c r="R1858" s="294"/>
      <c r="S1858" s="294"/>
      <c r="T1858" s="294"/>
      <c r="U1858" s="295"/>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3" t="str">
        <f>IF(AND(OR(E1852="RPX", E1852="RPX-T", E1852="SS"),E1853=216),"NO 216 For RPX, RPX-T, OR SS CABLE","---")</f>
        <v>---</v>
      </c>
      <c r="K1859" s="294"/>
      <c r="L1859" s="295"/>
      <c r="M1859" s="293" t="str" cm="1">
        <f t="array" ref="M1859">IF(AND(E1852="",OR(C1862:C1886="FST",C1862:C1886="REV T",C1862:C1886="DBL REV",C1862:C1886="TPL REV", C1862:C1886="QD REV")),"Non-FlexNap cables cannot have tethers","---")</f>
        <v>---</v>
      </c>
      <c r="N1859" s="294"/>
      <c r="O1859" s="294"/>
      <c r="P1859" s="294"/>
      <c r="Q1859" s="294"/>
      <c r="R1859" s="294"/>
      <c r="S1859" s="294"/>
      <c r="T1859" s="294"/>
      <c r="U1859" s="295"/>
      <c r="V1859" s="25"/>
      <c r="W1859" s="58"/>
      <c r="X1859" s="58"/>
      <c r="Y1859" s="25"/>
      <c r="Z1859" s="45">
        <v>6</v>
      </c>
      <c r="AA1859" s="65">
        <v>61</v>
      </c>
      <c r="AB1859" s="65">
        <v>72</v>
      </c>
      <c r="AC1859" s="25"/>
      <c r="AD1859" s="25"/>
      <c r="BA1859" s="226"/>
    </row>
    <row r="1860" spans="1:53" ht="15.75" customHeight="1" thickBot="1" x14ac:dyDescent="0.3">
      <c r="A1860" s="88"/>
      <c r="B1860" s="278" t="s">
        <v>260</v>
      </c>
      <c r="C1860" s="315" t="s">
        <v>261</v>
      </c>
      <c r="D1860" s="315" t="s">
        <v>262</v>
      </c>
      <c r="E1860" s="317" t="s">
        <v>263</v>
      </c>
      <c r="F1860" s="315" t="s">
        <v>264</v>
      </c>
      <c r="G1860" s="280" t="s">
        <v>265</v>
      </c>
      <c r="H1860" s="280" t="s">
        <v>266</v>
      </c>
      <c r="I1860" s="280" t="s">
        <v>267</v>
      </c>
      <c r="J1860" s="319" t="s">
        <v>268</v>
      </c>
      <c r="K1860" s="315" t="s">
        <v>269</v>
      </c>
      <c r="L1860" s="321" t="s">
        <v>270</v>
      </c>
      <c r="M1860" s="323" t="s">
        <v>271</v>
      </c>
      <c r="N1860" s="323"/>
      <c r="O1860" s="323"/>
      <c r="P1860" s="323"/>
      <c r="Q1860" s="323"/>
      <c r="R1860" s="323"/>
      <c r="S1860" s="323"/>
      <c r="T1860" s="323"/>
      <c r="U1860" s="324"/>
      <c r="V1860" s="107"/>
      <c r="W1860" s="72"/>
      <c r="X1860" s="72"/>
      <c r="Y1860" s="72"/>
      <c r="Z1860" s="45">
        <v>7</v>
      </c>
      <c r="AA1860" s="65">
        <v>73</v>
      </c>
      <c r="AB1860" s="65">
        <v>84</v>
      </c>
      <c r="AC1860" s="25"/>
      <c r="AD1860" s="25"/>
      <c r="BA1860" s="228"/>
    </row>
    <row r="1861" spans="1:53" ht="15.75" thickBot="1" x14ac:dyDescent="0.3">
      <c r="A1861" s="88"/>
      <c r="B1861" s="279"/>
      <c r="C1861" s="316"/>
      <c r="D1861" s="316"/>
      <c r="E1861" s="318"/>
      <c r="F1861" s="316"/>
      <c r="G1861" s="281"/>
      <c r="H1861" s="281"/>
      <c r="I1861" s="281"/>
      <c r="J1861" s="320"/>
      <c r="K1861" s="316"/>
      <c r="L1861" s="322"/>
      <c r="M1861" s="325"/>
      <c r="N1861" s="325"/>
      <c r="O1861" s="325"/>
      <c r="P1861" s="325"/>
      <c r="Q1861" s="325"/>
      <c r="R1861" s="325"/>
      <c r="S1861" s="325"/>
      <c r="T1861" s="325"/>
      <c r="U1861" s="326"/>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6"/>
      <c r="N1862" s="296"/>
      <c r="O1862" s="296"/>
      <c r="P1862" s="296"/>
      <c r="Q1862" s="296"/>
      <c r="R1862" s="296"/>
      <c r="S1862" s="296"/>
      <c r="T1862" s="296"/>
      <c r="U1862" s="297"/>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6"/>
      <c r="N1863" s="296"/>
      <c r="O1863" s="296"/>
      <c r="P1863" s="296"/>
      <c r="Q1863" s="296"/>
      <c r="R1863" s="296"/>
      <c r="S1863" s="296"/>
      <c r="T1863" s="296"/>
      <c r="U1863" s="297"/>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6"/>
      <c r="N1864" s="296"/>
      <c r="O1864" s="296"/>
      <c r="P1864" s="296"/>
      <c r="Q1864" s="296"/>
      <c r="R1864" s="296"/>
      <c r="S1864" s="296"/>
      <c r="T1864" s="296"/>
      <c r="U1864" s="297"/>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6"/>
      <c r="N1865" s="296"/>
      <c r="O1865" s="296"/>
      <c r="P1865" s="296"/>
      <c r="Q1865" s="296"/>
      <c r="R1865" s="296"/>
      <c r="S1865" s="296"/>
      <c r="T1865" s="296"/>
      <c r="U1865" s="297"/>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6"/>
      <c r="N1866" s="296"/>
      <c r="O1866" s="296"/>
      <c r="P1866" s="296"/>
      <c r="Q1866" s="296"/>
      <c r="R1866" s="296"/>
      <c r="S1866" s="296"/>
      <c r="T1866" s="296"/>
      <c r="U1866" s="297"/>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6"/>
      <c r="N1867" s="296"/>
      <c r="O1867" s="296"/>
      <c r="P1867" s="296"/>
      <c r="Q1867" s="296"/>
      <c r="R1867" s="296"/>
      <c r="S1867" s="296"/>
      <c r="T1867" s="296"/>
      <c r="U1867" s="297"/>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6"/>
      <c r="N1868" s="296"/>
      <c r="O1868" s="296"/>
      <c r="P1868" s="296"/>
      <c r="Q1868" s="296"/>
      <c r="R1868" s="296"/>
      <c r="S1868" s="296"/>
      <c r="T1868" s="296"/>
      <c r="U1868" s="297"/>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6"/>
      <c r="N1869" s="296"/>
      <c r="O1869" s="296"/>
      <c r="P1869" s="296"/>
      <c r="Q1869" s="296"/>
      <c r="R1869" s="296"/>
      <c r="S1869" s="296"/>
      <c r="T1869" s="296"/>
      <c r="U1869" s="297"/>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6"/>
      <c r="N1870" s="296"/>
      <c r="O1870" s="296"/>
      <c r="P1870" s="296"/>
      <c r="Q1870" s="296"/>
      <c r="R1870" s="296"/>
      <c r="S1870" s="296"/>
      <c r="T1870" s="296"/>
      <c r="U1870" s="297"/>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6"/>
      <c r="N1871" s="296"/>
      <c r="O1871" s="296"/>
      <c r="P1871" s="296"/>
      <c r="Q1871" s="296"/>
      <c r="R1871" s="296"/>
      <c r="S1871" s="296"/>
      <c r="T1871" s="296"/>
      <c r="U1871" s="297"/>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6"/>
      <c r="N1872" s="296"/>
      <c r="O1872" s="296"/>
      <c r="P1872" s="296"/>
      <c r="Q1872" s="296"/>
      <c r="R1872" s="296"/>
      <c r="S1872" s="296"/>
      <c r="T1872" s="296"/>
      <c r="U1872" s="297"/>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6"/>
      <c r="N1873" s="296"/>
      <c r="O1873" s="296"/>
      <c r="P1873" s="296"/>
      <c r="Q1873" s="296"/>
      <c r="R1873" s="296"/>
      <c r="S1873" s="296"/>
      <c r="T1873" s="296"/>
      <c r="U1873" s="297"/>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6"/>
      <c r="N1874" s="296"/>
      <c r="O1874" s="296"/>
      <c r="P1874" s="296"/>
      <c r="Q1874" s="296"/>
      <c r="R1874" s="296"/>
      <c r="S1874" s="296"/>
      <c r="T1874" s="296"/>
      <c r="U1874" s="297"/>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6"/>
      <c r="N1875" s="296"/>
      <c r="O1875" s="296"/>
      <c r="P1875" s="296"/>
      <c r="Q1875" s="296"/>
      <c r="R1875" s="296"/>
      <c r="S1875" s="296"/>
      <c r="T1875" s="296"/>
      <c r="U1875" s="297"/>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6"/>
      <c r="N1876" s="296"/>
      <c r="O1876" s="296"/>
      <c r="P1876" s="296"/>
      <c r="Q1876" s="296"/>
      <c r="R1876" s="296"/>
      <c r="S1876" s="296"/>
      <c r="T1876" s="296"/>
      <c r="U1876" s="297"/>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6"/>
      <c r="N1877" s="296"/>
      <c r="O1877" s="296"/>
      <c r="P1877" s="296"/>
      <c r="Q1877" s="296"/>
      <c r="R1877" s="296"/>
      <c r="S1877" s="296"/>
      <c r="T1877" s="296"/>
      <c r="U1877" s="297"/>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6"/>
      <c r="N1878" s="296"/>
      <c r="O1878" s="296"/>
      <c r="P1878" s="296"/>
      <c r="Q1878" s="296"/>
      <c r="R1878" s="296"/>
      <c r="S1878" s="296"/>
      <c r="T1878" s="296"/>
      <c r="U1878" s="297"/>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6"/>
      <c r="N1879" s="296"/>
      <c r="O1879" s="296"/>
      <c r="P1879" s="296"/>
      <c r="Q1879" s="296"/>
      <c r="R1879" s="296"/>
      <c r="S1879" s="296"/>
      <c r="T1879" s="296"/>
      <c r="U1879" s="297"/>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6"/>
      <c r="N1880" s="296"/>
      <c r="O1880" s="296"/>
      <c r="P1880" s="296"/>
      <c r="Q1880" s="296"/>
      <c r="R1880" s="296"/>
      <c r="S1880" s="296"/>
      <c r="T1880" s="296"/>
      <c r="U1880" s="297"/>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6"/>
      <c r="N1881" s="296"/>
      <c r="O1881" s="296"/>
      <c r="P1881" s="296"/>
      <c r="Q1881" s="296"/>
      <c r="R1881" s="296"/>
      <c r="S1881" s="296"/>
      <c r="T1881" s="296"/>
      <c r="U1881" s="297"/>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6"/>
      <c r="N1882" s="296"/>
      <c r="O1882" s="296"/>
      <c r="P1882" s="296"/>
      <c r="Q1882" s="296"/>
      <c r="R1882" s="296"/>
      <c r="S1882" s="296"/>
      <c r="T1882" s="296"/>
      <c r="U1882" s="297"/>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6"/>
      <c r="N1883" s="296"/>
      <c r="O1883" s="296"/>
      <c r="P1883" s="296"/>
      <c r="Q1883" s="296"/>
      <c r="R1883" s="296"/>
      <c r="S1883" s="296"/>
      <c r="T1883" s="296"/>
      <c r="U1883" s="297"/>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6"/>
      <c r="N1884" s="296"/>
      <c r="O1884" s="296"/>
      <c r="P1884" s="296"/>
      <c r="Q1884" s="296"/>
      <c r="R1884" s="296"/>
      <c r="S1884" s="296"/>
      <c r="T1884" s="296"/>
      <c r="U1884" s="297"/>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6"/>
      <c r="N1885" s="296"/>
      <c r="O1885" s="296"/>
      <c r="P1885" s="296"/>
      <c r="Q1885" s="296"/>
      <c r="R1885" s="296"/>
      <c r="S1885" s="296"/>
      <c r="T1885" s="296"/>
      <c r="U1885" s="297"/>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6"/>
      <c r="N1886" s="296"/>
      <c r="O1886" s="296"/>
      <c r="P1886" s="296"/>
      <c r="Q1886" s="296"/>
      <c r="R1886" s="296"/>
      <c r="S1886" s="296"/>
      <c r="T1886" s="296"/>
      <c r="U1886" s="297"/>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2" t="s">
        <v>395</v>
      </c>
      <c r="C1887" s="284"/>
      <c r="D1887" s="79"/>
      <c r="E1887" s="80"/>
      <c r="F1887" s="80"/>
      <c r="G1887" s="81"/>
      <c r="H1887" s="192"/>
      <c r="I1887" s="192"/>
      <c r="J1887" s="192"/>
      <c r="K1887" s="82"/>
      <c r="L1887" s="282" t="s">
        <v>306</v>
      </c>
      <c r="M1887" s="283"/>
      <c r="N1887" s="283"/>
      <c r="O1887" s="283"/>
      <c r="P1887" s="283"/>
      <c r="Q1887" s="283"/>
      <c r="R1887" s="283"/>
      <c r="S1887" s="283"/>
      <c r="T1887" s="283"/>
      <c r="U1887" s="284"/>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2" t="s">
        <v>307</v>
      </c>
      <c r="C1888" s="284"/>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5" t="s">
        <v>222</v>
      </c>
      <c r="C1892" s="286"/>
      <c r="D1892" s="287" t="s">
        <v>223</v>
      </c>
      <c r="E1892" s="288"/>
      <c r="F1892" s="88"/>
      <c r="G1892" s="289" t="s">
        <v>224</v>
      </c>
      <c r="H1892" s="290"/>
      <c r="I1892" s="28">
        <f>SUM(E1903:E1927)</f>
        <v>0</v>
      </c>
      <c r="J1892" s="291" t="s">
        <v>225</v>
      </c>
      <c r="K1892" s="292"/>
      <c r="L1892" s="288"/>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8" t="s">
        <v>226</v>
      </c>
      <c r="AA1892" s="299"/>
      <c r="AB1892" s="300"/>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1" t="s">
        <v>230</v>
      </c>
      <c r="H1893" s="288"/>
      <c r="I1893" s="33">
        <f>E1894-I1892</f>
        <v>0</v>
      </c>
      <c r="J1893" s="302" t="s">
        <v>231</v>
      </c>
      <c r="K1893" s="303"/>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4" t="s">
        <v>232</v>
      </c>
      <c r="AA1893" s="306" t="s">
        <v>233</v>
      </c>
      <c r="AB1893" s="307"/>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0" t="s">
        <v>237</v>
      </c>
      <c r="H1894" s="311"/>
      <c r="I1894" s="35">
        <f>IF(E1894=0,0,12-(MOD(I1892,12)))</f>
        <v>0</v>
      </c>
      <c r="J1894" s="302" t="s">
        <v>238</v>
      </c>
      <c r="K1894" s="303"/>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5"/>
      <c r="AA1894" s="308"/>
      <c r="AB1894" s="309"/>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8" t="s">
        <v>242</v>
      </c>
      <c r="H1895" s="43" t="s">
        <v>243</v>
      </c>
      <c r="I1895" s="35">
        <f>IF(E1895&lt;&gt;0,1,0)</f>
        <v>0</v>
      </c>
      <c r="J1895" s="310" t="s">
        <v>244</v>
      </c>
      <c r="K1895" s="31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9"/>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8" t="s">
        <v>251</v>
      </c>
      <c r="H1897" s="51" t="s">
        <v>252</v>
      </c>
      <c r="I1897" s="112">
        <f>E1896</f>
        <v>0</v>
      </c>
      <c r="J1897" s="312" t="s">
        <v>253</v>
      </c>
      <c r="K1897" s="313"/>
      <c r="L1897" s="31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9"/>
      <c r="H1898" s="47" t="s">
        <v>257</v>
      </c>
      <c r="I1898" s="35" t="str">
        <f>IF(E1896="","0",IF(AND(E1893="EUC",E1894=432), I1897+(203-E1895),IF(E1896=0,0,(E1896+(E1894-E1895)-1))))</f>
        <v>0</v>
      </c>
      <c r="J1898" s="293" t="str">
        <f>IFERROR(IF(OR(E1893="EUC",E1893="SS"),"---",IF(OR(P1892,S1892),"NO 2F Tethers for RPX!",IF(OR(P1894,S1894),"NO 6F Tethers for RPX!","---"))),"---")</f>
        <v>---</v>
      </c>
      <c r="K1898" s="294"/>
      <c r="L1898" s="295"/>
      <c r="M1898" s="293" t="str">
        <f>IF(E1895&gt;60,"Dead Count &gt;60: Consider Downsize","---")</f>
        <v>---</v>
      </c>
      <c r="N1898" s="294"/>
      <c r="O1898" s="294"/>
      <c r="P1898" s="294"/>
      <c r="Q1898" s="294"/>
      <c r="R1898" s="294"/>
      <c r="S1898" s="294"/>
      <c r="T1898" s="294"/>
      <c r="U1898" s="295"/>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3"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4"/>
      <c r="L1899" s="295"/>
      <c r="M1899" s="293" t="str">
        <f>IF(AND(OR(E1893="SS",E1893="RPX",E1893="EUC",E1893="RPX-T"),(OR(C1903="",C1903="Field SPL"))),"Cannot have FlexNap cables without tethers","---")</f>
        <v>---</v>
      </c>
      <c r="N1899" s="294"/>
      <c r="O1899" s="294"/>
      <c r="P1899" s="294"/>
      <c r="Q1899" s="294"/>
      <c r="R1899" s="294"/>
      <c r="S1899" s="294"/>
      <c r="T1899" s="294"/>
      <c r="U1899" s="295"/>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3" t="str">
        <f>IF(AND(OR(E1893="RPX", E1893="RPX-T", E1893="SS"),E1894=216),"NO 216 For RPX, RPX-T, OR SS CABLE","---")</f>
        <v>---</v>
      </c>
      <c r="K1900" s="294"/>
      <c r="L1900" s="295"/>
      <c r="M1900" s="293" t="str" cm="1">
        <f t="array" ref="M1900">IF(AND(E1893="",OR(C1903:C1927="FST",C1903:C1927="REV T",C1903:C1927="DBL REV",C1903:C1927="TPL REV", C1903:C1927="QD REV")),"Non-FlexNap cables cannot have tethers","---")</f>
        <v>---</v>
      </c>
      <c r="N1900" s="294"/>
      <c r="O1900" s="294"/>
      <c r="P1900" s="294"/>
      <c r="Q1900" s="294"/>
      <c r="R1900" s="294"/>
      <c r="S1900" s="294"/>
      <c r="T1900" s="294"/>
      <c r="U1900" s="295"/>
      <c r="V1900" s="25"/>
      <c r="W1900" s="58"/>
      <c r="X1900" s="58"/>
      <c r="Y1900" s="25"/>
      <c r="Z1900" s="45">
        <v>6</v>
      </c>
      <c r="AA1900" s="65">
        <v>61</v>
      </c>
      <c r="AB1900" s="65">
        <v>72</v>
      </c>
      <c r="AC1900" s="25"/>
      <c r="AD1900" s="25"/>
      <c r="BA1900" s="226"/>
    </row>
    <row r="1901" spans="1:53" ht="15.75" customHeight="1" thickBot="1" x14ac:dyDescent="0.3">
      <c r="A1901" s="88"/>
      <c r="B1901" s="278" t="s">
        <v>260</v>
      </c>
      <c r="C1901" s="315" t="s">
        <v>261</v>
      </c>
      <c r="D1901" s="315" t="s">
        <v>262</v>
      </c>
      <c r="E1901" s="317" t="s">
        <v>263</v>
      </c>
      <c r="F1901" s="315" t="s">
        <v>264</v>
      </c>
      <c r="G1901" s="280" t="s">
        <v>265</v>
      </c>
      <c r="H1901" s="280" t="s">
        <v>266</v>
      </c>
      <c r="I1901" s="280" t="s">
        <v>267</v>
      </c>
      <c r="J1901" s="319" t="s">
        <v>268</v>
      </c>
      <c r="K1901" s="315" t="s">
        <v>269</v>
      </c>
      <c r="L1901" s="321" t="s">
        <v>270</v>
      </c>
      <c r="M1901" s="323" t="s">
        <v>271</v>
      </c>
      <c r="N1901" s="323"/>
      <c r="O1901" s="323"/>
      <c r="P1901" s="323"/>
      <c r="Q1901" s="323"/>
      <c r="R1901" s="323"/>
      <c r="S1901" s="323"/>
      <c r="T1901" s="323"/>
      <c r="U1901" s="324"/>
      <c r="V1901" s="107"/>
      <c r="W1901" s="72"/>
      <c r="X1901" s="72"/>
      <c r="Y1901" s="72"/>
      <c r="Z1901" s="45">
        <v>7</v>
      </c>
      <c r="AA1901" s="65">
        <v>73</v>
      </c>
      <c r="AB1901" s="65">
        <v>84</v>
      </c>
      <c r="AC1901" s="25"/>
      <c r="AD1901" s="25"/>
      <c r="BA1901" s="228"/>
    </row>
    <row r="1902" spans="1:53" ht="15.75" thickBot="1" x14ac:dyDescent="0.3">
      <c r="A1902" s="88"/>
      <c r="B1902" s="279"/>
      <c r="C1902" s="316"/>
      <c r="D1902" s="316"/>
      <c r="E1902" s="318"/>
      <c r="F1902" s="316"/>
      <c r="G1902" s="281"/>
      <c r="H1902" s="281"/>
      <c r="I1902" s="281"/>
      <c r="J1902" s="320"/>
      <c r="K1902" s="316"/>
      <c r="L1902" s="322"/>
      <c r="M1902" s="325"/>
      <c r="N1902" s="325"/>
      <c r="O1902" s="325"/>
      <c r="P1902" s="325"/>
      <c r="Q1902" s="325"/>
      <c r="R1902" s="325"/>
      <c r="S1902" s="325"/>
      <c r="T1902" s="325"/>
      <c r="U1902" s="326"/>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6"/>
      <c r="N1903" s="296"/>
      <c r="O1903" s="296"/>
      <c r="P1903" s="296"/>
      <c r="Q1903" s="296"/>
      <c r="R1903" s="296"/>
      <c r="S1903" s="296"/>
      <c r="T1903" s="296"/>
      <c r="U1903" s="297"/>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6"/>
      <c r="N1904" s="296"/>
      <c r="O1904" s="296"/>
      <c r="P1904" s="296"/>
      <c r="Q1904" s="296"/>
      <c r="R1904" s="296"/>
      <c r="S1904" s="296"/>
      <c r="T1904" s="296"/>
      <c r="U1904" s="297"/>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6"/>
      <c r="N1905" s="296"/>
      <c r="O1905" s="296"/>
      <c r="P1905" s="296"/>
      <c r="Q1905" s="296"/>
      <c r="R1905" s="296"/>
      <c r="S1905" s="296"/>
      <c r="T1905" s="296"/>
      <c r="U1905" s="297"/>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6"/>
      <c r="N1906" s="296"/>
      <c r="O1906" s="296"/>
      <c r="P1906" s="296"/>
      <c r="Q1906" s="296"/>
      <c r="R1906" s="296"/>
      <c r="S1906" s="296"/>
      <c r="T1906" s="296"/>
      <c r="U1906" s="297"/>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6"/>
      <c r="N1907" s="296"/>
      <c r="O1907" s="296"/>
      <c r="P1907" s="296"/>
      <c r="Q1907" s="296"/>
      <c r="R1907" s="296"/>
      <c r="S1907" s="296"/>
      <c r="T1907" s="296"/>
      <c r="U1907" s="297"/>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6"/>
      <c r="N1908" s="296"/>
      <c r="O1908" s="296"/>
      <c r="P1908" s="296"/>
      <c r="Q1908" s="296"/>
      <c r="R1908" s="296"/>
      <c r="S1908" s="296"/>
      <c r="T1908" s="296"/>
      <c r="U1908" s="297"/>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6"/>
      <c r="N1909" s="296"/>
      <c r="O1909" s="296"/>
      <c r="P1909" s="296"/>
      <c r="Q1909" s="296"/>
      <c r="R1909" s="296"/>
      <c r="S1909" s="296"/>
      <c r="T1909" s="296"/>
      <c r="U1909" s="297"/>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6"/>
      <c r="N1910" s="296"/>
      <c r="O1910" s="296"/>
      <c r="P1910" s="296"/>
      <c r="Q1910" s="296"/>
      <c r="R1910" s="296"/>
      <c r="S1910" s="296"/>
      <c r="T1910" s="296"/>
      <c r="U1910" s="297"/>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6"/>
      <c r="N1911" s="296"/>
      <c r="O1911" s="296"/>
      <c r="P1911" s="296"/>
      <c r="Q1911" s="296"/>
      <c r="R1911" s="296"/>
      <c r="S1911" s="296"/>
      <c r="T1911" s="296"/>
      <c r="U1911" s="297"/>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6"/>
      <c r="N1912" s="296"/>
      <c r="O1912" s="296"/>
      <c r="P1912" s="296"/>
      <c r="Q1912" s="296"/>
      <c r="R1912" s="296"/>
      <c r="S1912" s="296"/>
      <c r="T1912" s="296"/>
      <c r="U1912" s="297"/>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6"/>
      <c r="N1913" s="296"/>
      <c r="O1913" s="296"/>
      <c r="P1913" s="296"/>
      <c r="Q1913" s="296"/>
      <c r="R1913" s="296"/>
      <c r="S1913" s="296"/>
      <c r="T1913" s="296"/>
      <c r="U1913" s="297"/>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6"/>
      <c r="N1914" s="296"/>
      <c r="O1914" s="296"/>
      <c r="P1914" s="296"/>
      <c r="Q1914" s="296"/>
      <c r="R1914" s="296"/>
      <c r="S1914" s="296"/>
      <c r="T1914" s="296"/>
      <c r="U1914" s="297"/>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6"/>
      <c r="N1915" s="296"/>
      <c r="O1915" s="296"/>
      <c r="P1915" s="296"/>
      <c r="Q1915" s="296"/>
      <c r="R1915" s="296"/>
      <c r="S1915" s="296"/>
      <c r="T1915" s="296"/>
      <c r="U1915" s="297"/>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6"/>
      <c r="N1916" s="296"/>
      <c r="O1916" s="296"/>
      <c r="P1916" s="296"/>
      <c r="Q1916" s="296"/>
      <c r="R1916" s="296"/>
      <c r="S1916" s="296"/>
      <c r="T1916" s="296"/>
      <c r="U1916" s="297"/>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6"/>
      <c r="N1917" s="296"/>
      <c r="O1917" s="296"/>
      <c r="P1917" s="296"/>
      <c r="Q1917" s="296"/>
      <c r="R1917" s="296"/>
      <c r="S1917" s="296"/>
      <c r="T1917" s="296"/>
      <c r="U1917" s="297"/>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6"/>
      <c r="N1918" s="296"/>
      <c r="O1918" s="296"/>
      <c r="P1918" s="296"/>
      <c r="Q1918" s="296"/>
      <c r="R1918" s="296"/>
      <c r="S1918" s="296"/>
      <c r="T1918" s="296"/>
      <c r="U1918" s="297"/>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6"/>
      <c r="N1919" s="296"/>
      <c r="O1919" s="296"/>
      <c r="P1919" s="296"/>
      <c r="Q1919" s="296"/>
      <c r="R1919" s="296"/>
      <c r="S1919" s="296"/>
      <c r="T1919" s="296"/>
      <c r="U1919" s="297"/>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6"/>
      <c r="N1920" s="296"/>
      <c r="O1920" s="296"/>
      <c r="P1920" s="296"/>
      <c r="Q1920" s="296"/>
      <c r="R1920" s="296"/>
      <c r="S1920" s="296"/>
      <c r="T1920" s="296"/>
      <c r="U1920" s="297"/>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6"/>
      <c r="N1921" s="296"/>
      <c r="O1921" s="296"/>
      <c r="P1921" s="296"/>
      <c r="Q1921" s="296"/>
      <c r="R1921" s="296"/>
      <c r="S1921" s="296"/>
      <c r="T1921" s="296"/>
      <c r="U1921" s="297"/>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6"/>
      <c r="N1922" s="296"/>
      <c r="O1922" s="296"/>
      <c r="P1922" s="296"/>
      <c r="Q1922" s="296"/>
      <c r="R1922" s="296"/>
      <c r="S1922" s="296"/>
      <c r="T1922" s="296"/>
      <c r="U1922" s="297"/>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6"/>
      <c r="N1923" s="296"/>
      <c r="O1923" s="296"/>
      <c r="P1923" s="296"/>
      <c r="Q1923" s="296"/>
      <c r="R1923" s="296"/>
      <c r="S1923" s="296"/>
      <c r="T1923" s="296"/>
      <c r="U1923" s="297"/>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6"/>
      <c r="N1924" s="296"/>
      <c r="O1924" s="296"/>
      <c r="P1924" s="296"/>
      <c r="Q1924" s="296"/>
      <c r="R1924" s="296"/>
      <c r="S1924" s="296"/>
      <c r="T1924" s="296"/>
      <c r="U1924" s="297"/>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6"/>
      <c r="N1925" s="296"/>
      <c r="O1925" s="296"/>
      <c r="P1925" s="296"/>
      <c r="Q1925" s="296"/>
      <c r="R1925" s="296"/>
      <c r="S1925" s="296"/>
      <c r="T1925" s="296"/>
      <c r="U1925" s="297"/>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6"/>
      <c r="N1926" s="296"/>
      <c r="O1926" s="296"/>
      <c r="P1926" s="296"/>
      <c r="Q1926" s="296"/>
      <c r="R1926" s="296"/>
      <c r="S1926" s="296"/>
      <c r="T1926" s="296"/>
      <c r="U1926" s="297"/>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6"/>
      <c r="N1927" s="296"/>
      <c r="O1927" s="296"/>
      <c r="P1927" s="296"/>
      <c r="Q1927" s="296"/>
      <c r="R1927" s="296"/>
      <c r="S1927" s="296"/>
      <c r="T1927" s="296"/>
      <c r="U1927" s="297"/>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2" t="s">
        <v>397</v>
      </c>
      <c r="C1928" s="284"/>
      <c r="D1928" s="79"/>
      <c r="E1928" s="80"/>
      <c r="F1928" s="80"/>
      <c r="G1928" s="81"/>
      <c r="H1928" s="192"/>
      <c r="I1928" s="192"/>
      <c r="J1928" s="192"/>
      <c r="K1928" s="82"/>
      <c r="L1928" s="282" t="s">
        <v>306</v>
      </c>
      <c r="M1928" s="283"/>
      <c r="N1928" s="283"/>
      <c r="O1928" s="283"/>
      <c r="P1928" s="283"/>
      <c r="Q1928" s="283"/>
      <c r="R1928" s="283"/>
      <c r="S1928" s="283"/>
      <c r="T1928" s="283"/>
      <c r="U1928" s="284"/>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2" t="s">
        <v>307</v>
      </c>
      <c r="C1929" s="284"/>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5" t="s">
        <v>222</v>
      </c>
      <c r="C1933" s="286"/>
      <c r="D1933" s="287" t="s">
        <v>223</v>
      </c>
      <c r="E1933" s="288"/>
      <c r="F1933" s="88"/>
      <c r="G1933" s="289" t="s">
        <v>224</v>
      </c>
      <c r="H1933" s="290"/>
      <c r="I1933" s="28">
        <f>SUM(E1944:E1968)</f>
        <v>0</v>
      </c>
      <c r="J1933" s="291" t="s">
        <v>225</v>
      </c>
      <c r="K1933" s="292"/>
      <c r="L1933" s="288"/>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8" t="s">
        <v>226</v>
      </c>
      <c r="AA1933" s="299"/>
      <c r="AB1933" s="300"/>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1" t="s">
        <v>230</v>
      </c>
      <c r="H1934" s="288"/>
      <c r="I1934" s="33">
        <f>E1935-I1933</f>
        <v>0</v>
      </c>
      <c r="J1934" s="302" t="s">
        <v>231</v>
      </c>
      <c r="K1934" s="303"/>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4" t="s">
        <v>232</v>
      </c>
      <c r="AA1934" s="306" t="s">
        <v>233</v>
      </c>
      <c r="AB1934" s="307"/>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0" t="s">
        <v>237</v>
      </c>
      <c r="H1935" s="311"/>
      <c r="I1935" s="35">
        <f>IF(E1935=0,0,12-(MOD(I1933,12)))</f>
        <v>0</v>
      </c>
      <c r="J1935" s="302" t="s">
        <v>238</v>
      </c>
      <c r="K1935" s="303"/>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5"/>
      <c r="AA1935" s="308"/>
      <c r="AB1935" s="309"/>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8" t="s">
        <v>242</v>
      </c>
      <c r="H1936" s="43" t="s">
        <v>243</v>
      </c>
      <c r="I1936" s="35">
        <f>IF(E1936&lt;&gt;0,1,0)</f>
        <v>0</v>
      </c>
      <c r="J1936" s="310" t="s">
        <v>244</v>
      </c>
      <c r="K1936" s="31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9"/>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8" t="s">
        <v>251</v>
      </c>
      <c r="H1938" s="51" t="s">
        <v>252</v>
      </c>
      <c r="I1938" s="112">
        <f>E1937</f>
        <v>0</v>
      </c>
      <c r="J1938" s="312" t="s">
        <v>253</v>
      </c>
      <c r="K1938" s="313"/>
      <c r="L1938" s="31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9"/>
      <c r="H1939" s="47" t="s">
        <v>257</v>
      </c>
      <c r="I1939" s="35" t="str">
        <f>IF(E1937="","0",IF(AND(E1934="EUC",E1935=432), I1938+(203-E1936),IF(E1937=0,0,(E1937+(E1935-E1936)-1))))</f>
        <v>0</v>
      </c>
      <c r="J1939" s="293" t="str">
        <f>IFERROR(IF(OR(E1934="EUC",E1934="SS"),"---",IF(OR(P1933,S1933),"NO 2F Tethers for RPX!",IF(OR(P1935,S1935),"NO 6F Tethers for RPX!","---"))),"---")</f>
        <v>---</v>
      </c>
      <c r="K1939" s="294"/>
      <c r="L1939" s="295"/>
      <c r="M1939" s="293" t="str">
        <f>IF(E1936&gt;60,"Dead Count &gt;60: Consider Downsize","---")</f>
        <v>---</v>
      </c>
      <c r="N1939" s="294"/>
      <c r="O1939" s="294"/>
      <c r="P1939" s="294"/>
      <c r="Q1939" s="294"/>
      <c r="R1939" s="294"/>
      <c r="S1939" s="294"/>
      <c r="T1939" s="294"/>
      <c r="U1939" s="295"/>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3"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4"/>
      <c r="L1940" s="295"/>
      <c r="M1940" s="293" t="str">
        <f>IF(AND(OR(E1934="SS",E1934="RPX",E1934="EUC",E1934="RPX-T"),(OR(C1944="",C1944="Field SPL"))),"Cannot have FlexNap cables without tethers","---")</f>
        <v>---</v>
      </c>
      <c r="N1940" s="294"/>
      <c r="O1940" s="294"/>
      <c r="P1940" s="294"/>
      <c r="Q1940" s="294"/>
      <c r="R1940" s="294"/>
      <c r="S1940" s="294"/>
      <c r="T1940" s="294"/>
      <c r="U1940" s="295"/>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3" t="str">
        <f>IF(AND(OR(E1934="RPX", E1934="RPX-T", E1934="SS"),E1935=216),"NO 216 For RPX, RPX-T, OR SS CABLE","---")</f>
        <v>---</v>
      </c>
      <c r="K1941" s="294"/>
      <c r="L1941" s="295"/>
      <c r="M1941" s="293" t="str" cm="1">
        <f t="array" ref="M1941">IF(AND(E1934="",OR(C1944:C1968="FST",C1944:C1968="REV T",C1944:C1968="DBL REV",C1944:C1968="TPL REV", C1944:C1968="QD REV")),"Non-FlexNap cables cannot have tethers","---")</f>
        <v>---</v>
      </c>
      <c r="N1941" s="294"/>
      <c r="O1941" s="294"/>
      <c r="P1941" s="294"/>
      <c r="Q1941" s="294"/>
      <c r="R1941" s="294"/>
      <c r="S1941" s="294"/>
      <c r="T1941" s="294"/>
      <c r="U1941" s="295"/>
      <c r="V1941" s="25"/>
      <c r="W1941" s="58"/>
      <c r="X1941" s="58"/>
      <c r="Y1941" s="25"/>
      <c r="Z1941" s="45">
        <v>6</v>
      </c>
      <c r="AA1941" s="65">
        <v>61</v>
      </c>
      <c r="AB1941" s="65">
        <v>72</v>
      </c>
      <c r="AC1941" s="25"/>
      <c r="AD1941" s="25"/>
      <c r="BA1941" s="226"/>
    </row>
    <row r="1942" spans="1:53" ht="15.75" customHeight="1" thickBot="1" x14ac:dyDescent="0.3">
      <c r="A1942" s="88"/>
      <c r="B1942" s="278" t="s">
        <v>260</v>
      </c>
      <c r="C1942" s="315" t="s">
        <v>261</v>
      </c>
      <c r="D1942" s="315" t="s">
        <v>262</v>
      </c>
      <c r="E1942" s="317" t="s">
        <v>263</v>
      </c>
      <c r="F1942" s="315" t="s">
        <v>264</v>
      </c>
      <c r="G1942" s="280" t="s">
        <v>265</v>
      </c>
      <c r="H1942" s="280" t="s">
        <v>266</v>
      </c>
      <c r="I1942" s="280" t="s">
        <v>267</v>
      </c>
      <c r="J1942" s="319" t="s">
        <v>268</v>
      </c>
      <c r="K1942" s="315" t="s">
        <v>269</v>
      </c>
      <c r="L1942" s="321" t="s">
        <v>270</v>
      </c>
      <c r="M1942" s="323" t="s">
        <v>271</v>
      </c>
      <c r="N1942" s="323"/>
      <c r="O1942" s="323"/>
      <c r="P1942" s="323"/>
      <c r="Q1942" s="323"/>
      <c r="R1942" s="323"/>
      <c r="S1942" s="323"/>
      <c r="T1942" s="323"/>
      <c r="U1942" s="324"/>
      <c r="V1942" s="107"/>
      <c r="W1942" s="72"/>
      <c r="X1942" s="72"/>
      <c r="Y1942" s="72"/>
      <c r="Z1942" s="45">
        <v>7</v>
      </c>
      <c r="AA1942" s="65">
        <v>73</v>
      </c>
      <c r="AB1942" s="65">
        <v>84</v>
      </c>
      <c r="AC1942" s="25"/>
      <c r="AD1942" s="25"/>
      <c r="BA1942" s="228"/>
    </row>
    <row r="1943" spans="1:53" ht="15.75" thickBot="1" x14ac:dyDescent="0.3">
      <c r="A1943" s="88"/>
      <c r="B1943" s="279"/>
      <c r="C1943" s="316"/>
      <c r="D1943" s="316"/>
      <c r="E1943" s="318"/>
      <c r="F1943" s="316"/>
      <c r="G1943" s="281"/>
      <c r="H1943" s="281"/>
      <c r="I1943" s="281"/>
      <c r="J1943" s="320"/>
      <c r="K1943" s="316"/>
      <c r="L1943" s="322"/>
      <c r="M1943" s="325"/>
      <c r="N1943" s="325"/>
      <c r="O1943" s="325"/>
      <c r="P1943" s="325"/>
      <c r="Q1943" s="325"/>
      <c r="R1943" s="325"/>
      <c r="S1943" s="325"/>
      <c r="T1943" s="325"/>
      <c r="U1943" s="326"/>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6"/>
      <c r="N1944" s="296"/>
      <c r="O1944" s="296"/>
      <c r="P1944" s="296"/>
      <c r="Q1944" s="296"/>
      <c r="R1944" s="296"/>
      <c r="S1944" s="296"/>
      <c r="T1944" s="296"/>
      <c r="U1944" s="297"/>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6"/>
      <c r="N1945" s="296"/>
      <c r="O1945" s="296"/>
      <c r="P1945" s="296"/>
      <c r="Q1945" s="296"/>
      <c r="R1945" s="296"/>
      <c r="S1945" s="296"/>
      <c r="T1945" s="296"/>
      <c r="U1945" s="297"/>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6"/>
      <c r="N1946" s="296"/>
      <c r="O1946" s="296"/>
      <c r="P1946" s="296"/>
      <c r="Q1946" s="296"/>
      <c r="R1946" s="296"/>
      <c r="S1946" s="296"/>
      <c r="T1946" s="296"/>
      <c r="U1946" s="297"/>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6"/>
      <c r="N1947" s="296"/>
      <c r="O1947" s="296"/>
      <c r="P1947" s="296"/>
      <c r="Q1947" s="296"/>
      <c r="R1947" s="296"/>
      <c r="S1947" s="296"/>
      <c r="T1947" s="296"/>
      <c r="U1947" s="297"/>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6"/>
      <c r="N1948" s="296"/>
      <c r="O1948" s="296"/>
      <c r="P1948" s="296"/>
      <c r="Q1948" s="296"/>
      <c r="R1948" s="296"/>
      <c r="S1948" s="296"/>
      <c r="T1948" s="296"/>
      <c r="U1948" s="297"/>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6"/>
      <c r="N1949" s="296"/>
      <c r="O1949" s="296"/>
      <c r="P1949" s="296"/>
      <c r="Q1949" s="296"/>
      <c r="R1949" s="296"/>
      <c r="S1949" s="296"/>
      <c r="T1949" s="296"/>
      <c r="U1949" s="297"/>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6"/>
      <c r="N1950" s="296"/>
      <c r="O1950" s="296"/>
      <c r="P1950" s="296"/>
      <c r="Q1950" s="296"/>
      <c r="R1950" s="296"/>
      <c r="S1950" s="296"/>
      <c r="T1950" s="296"/>
      <c r="U1950" s="297"/>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6"/>
      <c r="N1951" s="296"/>
      <c r="O1951" s="296"/>
      <c r="P1951" s="296"/>
      <c r="Q1951" s="296"/>
      <c r="R1951" s="296"/>
      <c r="S1951" s="296"/>
      <c r="T1951" s="296"/>
      <c r="U1951" s="297"/>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6"/>
      <c r="N1952" s="296"/>
      <c r="O1952" s="296"/>
      <c r="P1952" s="296"/>
      <c r="Q1952" s="296"/>
      <c r="R1952" s="296"/>
      <c r="S1952" s="296"/>
      <c r="T1952" s="296"/>
      <c r="U1952" s="297"/>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6"/>
      <c r="N1953" s="296"/>
      <c r="O1953" s="296"/>
      <c r="P1953" s="296"/>
      <c r="Q1953" s="296"/>
      <c r="R1953" s="296"/>
      <c r="S1953" s="296"/>
      <c r="T1953" s="296"/>
      <c r="U1953" s="297"/>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6"/>
      <c r="N1954" s="296"/>
      <c r="O1954" s="296"/>
      <c r="P1954" s="296"/>
      <c r="Q1954" s="296"/>
      <c r="R1954" s="296"/>
      <c r="S1954" s="296"/>
      <c r="T1954" s="296"/>
      <c r="U1954" s="297"/>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6"/>
      <c r="N1955" s="296"/>
      <c r="O1955" s="296"/>
      <c r="P1955" s="296"/>
      <c r="Q1955" s="296"/>
      <c r="R1955" s="296"/>
      <c r="S1955" s="296"/>
      <c r="T1955" s="296"/>
      <c r="U1955" s="297"/>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6"/>
      <c r="N1956" s="296"/>
      <c r="O1956" s="296"/>
      <c r="P1956" s="296"/>
      <c r="Q1956" s="296"/>
      <c r="R1956" s="296"/>
      <c r="S1956" s="296"/>
      <c r="T1956" s="296"/>
      <c r="U1956" s="297"/>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6"/>
      <c r="N1957" s="296"/>
      <c r="O1957" s="296"/>
      <c r="P1957" s="296"/>
      <c r="Q1957" s="296"/>
      <c r="R1957" s="296"/>
      <c r="S1957" s="296"/>
      <c r="T1957" s="296"/>
      <c r="U1957" s="297"/>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6"/>
      <c r="N1958" s="296"/>
      <c r="O1958" s="296"/>
      <c r="P1958" s="296"/>
      <c r="Q1958" s="296"/>
      <c r="R1958" s="296"/>
      <c r="S1958" s="296"/>
      <c r="T1958" s="296"/>
      <c r="U1958" s="297"/>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6"/>
      <c r="N1959" s="296"/>
      <c r="O1959" s="296"/>
      <c r="P1959" s="296"/>
      <c r="Q1959" s="296"/>
      <c r="R1959" s="296"/>
      <c r="S1959" s="296"/>
      <c r="T1959" s="296"/>
      <c r="U1959" s="297"/>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6"/>
      <c r="N1960" s="296"/>
      <c r="O1960" s="296"/>
      <c r="P1960" s="296"/>
      <c r="Q1960" s="296"/>
      <c r="R1960" s="296"/>
      <c r="S1960" s="296"/>
      <c r="T1960" s="296"/>
      <c r="U1960" s="297"/>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6"/>
      <c r="N1961" s="296"/>
      <c r="O1961" s="296"/>
      <c r="P1961" s="296"/>
      <c r="Q1961" s="296"/>
      <c r="R1961" s="296"/>
      <c r="S1961" s="296"/>
      <c r="T1961" s="296"/>
      <c r="U1961" s="297"/>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6"/>
      <c r="N1962" s="296"/>
      <c r="O1962" s="296"/>
      <c r="P1962" s="296"/>
      <c r="Q1962" s="296"/>
      <c r="R1962" s="296"/>
      <c r="S1962" s="296"/>
      <c r="T1962" s="296"/>
      <c r="U1962" s="297"/>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6"/>
      <c r="N1963" s="296"/>
      <c r="O1963" s="296"/>
      <c r="P1963" s="296"/>
      <c r="Q1963" s="296"/>
      <c r="R1963" s="296"/>
      <c r="S1963" s="296"/>
      <c r="T1963" s="296"/>
      <c r="U1963" s="297"/>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6"/>
      <c r="N1964" s="296"/>
      <c r="O1964" s="296"/>
      <c r="P1964" s="296"/>
      <c r="Q1964" s="296"/>
      <c r="R1964" s="296"/>
      <c r="S1964" s="296"/>
      <c r="T1964" s="296"/>
      <c r="U1964" s="297"/>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6"/>
      <c r="N1965" s="296"/>
      <c r="O1965" s="296"/>
      <c r="P1965" s="296"/>
      <c r="Q1965" s="296"/>
      <c r="R1965" s="296"/>
      <c r="S1965" s="296"/>
      <c r="T1965" s="296"/>
      <c r="U1965" s="297"/>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6"/>
      <c r="N1966" s="296"/>
      <c r="O1966" s="296"/>
      <c r="P1966" s="296"/>
      <c r="Q1966" s="296"/>
      <c r="R1966" s="296"/>
      <c r="S1966" s="296"/>
      <c r="T1966" s="296"/>
      <c r="U1966" s="297"/>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6"/>
      <c r="N1967" s="296"/>
      <c r="O1967" s="296"/>
      <c r="P1967" s="296"/>
      <c r="Q1967" s="296"/>
      <c r="R1967" s="296"/>
      <c r="S1967" s="296"/>
      <c r="T1967" s="296"/>
      <c r="U1967" s="297"/>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6"/>
      <c r="N1968" s="296"/>
      <c r="O1968" s="296"/>
      <c r="P1968" s="296"/>
      <c r="Q1968" s="296"/>
      <c r="R1968" s="296"/>
      <c r="S1968" s="296"/>
      <c r="T1968" s="296"/>
      <c r="U1968" s="297"/>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2" t="s">
        <v>399</v>
      </c>
      <c r="C1969" s="284"/>
      <c r="D1969" s="79"/>
      <c r="E1969" s="80"/>
      <c r="F1969" s="80"/>
      <c r="G1969" s="81"/>
      <c r="H1969" s="192"/>
      <c r="I1969" s="192"/>
      <c r="J1969" s="192"/>
      <c r="K1969" s="82"/>
      <c r="L1969" s="282" t="s">
        <v>306</v>
      </c>
      <c r="M1969" s="283"/>
      <c r="N1969" s="283"/>
      <c r="O1969" s="283"/>
      <c r="P1969" s="283"/>
      <c r="Q1969" s="283"/>
      <c r="R1969" s="283"/>
      <c r="S1969" s="283"/>
      <c r="T1969" s="283"/>
      <c r="U1969" s="284"/>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2" t="s">
        <v>307</v>
      </c>
      <c r="C1970" s="284"/>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5" t="s">
        <v>222</v>
      </c>
      <c r="C1974" s="286"/>
      <c r="D1974" s="287" t="s">
        <v>223</v>
      </c>
      <c r="E1974" s="288"/>
      <c r="F1974" s="88"/>
      <c r="G1974" s="289" t="s">
        <v>224</v>
      </c>
      <c r="H1974" s="290"/>
      <c r="I1974" s="28">
        <f>SUM(E1985:E2009)</f>
        <v>0</v>
      </c>
      <c r="J1974" s="291" t="s">
        <v>225</v>
      </c>
      <c r="K1974" s="292"/>
      <c r="L1974" s="288"/>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8" t="s">
        <v>226</v>
      </c>
      <c r="AA1974" s="299"/>
      <c r="AB1974" s="300"/>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1" t="s">
        <v>230</v>
      </c>
      <c r="H1975" s="288"/>
      <c r="I1975" s="33">
        <f>E1976-I1974</f>
        <v>0</v>
      </c>
      <c r="J1975" s="302" t="s">
        <v>231</v>
      </c>
      <c r="K1975" s="303"/>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4" t="s">
        <v>232</v>
      </c>
      <c r="AA1975" s="306" t="s">
        <v>233</v>
      </c>
      <c r="AB1975" s="307"/>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0" t="s">
        <v>237</v>
      </c>
      <c r="H1976" s="311"/>
      <c r="I1976" s="35">
        <f>IF(E1976=0,0,12-(MOD(I1974,12)))</f>
        <v>0</v>
      </c>
      <c r="J1976" s="302" t="s">
        <v>238</v>
      </c>
      <c r="K1976" s="303"/>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5"/>
      <c r="AA1976" s="308"/>
      <c r="AB1976" s="309"/>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8" t="s">
        <v>242</v>
      </c>
      <c r="H1977" s="43" t="s">
        <v>243</v>
      </c>
      <c r="I1977" s="35">
        <f>IF(E1977&lt;&gt;0,1,0)</f>
        <v>0</v>
      </c>
      <c r="J1977" s="310" t="s">
        <v>244</v>
      </c>
      <c r="K1977" s="31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9"/>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8" t="s">
        <v>251</v>
      </c>
      <c r="H1979" s="51" t="s">
        <v>252</v>
      </c>
      <c r="I1979" s="112">
        <f>E1978</f>
        <v>0</v>
      </c>
      <c r="J1979" s="312" t="s">
        <v>253</v>
      </c>
      <c r="K1979" s="313"/>
      <c r="L1979" s="31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9"/>
      <c r="H1980" s="47" t="s">
        <v>257</v>
      </c>
      <c r="I1980" s="35" t="str">
        <f>IF(E1978="","0",IF(AND(E1975="EUC",E1976=432), I1979+(203-E1977),IF(E1978=0,0,(E1978+(E1976-E1977)-1))))</f>
        <v>0</v>
      </c>
      <c r="J1980" s="293" t="str">
        <f>IFERROR(IF(OR(E1975="EUC",E1975="SS"),"---",IF(OR(P1974,S1974),"NO 2F Tethers for RPX!",IF(OR(P1976,S1976),"NO 6F Tethers for RPX!","---"))),"---")</f>
        <v>---</v>
      </c>
      <c r="K1980" s="294"/>
      <c r="L1980" s="295"/>
      <c r="M1980" s="293" t="str">
        <f>IF(E1977&gt;60,"Dead Count &gt;60: Consider Downsize","---")</f>
        <v>---</v>
      </c>
      <c r="N1980" s="294"/>
      <c r="O1980" s="294"/>
      <c r="P1980" s="294"/>
      <c r="Q1980" s="294"/>
      <c r="R1980" s="294"/>
      <c r="S1980" s="294"/>
      <c r="T1980" s="294"/>
      <c r="U1980" s="295"/>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3"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4"/>
      <c r="L1981" s="295"/>
      <c r="M1981" s="293" t="str">
        <f>IF(AND(OR(E1975="SS",E1975="RPX",E1975="EUC",E1975="RPX-T"),(OR(C1985="",C1985="Field SPL"))),"Cannot have FlexNap cables without tethers","---")</f>
        <v>---</v>
      </c>
      <c r="N1981" s="294"/>
      <c r="O1981" s="294"/>
      <c r="P1981" s="294"/>
      <c r="Q1981" s="294"/>
      <c r="R1981" s="294"/>
      <c r="S1981" s="294"/>
      <c r="T1981" s="294"/>
      <c r="U1981" s="295"/>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3" t="str">
        <f>IF(AND(OR(E1975="RPX", E1975="RPX-T", E1975="SS"),E1976=216),"NO 216 For RPX, RPX-T, OR SS CABLE","---")</f>
        <v>---</v>
      </c>
      <c r="K1982" s="294"/>
      <c r="L1982" s="295"/>
      <c r="M1982" s="293" t="str" cm="1">
        <f t="array" ref="M1982">IF(AND(E1975="",OR(C1985:C2009="FST",C1985:C2009="REV T",C1985:C2009="DBL REV",C1985:C2009="TPL REV", C1985:C2009="QD REV")),"Non-FlexNap cables cannot have tethers","---")</f>
        <v>---</v>
      </c>
      <c r="N1982" s="294"/>
      <c r="O1982" s="294"/>
      <c r="P1982" s="294"/>
      <c r="Q1982" s="294"/>
      <c r="R1982" s="294"/>
      <c r="S1982" s="294"/>
      <c r="T1982" s="294"/>
      <c r="U1982" s="295"/>
      <c r="V1982" s="25"/>
      <c r="W1982" s="58"/>
      <c r="X1982" s="58"/>
      <c r="Y1982" s="25"/>
      <c r="Z1982" s="45">
        <v>6</v>
      </c>
      <c r="AA1982" s="65">
        <v>61</v>
      </c>
      <c r="AB1982" s="65">
        <v>72</v>
      </c>
      <c r="AC1982" s="25"/>
      <c r="AD1982" s="25"/>
      <c r="BA1982" s="226"/>
    </row>
    <row r="1983" spans="1:53" ht="15.75" customHeight="1" thickBot="1" x14ac:dyDescent="0.3">
      <c r="A1983" s="88"/>
      <c r="B1983" s="278" t="s">
        <v>260</v>
      </c>
      <c r="C1983" s="315" t="s">
        <v>261</v>
      </c>
      <c r="D1983" s="315" t="s">
        <v>262</v>
      </c>
      <c r="E1983" s="317" t="s">
        <v>263</v>
      </c>
      <c r="F1983" s="315" t="s">
        <v>264</v>
      </c>
      <c r="G1983" s="280" t="s">
        <v>265</v>
      </c>
      <c r="H1983" s="280" t="s">
        <v>266</v>
      </c>
      <c r="I1983" s="280" t="s">
        <v>267</v>
      </c>
      <c r="J1983" s="319" t="s">
        <v>268</v>
      </c>
      <c r="K1983" s="315" t="s">
        <v>269</v>
      </c>
      <c r="L1983" s="321" t="s">
        <v>270</v>
      </c>
      <c r="M1983" s="323" t="s">
        <v>271</v>
      </c>
      <c r="N1983" s="323"/>
      <c r="O1983" s="323"/>
      <c r="P1983" s="323"/>
      <c r="Q1983" s="323"/>
      <c r="R1983" s="323"/>
      <c r="S1983" s="323"/>
      <c r="T1983" s="323"/>
      <c r="U1983" s="324"/>
      <c r="V1983" s="107"/>
      <c r="W1983" s="72"/>
      <c r="X1983" s="72"/>
      <c r="Y1983" s="72"/>
      <c r="Z1983" s="45">
        <v>7</v>
      </c>
      <c r="AA1983" s="65">
        <v>73</v>
      </c>
      <c r="AB1983" s="65">
        <v>84</v>
      </c>
      <c r="AC1983" s="25"/>
      <c r="AD1983" s="25"/>
      <c r="BA1983" s="228"/>
    </row>
    <row r="1984" spans="1:53" ht="15.75" thickBot="1" x14ac:dyDescent="0.3">
      <c r="A1984" s="88"/>
      <c r="B1984" s="279"/>
      <c r="C1984" s="316"/>
      <c r="D1984" s="316"/>
      <c r="E1984" s="318"/>
      <c r="F1984" s="316"/>
      <c r="G1984" s="281"/>
      <c r="H1984" s="281"/>
      <c r="I1984" s="281"/>
      <c r="J1984" s="320"/>
      <c r="K1984" s="316"/>
      <c r="L1984" s="322"/>
      <c r="M1984" s="325"/>
      <c r="N1984" s="325"/>
      <c r="O1984" s="325"/>
      <c r="P1984" s="325"/>
      <c r="Q1984" s="325"/>
      <c r="R1984" s="325"/>
      <c r="S1984" s="325"/>
      <c r="T1984" s="325"/>
      <c r="U1984" s="326"/>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6"/>
      <c r="N1985" s="296"/>
      <c r="O1985" s="296"/>
      <c r="P1985" s="296"/>
      <c r="Q1985" s="296"/>
      <c r="R1985" s="296"/>
      <c r="S1985" s="296"/>
      <c r="T1985" s="296"/>
      <c r="U1985" s="297"/>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6"/>
      <c r="N1986" s="296"/>
      <c r="O1986" s="296"/>
      <c r="P1986" s="296"/>
      <c r="Q1986" s="296"/>
      <c r="R1986" s="296"/>
      <c r="S1986" s="296"/>
      <c r="T1986" s="296"/>
      <c r="U1986" s="297"/>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6"/>
      <c r="N1987" s="296"/>
      <c r="O1987" s="296"/>
      <c r="P1987" s="296"/>
      <c r="Q1987" s="296"/>
      <c r="R1987" s="296"/>
      <c r="S1987" s="296"/>
      <c r="T1987" s="296"/>
      <c r="U1987" s="297"/>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6"/>
      <c r="N1988" s="296"/>
      <c r="O1988" s="296"/>
      <c r="P1988" s="296"/>
      <c r="Q1988" s="296"/>
      <c r="R1988" s="296"/>
      <c r="S1988" s="296"/>
      <c r="T1988" s="296"/>
      <c r="U1988" s="297"/>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6"/>
      <c r="N1989" s="296"/>
      <c r="O1989" s="296"/>
      <c r="P1989" s="296"/>
      <c r="Q1989" s="296"/>
      <c r="R1989" s="296"/>
      <c r="S1989" s="296"/>
      <c r="T1989" s="296"/>
      <c r="U1989" s="297"/>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6"/>
      <c r="N1990" s="296"/>
      <c r="O1990" s="296"/>
      <c r="P1990" s="296"/>
      <c r="Q1990" s="296"/>
      <c r="R1990" s="296"/>
      <c r="S1990" s="296"/>
      <c r="T1990" s="296"/>
      <c r="U1990" s="297"/>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6"/>
      <c r="N1991" s="296"/>
      <c r="O1991" s="296"/>
      <c r="P1991" s="296"/>
      <c r="Q1991" s="296"/>
      <c r="R1991" s="296"/>
      <c r="S1991" s="296"/>
      <c r="T1991" s="296"/>
      <c r="U1991" s="297"/>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6"/>
      <c r="N1992" s="296"/>
      <c r="O1992" s="296"/>
      <c r="P1992" s="296"/>
      <c r="Q1992" s="296"/>
      <c r="R1992" s="296"/>
      <c r="S1992" s="296"/>
      <c r="T1992" s="296"/>
      <c r="U1992" s="297"/>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6"/>
      <c r="N1993" s="296"/>
      <c r="O1993" s="296"/>
      <c r="P1993" s="296"/>
      <c r="Q1993" s="296"/>
      <c r="R1993" s="296"/>
      <c r="S1993" s="296"/>
      <c r="T1993" s="296"/>
      <c r="U1993" s="297"/>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6"/>
      <c r="N1994" s="296"/>
      <c r="O1994" s="296"/>
      <c r="P1994" s="296"/>
      <c r="Q1994" s="296"/>
      <c r="R1994" s="296"/>
      <c r="S1994" s="296"/>
      <c r="T1994" s="296"/>
      <c r="U1994" s="297"/>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6"/>
      <c r="N1995" s="296"/>
      <c r="O1995" s="296"/>
      <c r="P1995" s="296"/>
      <c r="Q1995" s="296"/>
      <c r="R1995" s="296"/>
      <c r="S1995" s="296"/>
      <c r="T1995" s="296"/>
      <c r="U1995" s="297"/>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6"/>
      <c r="N1996" s="296"/>
      <c r="O1996" s="296"/>
      <c r="P1996" s="296"/>
      <c r="Q1996" s="296"/>
      <c r="R1996" s="296"/>
      <c r="S1996" s="296"/>
      <c r="T1996" s="296"/>
      <c r="U1996" s="297"/>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6"/>
      <c r="N1997" s="296"/>
      <c r="O1997" s="296"/>
      <c r="P1997" s="296"/>
      <c r="Q1997" s="296"/>
      <c r="R1997" s="296"/>
      <c r="S1997" s="296"/>
      <c r="T1997" s="296"/>
      <c r="U1997" s="297"/>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6"/>
      <c r="N1998" s="296"/>
      <c r="O1998" s="296"/>
      <c r="P1998" s="296"/>
      <c r="Q1998" s="296"/>
      <c r="R1998" s="296"/>
      <c r="S1998" s="296"/>
      <c r="T1998" s="296"/>
      <c r="U1998" s="297"/>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6"/>
      <c r="N1999" s="296"/>
      <c r="O1999" s="296"/>
      <c r="P1999" s="296"/>
      <c r="Q1999" s="296"/>
      <c r="R1999" s="296"/>
      <c r="S1999" s="296"/>
      <c r="T1999" s="296"/>
      <c r="U1999" s="297"/>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6"/>
      <c r="N2000" s="296"/>
      <c r="O2000" s="296"/>
      <c r="P2000" s="296"/>
      <c r="Q2000" s="296"/>
      <c r="R2000" s="296"/>
      <c r="S2000" s="296"/>
      <c r="T2000" s="296"/>
      <c r="U2000" s="297"/>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6"/>
      <c r="N2001" s="296"/>
      <c r="O2001" s="296"/>
      <c r="P2001" s="296"/>
      <c r="Q2001" s="296"/>
      <c r="R2001" s="296"/>
      <c r="S2001" s="296"/>
      <c r="T2001" s="296"/>
      <c r="U2001" s="297"/>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6"/>
      <c r="N2002" s="296"/>
      <c r="O2002" s="296"/>
      <c r="P2002" s="296"/>
      <c r="Q2002" s="296"/>
      <c r="R2002" s="296"/>
      <c r="S2002" s="296"/>
      <c r="T2002" s="296"/>
      <c r="U2002" s="297"/>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6"/>
      <c r="N2003" s="296"/>
      <c r="O2003" s="296"/>
      <c r="P2003" s="296"/>
      <c r="Q2003" s="296"/>
      <c r="R2003" s="296"/>
      <c r="S2003" s="296"/>
      <c r="T2003" s="296"/>
      <c r="U2003" s="297"/>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6"/>
      <c r="N2004" s="296"/>
      <c r="O2004" s="296"/>
      <c r="P2004" s="296"/>
      <c r="Q2004" s="296"/>
      <c r="R2004" s="296"/>
      <c r="S2004" s="296"/>
      <c r="T2004" s="296"/>
      <c r="U2004" s="297"/>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6"/>
      <c r="N2005" s="296"/>
      <c r="O2005" s="296"/>
      <c r="P2005" s="296"/>
      <c r="Q2005" s="296"/>
      <c r="R2005" s="296"/>
      <c r="S2005" s="296"/>
      <c r="T2005" s="296"/>
      <c r="U2005" s="297"/>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6"/>
      <c r="N2006" s="296"/>
      <c r="O2006" s="296"/>
      <c r="P2006" s="296"/>
      <c r="Q2006" s="296"/>
      <c r="R2006" s="296"/>
      <c r="S2006" s="296"/>
      <c r="T2006" s="296"/>
      <c r="U2006" s="297"/>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6"/>
      <c r="N2007" s="296"/>
      <c r="O2007" s="296"/>
      <c r="P2007" s="296"/>
      <c r="Q2007" s="296"/>
      <c r="R2007" s="296"/>
      <c r="S2007" s="296"/>
      <c r="T2007" s="296"/>
      <c r="U2007" s="297"/>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6"/>
      <c r="N2008" s="296"/>
      <c r="O2008" s="296"/>
      <c r="P2008" s="296"/>
      <c r="Q2008" s="296"/>
      <c r="R2008" s="296"/>
      <c r="S2008" s="296"/>
      <c r="T2008" s="296"/>
      <c r="U2008" s="297"/>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6"/>
      <c r="N2009" s="296"/>
      <c r="O2009" s="296"/>
      <c r="P2009" s="296"/>
      <c r="Q2009" s="296"/>
      <c r="R2009" s="296"/>
      <c r="S2009" s="296"/>
      <c r="T2009" s="296"/>
      <c r="U2009" s="297"/>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2" t="s">
        <v>401</v>
      </c>
      <c r="C2010" s="284"/>
      <c r="D2010" s="79"/>
      <c r="E2010" s="80"/>
      <c r="F2010" s="80"/>
      <c r="G2010" s="81"/>
      <c r="H2010" s="192"/>
      <c r="I2010" s="192"/>
      <c r="J2010" s="192"/>
      <c r="K2010" s="82"/>
      <c r="L2010" s="282" t="s">
        <v>306</v>
      </c>
      <c r="M2010" s="283"/>
      <c r="N2010" s="283"/>
      <c r="O2010" s="283"/>
      <c r="P2010" s="283"/>
      <c r="Q2010" s="283"/>
      <c r="R2010" s="283"/>
      <c r="S2010" s="283"/>
      <c r="T2010" s="283"/>
      <c r="U2010" s="284"/>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2" t="s">
        <v>307</v>
      </c>
      <c r="C2011" s="284"/>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5" t="s">
        <v>222</v>
      </c>
      <c r="C2015" s="286"/>
      <c r="D2015" s="287" t="s">
        <v>223</v>
      </c>
      <c r="E2015" s="288"/>
      <c r="F2015" s="88"/>
      <c r="G2015" s="289" t="s">
        <v>224</v>
      </c>
      <c r="H2015" s="290"/>
      <c r="I2015" s="28">
        <f>SUM(E2026:E2050)</f>
        <v>0</v>
      </c>
      <c r="J2015" s="291" t="s">
        <v>225</v>
      </c>
      <c r="K2015" s="292"/>
      <c r="L2015" s="288"/>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8" t="s">
        <v>226</v>
      </c>
      <c r="AA2015" s="299"/>
      <c r="AB2015" s="300"/>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1" t="s">
        <v>230</v>
      </c>
      <c r="H2016" s="288"/>
      <c r="I2016" s="33">
        <f>E2017-I2015</f>
        <v>0</v>
      </c>
      <c r="J2016" s="302" t="s">
        <v>231</v>
      </c>
      <c r="K2016" s="303"/>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4" t="s">
        <v>232</v>
      </c>
      <c r="AA2016" s="306" t="s">
        <v>233</v>
      </c>
      <c r="AB2016" s="307"/>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0" t="s">
        <v>237</v>
      </c>
      <c r="H2017" s="311"/>
      <c r="I2017" s="35">
        <f>IF(E2017=0,0,12-(MOD(I2015,12)))</f>
        <v>0</v>
      </c>
      <c r="J2017" s="302" t="s">
        <v>238</v>
      </c>
      <c r="K2017" s="303"/>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5"/>
      <c r="AA2017" s="308"/>
      <c r="AB2017" s="309"/>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8" t="s">
        <v>242</v>
      </c>
      <c r="H2018" s="43" t="s">
        <v>243</v>
      </c>
      <c r="I2018" s="35">
        <f>IF(E2018&lt;&gt;0,1,0)</f>
        <v>0</v>
      </c>
      <c r="J2018" s="310" t="s">
        <v>244</v>
      </c>
      <c r="K2018" s="31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9"/>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8" t="s">
        <v>251</v>
      </c>
      <c r="H2020" s="51" t="s">
        <v>252</v>
      </c>
      <c r="I2020" s="112">
        <f>E2019</f>
        <v>0</v>
      </c>
      <c r="J2020" s="312" t="s">
        <v>253</v>
      </c>
      <c r="K2020" s="313"/>
      <c r="L2020" s="31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9"/>
      <c r="H2021" s="47" t="s">
        <v>257</v>
      </c>
      <c r="I2021" s="35" t="str">
        <f>IF(E2019="","0",IF(AND(E2016="EUC",E2017=432), I2020+(203-E2018),IF(E2019=0,0,(E2019+(E2017-E2018)-1))))</f>
        <v>0</v>
      </c>
      <c r="J2021" s="293" t="str">
        <f>IFERROR(IF(OR(E2016="EUC",E2016="SS"),"---",IF(OR(P2015,S2015),"NO 2F Tethers for RPX!",IF(OR(P2017,S2017),"NO 6F Tethers for RPX!","---"))),"---")</f>
        <v>---</v>
      </c>
      <c r="K2021" s="294"/>
      <c r="L2021" s="295"/>
      <c r="M2021" s="293" t="str">
        <f>IF(E2018&gt;60,"Dead Count &gt;60: Consider Downsize","---")</f>
        <v>---</v>
      </c>
      <c r="N2021" s="294"/>
      <c r="O2021" s="294"/>
      <c r="P2021" s="294"/>
      <c r="Q2021" s="294"/>
      <c r="R2021" s="294"/>
      <c r="S2021" s="294"/>
      <c r="T2021" s="294"/>
      <c r="U2021" s="295"/>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3"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4"/>
      <c r="L2022" s="295"/>
      <c r="M2022" s="293" t="str">
        <f>IF(AND(OR(E2016="SS",E2016="RPX",E2016="EUC",E2016="RPX-T"),(OR(C2026="",C2026="Field SPL"))),"Cannot have FlexNap cables without tethers","---")</f>
        <v>---</v>
      </c>
      <c r="N2022" s="294"/>
      <c r="O2022" s="294"/>
      <c r="P2022" s="294"/>
      <c r="Q2022" s="294"/>
      <c r="R2022" s="294"/>
      <c r="S2022" s="294"/>
      <c r="T2022" s="294"/>
      <c r="U2022" s="295"/>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3" t="str">
        <f>IF(AND(OR(E2016="RPX", E2016="RPX-T", E2016="SS"),E2017=216),"NO 216 For RPX, RPX-T, OR SS CABLE","---")</f>
        <v>---</v>
      </c>
      <c r="K2023" s="294"/>
      <c r="L2023" s="295"/>
      <c r="M2023" s="293" t="str" cm="1">
        <f t="array" ref="M2023">IF(AND(E2016="",OR(C2026:C2050="FST",C2026:C2050="REV T",C2026:C2050="DBL REV",C2026:C2050="TPL REV", C2026:C2050="QD REV")),"Non-FlexNap cables cannot have tethers","---")</f>
        <v>---</v>
      </c>
      <c r="N2023" s="294"/>
      <c r="O2023" s="294"/>
      <c r="P2023" s="294"/>
      <c r="Q2023" s="294"/>
      <c r="R2023" s="294"/>
      <c r="S2023" s="294"/>
      <c r="T2023" s="294"/>
      <c r="U2023" s="295"/>
      <c r="V2023" s="25"/>
      <c r="W2023" s="58"/>
      <c r="X2023" s="58"/>
      <c r="Y2023" s="25"/>
      <c r="Z2023" s="45">
        <v>6</v>
      </c>
      <c r="AA2023" s="65">
        <v>61</v>
      </c>
      <c r="AB2023" s="65">
        <v>72</v>
      </c>
      <c r="AC2023" s="25"/>
      <c r="AD2023" s="25"/>
      <c r="BA2023" s="226"/>
    </row>
    <row r="2024" spans="1:53" ht="15.75" customHeight="1" thickBot="1" x14ac:dyDescent="0.3">
      <c r="A2024" s="88"/>
      <c r="B2024" s="278" t="s">
        <v>260</v>
      </c>
      <c r="C2024" s="315" t="s">
        <v>261</v>
      </c>
      <c r="D2024" s="315" t="s">
        <v>262</v>
      </c>
      <c r="E2024" s="317" t="s">
        <v>263</v>
      </c>
      <c r="F2024" s="315" t="s">
        <v>264</v>
      </c>
      <c r="G2024" s="280" t="s">
        <v>265</v>
      </c>
      <c r="H2024" s="280" t="s">
        <v>266</v>
      </c>
      <c r="I2024" s="280" t="s">
        <v>267</v>
      </c>
      <c r="J2024" s="319" t="s">
        <v>268</v>
      </c>
      <c r="K2024" s="315" t="s">
        <v>269</v>
      </c>
      <c r="L2024" s="321" t="s">
        <v>270</v>
      </c>
      <c r="M2024" s="323" t="s">
        <v>271</v>
      </c>
      <c r="N2024" s="323"/>
      <c r="O2024" s="323"/>
      <c r="P2024" s="323"/>
      <c r="Q2024" s="323"/>
      <c r="R2024" s="323"/>
      <c r="S2024" s="323"/>
      <c r="T2024" s="323"/>
      <c r="U2024" s="324"/>
      <c r="V2024" s="107"/>
      <c r="W2024" s="72"/>
      <c r="X2024" s="72"/>
      <c r="Y2024" s="72"/>
      <c r="Z2024" s="45">
        <v>7</v>
      </c>
      <c r="AA2024" s="65">
        <v>73</v>
      </c>
      <c r="AB2024" s="65">
        <v>84</v>
      </c>
      <c r="AC2024" s="25"/>
      <c r="AD2024" s="25"/>
      <c r="BA2024" s="228"/>
    </row>
    <row r="2025" spans="1:53" ht="15.75" thickBot="1" x14ac:dyDescent="0.3">
      <c r="A2025" s="88"/>
      <c r="B2025" s="279"/>
      <c r="C2025" s="316"/>
      <c r="D2025" s="316"/>
      <c r="E2025" s="318"/>
      <c r="F2025" s="316"/>
      <c r="G2025" s="281"/>
      <c r="H2025" s="281"/>
      <c r="I2025" s="281"/>
      <c r="J2025" s="320"/>
      <c r="K2025" s="316"/>
      <c r="L2025" s="322"/>
      <c r="M2025" s="325"/>
      <c r="N2025" s="325"/>
      <c r="O2025" s="325"/>
      <c r="P2025" s="325"/>
      <c r="Q2025" s="325"/>
      <c r="R2025" s="325"/>
      <c r="S2025" s="325"/>
      <c r="T2025" s="325"/>
      <c r="U2025" s="326"/>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6"/>
      <c r="N2026" s="296"/>
      <c r="O2026" s="296"/>
      <c r="P2026" s="296"/>
      <c r="Q2026" s="296"/>
      <c r="R2026" s="296"/>
      <c r="S2026" s="296"/>
      <c r="T2026" s="296"/>
      <c r="U2026" s="297"/>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6"/>
      <c r="N2027" s="296"/>
      <c r="O2027" s="296"/>
      <c r="P2027" s="296"/>
      <c r="Q2027" s="296"/>
      <c r="R2027" s="296"/>
      <c r="S2027" s="296"/>
      <c r="T2027" s="296"/>
      <c r="U2027" s="297"/>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6"/>
      <c r="N2028" s="296"/>
      <c r="O2028" s="296"/>
      <c r="P2028" s="296"/>
      <c r="Q2028" s="296"/>
      <c r="R2028" s="296"/>
      <c r="S2028" s="296"/>
      <c r="T2028" s="296"/>
      <c r="U2028" s="297"/>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6"/>
      <c r="N2029" s="296"/>
      <c r="O2029" s="296"/>
      <c r="P2029" s="296"/>
      <c r="Q2029" s="296"/>
      <c r="R2029" s="296"/>
      <c r="S2029" s="296"/>
      <c r="T2029" s="296"/>
      <c r="U2029" s="297"/>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6"/>
      <c r="N2030" s="296"/>
      <c r="O2030" s="296"/>
      <c r="P2030" s="296"/>
      <c r="Q2030" s="296"/>
      <c r="R2030" s="296"/>
      <c r="S2030" s="296"/>
      <c r="T2030" s="296"/>
      <c r="U2030" s="297"/>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6"/>
      <c r="N2031" s="296"/>
      <c r="O2031" s="296"/>
      <c r="P2031" s="296"/>
      <c r="Q2031" s="296"/>
      <c r="R2031" s="296"/>
      <c r="S2031" s="296"/>
      <c r="T2031" s="296"/>
      <c r="U2031" s="297"/>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6"/>
      <c r="N2032" s="296"/>
      <c r="O2032" s="296"/>
      <c r="P2032" s="296"/>
      <c r="Q2032" s="296"/>
      <c r="R2032" s="296"/>
      <c r="S2032" s="296"/>
      <c r="T2032" s="296"/>
      <c r="U2032" s="297"/>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6"/>
      <c r="N2033" s="296"/>
      <c r="O2033" s="296"/>
      <c r="P2033" s="296"/>
      <c r="Q2033" s="296"/>
      <c r="R2033" s="296"/>
      <c r="S2033" s="296"/>
      <c r="T2033" s="296"/>
      <c r="U2033" s="297"/>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6"/>
      <c r="N2034" s="296"/>
      <c r="O2034" s="296"/>
      <c r="P2034" s="296"/>
      <c r="Q2034" s="296"/>
      <c r="R2034" s="296"/>
      <c r="S2034" s="296"/>
      <c r="T2034" s="296"/>
      <c r="U2034" s="297"/>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6"/>
      <c r="N2035" s="296"/>
      <c r="O2035" s="296"/>
      <c r="P2035" s="296"/>
      <c r="Q2035" s="296"/>
      <c r="R2035" s="296"/>
      <c r="S2035" s="296"/>
      <c r="T2035" s="296"/>
      <c r="U2035" s="297"/>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6"/>
      <c r="N2036" s="296"/>
      <c r="O2036" s="296"/>
      <c r="P2036" s="296"/>
      <c r="Q2036" s="296"/>
      <c r="R2036" s="296"/>
      <c r="S2036" s="296"/>
      <c r="T2036" s="296"/>
      <c r="U2036" s="297"/>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6"/>
      <c r="N2037" s="296"/>
      <c r="O2037" s="296"/>
      <c r="P2037" s="296"/>
      <c r="Q2037" s="296"/>
      <c r="R2037" s="296"/>
      <c r="S2037" s="296"/>
      <c r="T2037" s="296"/>
      <c r="U2037" s="297"/>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6"/>
      <c r="N2038" s="296"/>
      <c r="O2038" s="296"/>
      <c r="P2038" s="296"/>
      <c r="Q2038" s="296"/>
      <c r="R2038" s="296"/>
      <c r="S2038" s="296"/>
      <c r="T2038" s="296"/>
      <c r="U2038" s="297"/>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6"/>
      <c r="N2039" s="296"/>
      <c r="O2039" s="296"/>
      <c r="P2039" s="296"/>
      <c r="Q2039" s="296"/>
      <c r="R2039" s="296"/>
      <c r="S2039" s="296"/>
      <c r="T2039" s="296"/>
      <c r="U2039" s="297"/>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6"/>
      <c r="N2040" s="296"/>
      <c r="O2040" s="296"/>
      <c r="P2040" s="296"/>
      <c r="Q2040" s="296"/>
      <c r="R2040" s="296"/>
      <c r="S2040" s="296"/>
      <c r="T2040" s="296"/>
      <c r="U2040" s="297"/>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6"/>
      <c r="N2041" s="296"/>
      <c r="O2041" s="296"/>
      <c r="P2041" s="296"/>
      <c r="Q2041" s="296"/>
      <c r="R2041" s="296"/>
      <c r="S2041" s="296"/>
      <c r="T2041" s="296"/>
      <c r="U2041" s="297"/>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6"/>
      <c r="N2042" s="296"/>
      <c r="O2042" s="296"/>
      <c r="P2042" s="296"/>
      <c r="Q2042" s="296"/>
      <c r="R2042" s="296"/>
      <c r="S2042" s="296"/>
      <c r="T2042" s="296"/>
      <c r="U2042" s="297"/>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6"/>
      <c r="N2043" s="296"/>
      <c r="O2043" s="296"/>
      <c r="P2043" s="296"/>
      <c r="Q2043" s="296"/>
      <c r="R2043" s="296"/>
      <c r="S2043" s="296"/>
      <c r="T2043" s="296"/>
      <c r="U2043" s="297"/>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6"/>
      <c r="N2044" s="296"/>
      <c r="O2044" s="296"/>
      <c r="P2044" s="296"/>
      <c r="Q2044" s="296"/>
      <c r="R2044" s="296"/>
      <c r="S2044" s="296"/>
      <c r="T2044" s="296"/>
      <c r="U2044" s="297"/>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6"/>
      <c r="N2045" s="296"/>
      <c r="O2045" s="296"/>
      <c r="P2045" s="296"/>
      <c r="Q2045" s="296"/>
      <c r="R2045" s="296"/>
      <c r="S2045" s="296"/>
      <c r="T2045" s="296"/>
      <c r="U2045" s="297"/>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6"/>
      <c r="N2046" s="296"/>
      <c r="O2046" s="296"/>
      <c r="P2046" s="296"/>
      <c r="Q2046" s="296"/>
      <c r="R2046" s="296"/>
      <c r="S2046" s="296"/>
      <c r="T2046" s="296"/>
      <c r="U2046" s="297"/>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6"/>
      <c r="N2047" s="296"/>
      <c r="O2047" s="296"/>
      <c r="P2047" s="296"/>
      <c r="Q2047" s="296"/>
      <c r="R2047" s="296"/>
      <c r="S2047" s="296"/>
      <c r="T2047" s="296"/>
      <c r="U2047" s="297"/>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6"/>
      <c r="N2048" s="296"/>
      <c r="O2048" s="296"/>
      <c r="P2048" s="296"/>
      <c r="Q2048" s="296"/>
      <c r="R2048" s="296"/>
      <c r="S2048" s="296"/>
      <c r="T2048" s="296"/>
      <c r="U2048" s="297"/>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6"/>
      <c r="N2049" s="296"/>
      <c r="O2049" s="296"/>
      <c r="P2049" s="296"/>
      <c r="Q2049" s="296"/>
      <c r="R2049" s="296"/>
      <c r="S2049" s="296"/>
      <c r="T2049" s="296"/>
      <c r="U2049" s="297"/>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6"/>
      <c r="N2050" s="296"/>
      <c r="O2050" s="296"/>
      <c r="P2050" s="296"/>
      <c r="Q2050" s="296"/>
      <c r="R2050" s="296"/>
      <c r="S2050" s="296"/>
      <c r="T2050" s="296"/>
      <c r="U2050" s="297"/>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2" t="s">
        <v>307</v>
      </c>
      <c r="C2051" s="284"/>
      <c r="D2051" s="79"/>
      <c r="E2051" s="80"/>
      <c r="F2051" s="80"/>
      <c r="G2051" s="81"/>
      <c r="H2051" s="192"/>
      <c r="I2051" s="192"/>
      <c r="J2051" s="192"/>
      <c r="K2051" s="82"/>
      <c r="L2051" s="282" t="s">
        <v>306</v>
      </c>
      <c r="M2051" s="283"/>
      <c r="N2051" s="283"/>
      <c r="O2051" s="283"/>
      <c r="P2051" s="283"/>
      <c r="Q2051" s="283"/>
      <c r="R2051" s="283"/>
      <c r="S2051" s="283"/>
      <c r="T2051" s="283"/>
      <c r="U2051" s="284"/>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24" priority="3224" operator="containsText" text="error">
      <formula>NOT(ISERROR(SEARCH("error",J17)))</formula>
    </cfRule>
  </conditionalFormatting>
  <conditionalFormatting sqref="J17:J41">
    <cfRule type="cellIs" dxfId="1523" priority="3222" operator="lessThan">
      <formula>12</formula>
    </cfRule>
    <cfRule type="cellIs" dxfId="1522" priority="3223" operator="equal">
      <formula>"4,6,8"</formula>
    </cfRule>
  </conditionalFormatting>
  <conditionalFormatting sqref="L8">
    <cfRule type="cellIs" dxfId="1521" priority="3220" operator="lessThan">
      <formula>$L$7</formula>
    </cfRule>
  </conditionalFormatting>
  <conditionalFormatting sqref="I7">
    <cfRule type="cellIs" dxfId="1520" priority="3219" operator="lessThan">
      <formula>0</formula>
    </cfRule>
  </conditionalFormatting>
  <conditionalFormatting sqref="H17:I41">
    <cfRule type="cellIs" dxfId="1519" priority="3218" operator="lessThan">
      <formula>0</formula>
    </cfRule>
  </conditionalFormatting>
  <conditionalFormatting sqref="K84:L84 K83">
    <cfRule type="containsText" dxfId="1518" priority="3217" operator="containsText" text="error">
      <formula>NOT(ISERROR(SEARCH("error",K83)))</formula>
    </cfRule>
  </conditionalFormatting>
  <conditionalFormatting sqref="K125:L125 K124">
    <cfRule type="containsText" dxfId="1517" priority="3211" operator="containsText" text="error">
      <formula>NOT(ISERROR(SEARCH("error",K124)))</formula>
    </cfRule>
  </conditionalFormatting>
  <conditionalFormatting sqref="K166:L166 K165">
    <cfRule type="containsText" dxfId="1516" priority="3205" operator="containsText" text="error">
      <formula>NOT(ISERROR(SEARCH("error",K165)))</formula>
    </cfRule>
  </conditionalFormatting>
  <conditionalFormatting sqref="K207:L207 K206">
    <cfRule type="containsText" dxfId="1515" priority="3199" operator="containsText" text="error">
      <formula>NOT(ISERROR(SEARCH("error",K206)))</formula>
    </cfRule>
  </conditionalFormatting>
  <conditionalFormatting sqref="K248:L248 K247">
    <cfRule type="containsText" dxfId="1514" priority="3193" operator="containsText" text="error">
      <formula>NOT(ISERROR(SEARCH("error",K247)))</formula>
    </cfRule>
  </conditionalFormatting>
  <conditionalFormatting sqref="K289:L289 K288">
    <cfRule type="containsText" dxfId="1513" priority="3187" operator="containsText" text="error">
      <formula>NOT(ISERROR(SEARCH("error",K288)))</formula>
    </cfRule>
  </conditionalFormatting>
  <conditionalFormatting sqref="K330:L330 K329">
    <cfRule type="containsText" dxfId="1512" priority="3181" operator="containsText" text="error">
      <formula>NOT(ISERROR(SEARCH("error",K329)))</formula>
    </cfRule>
  </conditionalFormatting>
  <conditionalFormatting sqref="K371:L371 K370">
    <cfRule type="containsText" dxfId="1511" priority="3175" operator="containsText" text="error">
      <formula>NOT(ISERROR(SEARCH("error",K370)))</formula>
    </cfRule>
  </conditionalFormatting>
  <conditionalFormatting sqref="K412:L412 K411">
    <cfRule type="containsText" dxfId="1510" priority="3169" operator="containsText" text="error">
      <formula>NOT(ISERROR(SEARCH("error",K411)))</formula>
    </cfRule>
  </conditionalFormatting>
  <conditionalFormatting sqref="K453:L453 K452">
    <cfRule type="containsText" dxfId="1509" priority="3163" operator="containsText" text="error">
      <formula>NOT(ISERROR(SEARCH("error",K452)))</formula>
    </cfRule>
  </conditionalFormatting>
  <conditionalFormatting sqref="K494:L494 K493">
    <cfRule type="containsText" dxfId="1508" priority="3157" operator="containsText" text="error">
      <formula>NOT(ISERROR(SEARCH("error",K493)))</formula>
    </cfRule>
  </conditionalFormatting>
  <conditionalFormatting sqref="K535:L535 K534">
    <cfRule type="containsText" dxfId="1507" priority="3151" operator="containsText" text="error">
      <formula>NOT(ISERROR(SEARCH("error",K534)))</formula>
    </cfRule>
  </conditionalFormatting>
  <conditionalFormatting sqref="K576:L576 K575">
    <cfRule type="containsText" dxfId="1506" priority="3145" operator="containsText" text="error">
      <formula>NOT(ISERROR(SEARCH("error",K575)))</formula>
    </cfRule>
  </conditionalFormatting>
  <conditionalFormatting sqref="K617:L617 K616">
    <cfRule type="containsText" dxfId="1505" priority="3139" operator="containsText" text="error">
      <formula>NOT(ISERROR(SEARCH("error",K616)))</formula>
    </cfRule>
  </conditionalFormatting>
  <conditionalFormatting sqref="K658:L658 K657">
    <cfRule type="containsText" dxfId="1504" priority="3133" operator="containsText" text="error">
      <formula>NOT(ISERROR(SEARCH("error",K657)))</formula>
    </cfRule>
  </conditionalFormatting>
  <conditionalFormatting sqref="K699:L699 K698">
    <cfRule type="containsText" dxfId="1503" priority="3127" operator="containsText" text="error">
      <formula>NOT(ISERROR(SEARCH("error",K698)))</formula>
    </cfRule>
  </conditionalFormatting>
  <conditionalFormatting sqref="K740:L740 K739">
    <cfRule type="containsText" dxfId="1502" priority="3121" operator="containsText" text="error">
      <formula>NOT(ISERROR(SEARCH("error",K739)))</formula>
    </cfRule>
  </conditionalFormatting>
  <conditionalFormatting sqref="K781:L781 K780">
    <cfRule type="containsText" dxfId="1501" priority="3115" operator="containsText" text="error">
      <formula>NOT(ISERROR(SEARCH("error",K780)))</formula>
    </cfRule>
  </conditionalFormatting>
  <conditionalFormatting sqref="K822:L822 K821">
    <cfRule type="containsText" dxfId="1500" priority="3109" operator="containsText" text="error">
      <formula>NOT(ISERROR(SEARCH("error",K821)))</formula>
    </cfRule>
  </conditionalFormatting>
  <conditionalFormatting sqref="C128 C169 C210 C251 C292 C333 C374 C415 C456 C497 C538 C579 C620 C661 C702 C743 C784 C825">
    <cfRule type="expression" dxfId="1499" priority="3024">
      <formula>AND(OR(C129="NO",C129="REV T",C129="DBL REV"),C128="Field SPL")</formula>
    </cfRule>
  </conditionalFormatting>
  <conditionalFormatting sqref="K863:L863 K862">
    <cfRule type="containsText" dxfId="1498" priority="3022" operator="containsText" text="error">
      <formula>NOT(ISERROR(SEARCH("error",K862)))</formula>
    </cfRule>
  </conditionalFormatting>
  <conditionalFormatting sqref="K904:L904 K903">
    <cfRule type="containsText" dxfId="1497" priority="3015" operator="containsText" text="error">
      <formula>NOT(ISERROR(SEARCH("error",K903)))</formula>
    </cfRule>
  </conditionalFormatting>
  <conditionalFormatting sqref="K945:L945 K944">
    <cfRule type="containsText" dxfId="1496" priority="3008" operator="containsText" text="error">
      <formula>NOT(ISERROR(SEARCH("error",K944)))</formula>
    </cfRule>
  </conditionalFormatting>
  <conditionalFormatting sqref="K986:L986 K985">
    <cfRule type="containsText" dxfId="1495" priority="3001" operator="containsText" text="error">
      <formula>NOT(ISERROR(SEARCH("error",K985)))</formula>
    </cfRule>
  </conditionalFormatting>
  <conditionalFormatting sqref="K1027:L1027 K1026">
    <cfRule type="containsText" dxfId="1494" priority="2994" operator="containsText" text="error">
      <formula>NOT(ISERROR(SEARCH("error",K1026)))</formula>
    </cfRule>
  </conditionalFormatting>
  <conditionalFormatting sqref="K1068:L1068 K1067">
    <cfRule type="containsText" dxfId="1493" priority="2987" operator="containsText" text="error">
      <formula>NOT(ISERROR(SEARCH("error",K1067)))</formula>
    </cfRule>
  </conditionalFormatting>
  <conditionalFormatting sqref="K1109:L1109 K1108">
    <cfRule type="containsText" dxfId="1492" priority="2980" operator="containsText" text="error">
      <formula>NOT(ISERROR(SEARCH("error",K1108)))</formula>
    </cfRule>
  </conditionalFormatting>
  <conditionalFormatting sqref="K1150:L1150 K1149">
    <cfRule type="containsText" dxfId="1491" priority="2973" operator="containsText" text="error">
      <formula>NOT(ISERROR(SEARCH("error",K1149)))</formula>
    </cfRule>
  </conditionalFormatting>
  <conditionalFormatting sqref="K1191:L1191 K1190">
    <cfRule type="containsText" dxfId="1490" priority="2966" operator="containsText" text="error">
      <formula>NOT(ISERROR(SEARCH("error",K1190)))</formula>
    </cfRule>
  </conditionalFormatting>
  <conditionalFormatting sqref="K1232:L1232 K1231">
    <cfRule type="containsText" dxfId="1489" priority="2959" operator="containsText" text="error">
      <formula>NOT(ISERROR(SEARCH("error",K1231)))</formula>
    </cfRule>
  </conditionalFormatting>
  <conditionalFormatting sqref="K1273:L1273 K1272">
    <cfRule type="containsText" dxfId="1488" priority="2952" operator="containsText" text="error">
      <formula>NOT(ISERROR(SEARCH("error",K1272)))</formula>
    </cfRule>
  </conditionalFormatting>
  <conditionalFormatting sqref="K1314:L1314 K1313">
    <cfRule type="containsText" dxfId="1487" priority="2945" operator="containsText" text="error">
      <formula>NOT(ISERROR(SEARCH("error",K1313)))</formula>
    </cfRule>
  </conditionalFormatting>
  <conditionalFormatting sqref="K1355:L1355 K1354">
    <cfRule type="containsText" dxfId="1486" priority="2938" operator="containsText" text="error">
      <formula>NOT(ISERROR(SEARCH("error",K1354)))</formula>
    </cfRule>
  </conditionalFormatting>
  <conditionalFormatting sqref="K1396:L1396 K1395">
    <cfRule type="containsText" dxfId="1485" priority="2931" operator="containsText" text="error">
      <formula>NOT(ISERROR(SEARCH("error",K1395)))</formula>
    </cfRule>
  </conditionalFormatting>
  <conditionalFormatting sqref="K1437:L1437 K1436">
    <cfRule type="containsText" dxfId="1484" priority="2924" operator="containsText" text="error">
      <formula>NOT(ISERROR(SEARCH("error",K1436)))</formula>
    </cfRule>
  </conditionalFormatting>
  <conditionalFormatting sqref="K1478:L1478 K1477">
    <cfRule type="containsText" dxfId="1483" priority="2917" operator="containsText" text="error">
      <formula>NOT(ISERROR(SEARCH("error",K1477)))</formula>
    </cfRule>
  </conditionalFormatting>
  <conditionalFormatting sqref="K1519:L1519 K1518">
    <cfRule type="containsText" dxfId="1482" priority="2910" operator="containsText" text="error">
      <formula>NOT(ISERROR(SEARCH("error",K1518)))</formula>
    </cfRule>
  </conditionalFormatting>
  <conditionalFormatting sqref="K1560:L1560 K1559">
    <cfRule type="containsText" dxfId="1481" priority="2903" operator="containsText" text="error">
      <formula>NOT(ISERROR(SEARCH("error",K1559)))</formula>
    </cfRule>
  </conditionalFormatting>
  <conditionalFormatting sqref="K1601:L1601 K1600">
    <cfRule type="containsText" dxfId="1480" priority="2896" operator="containsText" text="error">
      <formula>NOT(ISERROR(SEARCH("error",K1600)))</formula>
    </cfRule>
  </conditionalFormatting>
  <conditionalFormatting sqref="K1642:L1642 K1641">
    <cfRule type="containsText" dxfId="1479" priority="2889" operator="containsText" text="error">
      <formula>NOT(ISERROR(SEARCH("error",K1641)))</formula>
    </cfRule>
  </conditionalFormatting>
  <conditionalFormatting sqref="E41">
    <cfRule type="expression" dxfId="1478" priority="2862">
      <formula>AND(OR(C41="NO",C41="REV T",C41="DBL REV",C41="TPL REV",C41="QD REV"),E41&gt;12)</formula>
    </cfRule>
  </conditionalFormatting>
  <conditionalFormatting sqref="J17">
    <cfRule type="expression" dxfId="1477" priority="2737">
      <formula>AND(C17="NO",E17&lt;12,C18="")</formula>
    </cfRule>
  </conditionalFormatting>
  <conditionalFormatting sqref="B29:B41">
    <cfRule type="expression" dxfId="1476" priority="2578">
      <formula>Z29="error"</formula>
    </cfRule>
  </conditionalFormatting>
  <conditionalFormatting sqref="B29:B41">
    <cfRule type="expression" dxfId="1475" priority="2576">
      <formula>AA31="error"</formula>
    </cfRule>
  </conditionalFormatting>
  <conditionalFormatting sqref="E41">
    <cfRule type="expression" dxfId="1474" priority="2569">
      <formula>AND(OR(C41="NO",C41="REV T",C41="DBL REV",C41="TPL REV",C41="QD REV"),E41&gt;12)</formula>
    </cfRule>
  </conditionalFormatting>
  <conditionalFormatting sqref="E12">
    <cfRule type="expression" dxfId="1473" priority="2511">
      <formula>AND(E7="EUC",E8&gt;48,E12="Y")</formula>
    </cfRule>
    <cfRule type="expression" dxfId="1472" priority="2512">
      <formula>AND(E7="RPX",E8&gt;48,E12="Y")</formula>
    </cfRule>
    <cfRule type="expression" dxfId="1471" priority="2513">
      <formula>AND(E7="SS",E8&gt;48,E12="Y")</formula>
    </cfRule>
  </conditionalFormatting>
  <conditionalFormatting sqref="I11">
    <cfRule type="expression" dxfId="1470" priority="2350">
      <formula>I11=0</formula>
    </cfRule>
    <cfRule type="expression" dxfId="1469" priority="2351">
      <formula>MOD(I11,2)=0</formula>
    </cfRule>
  </conditionalFormatting>
  <conditionalFormatting sqref="E35:E40">
    <cfRule type="expression" dxfId="1468" priority="2267">
      <formula>AND(OR(C35="NO",C35="REV T",C35="DBL REV",C35="TPL REV",C35="QD REV"),E35&gt;12)</formula>
    </cfRule>
  </conditionalFormatting>
  <conditionalFormatting sqref="C35:C41">
    <cfRule type="expression" dxfId="1467" priority="2266">
      <formula>AND(OR(C36="FST",C36="REV T",C36="DBL REV",C36="TPL REV",C36="QD REV"),C35="Field SPL")</formula>
    </cfRule>
  </conditionalFormatting>
  <conditionalFormatting sqref="I6">
    <cfRule type="expression" dxfId="1466" priority="2259">
      <formula>AND(E7="EUC",E8=432,I6&gt;204)</formula>
    </cfRule>
  </conditionalFormatting>
  <conditionalFormatting sqref="K1683:L1683 K1682">
    <cfRule type="containsText" dxfId="1465" priority="2199" operator="containsText" text="error">
      <formula>NOT(ISERROR(SEARCH("error",K1682)))</formula>
    </cfRule>
  </conditionalFormatting>
  <conditionalFormatting sqref="K1724:L1724 K1723">
    <cfRule type="containsText" dxfId="1464" priority="2173" operator="containsText" text="error">
      <formula>NOT(ISERROR(SEARCH("error",K1723)))</formula>
    </cfRule>
  </conditionalFormatting>
  <conditionalFormatting sqref="K1765:L1765 K1764">
    <cfRule type="containsText" dxfId="1463" priority="2147" operator="containsText" text="error">
      <formula>NOT(ISERROR(SEARCH("error",K1764)))</formula>
    </cfRule>
  </conditionalFormatting>
  <conditionalFormatting sqref="K1806:L1806 K1805">
    <cfRule type="containsText" dxfId="1462" priority="2121" operator="containsText" text="error">
      <formula>NOT(ISERROR(SEARCH("error",K1805)))</formula>
    </cfRule>
  </conditionalFormatting>
  <conditionalFormatting sqref="K1847:L1847 K1846">
    <cfRule type="containsText" dxfId="1461" priority="2095" operator="containsText" text="error">
      <formula>NOT(ISERROR(SEARCH("error",K1846)))</formula>
    </cfRule>
  </conditionalFormatting>
  <conditionalFormatting sqref="K1888:L1888 K1887">
    <cfRule type="containsText" dxfId="1460" priority="2069" operator="containsText" text="error">
      <formula>NOT(ISERROR(SEARCH("error",K1887)))</formula>
    </cfRule>
  </conditionalFormatting>
  <conditionalFormatting sqref="K1929:L1929 K1928">
    <cfRule type="containsText" dxfId="1459" priority="2043" operator="containsText" text="error">
      <formula>NOT(ISERROR(SEARCH("error",K1928)))</formula>
    </cfRule>
  </conditionalFormatting>
  <conditionalFormatting sqref="K1970:L1970 K1969">
    <cfRule type="containsText" dxfId="1458" priority="2017" operator="containsText" text="error">
      <formula>NOT(ISERROR(SEARCH("error",K1969)))</formula>
    </cfRule>
  </conditionalFormatting>
  <conditionalFormatting sqref="K2011:L2011 K2010">
    <cfRule type="containsText" dxfId="1457" priority="1991" operator="containsText" text="error">
      <formula>NOT(ISERROR(SEARCH("error",K2010)))</formula>
    </cfRule>
  </conditionalFormatting>
  <conditionalFormatting sqref="K2052:L2052 K2051">
    <cfRule type="containsText" dxfId="1456" priority="1965" operator="containsText" text="error">
      <formula>NOT(ISERROR(SEARCH("error",K2051)))</formula>
    </cfRule>
  </conditionalFormatting>
  <conditionalFormatting sqref="E8">
    <cfRule type="expression" dxfId="1455" priority="1740">
      <formula>(AND(E7="EUC",E8=432))</formula>
    </cfRule>
    <cfRule type="expression" dxfId="1454" priority="1741">
      <formula>AND(E7="SS",E8&gt;216)</formula>
    </cfRule>
    <cfRule type="expression" dxfId="1453" priority="1742">
      <formula>(AND(E7="EUC",E8&gt;216))</formula>
    </cfRule>
    <cfRule type="expression" dxfId="1452" priority="1743">
      <formula>AND(E7="RPX",E8&gt;216)</formula>
    </cfRule>
  </conditionalFormatting>
  <conditionalFormatting sqref="E17:E34">
    <cfRule type="expression" dxfId="1451" priority="1739">
      <formula>AND(OR(C17="NO",C17="REV T",C17="DBL REV",C17="TPL REV",C17="QD REV"),E17&gt;12)</formula>
    </cfRule>
  </conditionalFormatting>
  <conditionalFormatting sqref="C17:C34">
    <cfRule type="expression" dxfId="1450" priority="1738">
      <formula>AND(OR(C18="FST",C18="REV T",C18="DBL REV",C18="TPL REV",C18="QD REV"),C17="Field SPL")</formula>
    </cfRule>
  </conditionalFormatting>
  <conditionalFormatting sqref="L49">
    <cfRule type="cellIs" dxfId="1449" priority="1692" operator="lessThan">
      <formula>$L$7</formula>
    </cfRule>
  </conditionalFormatting>
  <conditionalFormatting sqref="I48">
    <cfRule type="cellIs" dxfId="1448" priority="1691" operator="lessThan">
      <formula>0</formula>
    </cfRule>
  </conditionalFormatting>
  <conditionalFormatting sqref="H58:I82">
    <cfRule type="cellIs" dxfId="1447" priority="1690" operator="lessThan">
      <formula>0</formula>
    </cfRule>
  </conditionalFormatting>
  <conditionalFormatting sqref="E82">
    <cfRule type="expression" dxfId="1446" priority="1689">
      <formula>AND(OR(C82="NO",C82="REV T",C82="DBL REV",C82="TPL REV",C82="QD REV"),E82&gt;12)</formula>
    </cfRule>
  </conditionalFormatting>
  <conditionalFormatting sqref="B70:B82">
    <cfRule type="expression" dxfId="1445" priority="1687">
      <formula>Z70="error"</formula>
    </cfRule>
  </conditionalFormatting>
  <conditionalFormatting sqref="B70:B82">
    <cfRule type="expression" dxfId="1444" priority="1686">
      <formula>AA72="error"</formula>
    </cfRule>
  </conditionalFormatting>
  <conditionalFormatting sqref="E82">
    <cfRule type="expression" dxfId="1443" priority="1685">
      <formula>AND(OR(C82="NO",C82="REV T",C82="DBL REV",C82="TPL REV",C82="QD REV"),E82&gt;12)</formula>
    </cfRule>
  </conditionalFormatting>
  <conditionalFormatting sqref="E53">
    <cfRule type="expression" dxfId="1442" priority="1682">
      <formula>AND(E48="EUC",E49&gt;48,E53="Y")</formula>
    </cfRule>
    <cfRule type="expression" dxfId="1441" priority="1683">
      <formula>AND(E48="RPX",E49&gt;48,E53="Y")</formula>
    </cfRule>
    <cfRule type="expression" dxfId="1440" priority="1684">
      <formula>AND(E48="SS",E49&gt;48,E53="Y")</formula>
    </cfRule>
  </conditionalFormatting>
  <conditionalFormatting sqref="I52">
    <cfRule type="expression" dxfId="1439" priority="1679">
      <formula>I52=0</formula>
    </cfRule>
    <cfRule type="expression" dxfId="1438" priority="1680">
      <formula>MOD(I52,2)=0</formula>
    </cfRule>
  </conditionalFormatting>
  <conditionalFormatting sqref="E76:E81">
    <cfRule type="expression" dxfId="1437" priority="1678">
      <formula>AND(OR(C76="NO",C76="REV T",C76="DBL REV",C76="TPL REV",C76="QD REV"),E76&gt;12)</formula>
    </cfRule>
  </conditionalFormatting>
  <conditionalFormatting sqref="C76:C82">
    <cfRule type="expression" dxfId="1436" priority="1677">
      <formula>AND(OR(C77="FST",C77="REV T",C77="DBL REV",C77="TPL REV",C77="QD REV"),C76="Field SPL")</formula>
    </cfRule>
  </conditionalFormatting>
  <conditionalFormatting sqref="I47">
    <cfRule type="expression" dxfId="1435" priority="1676">
      <formula>AND(E48="EUC",E49=432,I47&gt;204)</formula>
    </cfRule>
  </conditionalFormatting>
  <conditionalFormatting sqref="E49">
    <cfRule type="expression" dxfId="1434" priority="1672">
      <formula>(AND(E48="EUC",E49=432))</formula>
    </cfRule>
    <cfRule type="expression" dxfId="1433" priority="1673">
      <formula>AND(E48="SS",E49&gt;216)</formula>
    </cfRule>
    <cfRule type="expression" dxfId="1432" priority="1674">
      <formula>(AND(E48="EUC",E49&gt;216))</formula>
    </cfRule>
    <cfRule type="expression" dxfId="1431" priority="1675">
      <formula>AND(E48="RPX",E49&gt;216)</formula>
    </cfRule>
  </conditionalFormatting>
  <conditionalFormatting sqref="E58:E75">
    <cfRule type="expression" dxfId="1430" priority="1671">
      <formula>AND(OR(C58="NO",C58="REV T",C58="DBL REV",C58="TPL REV",C58="QD REV"),E58&gt;12)</formula>
    </cfRule>
  </conditionalFormatting>
  <conditionalFormatting sqref="C58:C75">
    <cfRule type="expression" dxfId="1429" priority="1670">
      <formula>AND(OR(C59="FST",C59="REV T",C59="DBL REV",C59="TPL REV",C59="QD REV"),C58="Field SPL")</formula>
    </cfRule>
  </conditionalFormatting>
  <conditionalFormatting sqref="L90">
    <cfRule type="cellIs" dxfId="1428" priority="1666" operator="lessThan">
      <formula>$L$7</formula>
    </cfRule>
  </conditionalFormatting>
  <conditionalFormatting sqref="I89">
    <cfRule type="cellIs" dxfId="1427" priority="1665" operator="lessThan">
      <formula>0</formula>
    </cfRule>
  </conditionalFormatting>
  <conditionalFormatting sqref="H99:I123">
    <cfRule type="cellIs" dxfId="1426" priority="1664" operator="lessThan">
      <formula>0</formula>
    </cfRule>
  </conditionalFormatting>
  <conditionalFormatting sqref="E123">
    <cfRule type="expression" dxfId="1425" priority="1663">
      <formula>AND(OR(C123="NO",C123="REV T",C123="DBL REV",C123="TPL REV",C123="QD REV"),E123&gt;12)</formula>
    </cfRule>
  </conditionalFormatting>
  <conditionalFormatting sqref="B111:B123">
    <cfRule type="expression" dxfId="1424" priority="1661">
      <formula>Z111="error"</formula>
    </cfRule>
  </conditionalFormatting>
  <conditionalFormatting sqref="B111:B123">
    <cfRule type="expression" dxfId="1423" priority="1660">
      <formula>AA113="error"</formula>
    </cfRule>
  </conditionalFormatting>
  <conditionalFormatting sqref="E123">
    <cfRule type="expression" dxfId="1422" priority="1659">
      <formula>AND(OR(C123="NO",C123="REV T",C123="DBL REV",C123="TPL REV",C123="QD REV"),E123&gt;12)</formula>
    </cfRule>
  </conditionalFormatting>
  <conditionalFormatting sqref="E94">
    <cfRule type="expression" dxfId="1421" priority="1656">
      <formula>AND(E89="EUC",E90&gt;48,E94="Y")</formula>
    </cfRule>
    <cfRule type="expression" dxfId="1420" priority="1657">
      <formula>AND(E89="RPX",E90&gt;48,E94="Y")</formula>
    </cfRule>
    <cfRule type="expression" dxfId="1419" priority="1658">
      <formula>AND(E89="SS",E90&gt;48,E94="Y")</formula>
    </cfRule>
  </conditionalFormatting>
  <conditionalFormatting sqref="I93">
    <cfRule type="expression" dxfId="1418" priority="1653">
      <formula>I93=0</formula>
    </cfRule>
    <cfRule type="expression" dxfId="1417" priority="1654">
      <formula>MOD(I93,2)=0</formula>
    </cfRule>
  </conditionalFormatting>
  <conditionalFormatting sqref="E117:E122">
    <cfRule type="expression" dxfId="1416" priority="1652">
      <formula>AND(OR(C117="NO",C117="REV T",C117="DBL REV",C117="TPL REV",C117="QD REV"),E117&gt;12)</formula>
    </cfRule>
  </conditionalFormatting>
  <conditionalFormatting sqref="C117:C123">
    <cfRule type="expression" dxfId="1415" priority="1651">
      <formula>AND(OR(C118="FST",C118="REV T",C118="DBL REV",C118="TPL REV",C118="QD REV"),C117="Field SPL")</formula>
    </cfRule>
  </conditionalFormatting>
  <conditionalFormatting sqref="I88">
    <cfRule type="expression" dxfId="1414" priority="1650">
      <formula>AND(E89="EUC",E90=432,I88&gt;204)</formula>
    </cfRule>
  </conditionalFormatting>
  <conditionalFormatting sqref="E90">
    <cfRule type="expression" dxfId="1413" priority="1646">
      <formula>(AND(E89="EUC",E90=432))</formula>
    </cfRule>
    <cfRule type="expression" dxfId="1412" priority="1647">
      <formula>AND(E89="SS",E90&gt;216)</formula>
    </cfRule>
    <cfRule type="expression" dxfId="1411" priority="1648">
      <formula>(AND(E89="EUC",E90&gt;216))</formula>
    </cfRule>
    <cfRule type="expression" dxfId="1410" priority="1649">
      <formula>AND(E89="RPX",E90&gt;216)</formula>
    </cfRule>
  </conditionalFormatting>
  <conditionalFormatting sqref="E99:E116">
    <cfRule type="expression" dxfId="1409" priority="1645">
      <formula>AND(OR(C99="NO",C99="REV T",C99="DBL REV",C99="TPL REV",C99="QD REV"),E99&gt;12)</formula>
    </cfRule>
  </conditionalFormatting>
  <conditionalFormatting sqref="C99:C116">
    <cfRule type="expression" dxfId="1408" priority="1644">
      <formula>AND(OR(C100="FST",C100="REV T",C100="DBL REV",C100="TPL REV",C100="QD REV"),C99="Field SPL")</formula>
    </cfRule>
  </conditionalFormatting>
  <conditionalFormatting sqref="L131">
    <cfRule type="cellIs" dxfId="1407" priority="1640" operator="lessThan">
      <formula>$L$7</formula>
    </cfRule>
  </conditionalFormatting>
  <conditionalFormatting sqref="I130">
    <cfRule type="cellIs" dxfId="1406" priority="1639" operator="lessThan">
      <formula>0</formula>
    </cfRule>
  </conditionalFormatting>
  <conditionalFormatting sqref="H140:I164">
    <cfRule type="cellIs" dxfId="1405" priority="1638" operator="lessThan">
      <formula>0</formula>
    </cfRule>
  </conditionalFormatting>
  <conditionalFormatting sqref="E164">
    <cfRule type="expression" dxfId="1404" priority="1637">
      <formula>AND(OR(C164="NO",C164="REV T",C164="DBL REV",C164="TPL REV",C164="QD REV"),E164&gt;12)</formula>
    </cfRule>
  </conditionalFormatting>
  <conditionalFormatting sqref="B152:B164">
    <cfRule type="expression" dxfId="1403" priority="1635">
      <formula>Z152="error"</formula>
    </cfRule>
  </conditionalFormatting>
  <conditionalFormatting sqref="B152:B164">
    <cfRule type="expression" dxfId="1402" priority="1634">
      <formula>AA154="error"</formula>
    </cfRule>
  </conditionalFormatting>
  <conditionalFormatting sqref="E164">
    <cfRule type="expression" dxfId="1401" priority="1633">
      <formula>AND(OR(C164="NO",C164="REV T",C164="DBL REV",C164="TPL REV",C164="QD REV"),E164&gt;12)</formula>
    </cfRule>
  </conditionalFormatting>
  <conditionalFormatting sqref="E135">
    <cfRule type="expression" dxfId="1400" priority="1630">
      <formula>AND(E130="EUC",E131&gt;48,E135="Y")</formula>
    </cfRule>
    <cfRule type="expression" dxfId="1399" priority="1631">
      <formula>AND(E130="RPX",E131&gt;48,E135="Y")</formula>
    </cfRule>
    <cfRule type="expression" dxfId="1398" priority="1632">
      <formula>AND(E130="SS",E131&gt;48,E135="Y")</formula>
    </cfRule>
  </conditionalFormatting>
  <conditionalFormatting sqref="I134">
    <cfRule type="expression" dxfId="1397" priority="1627">
      <formula>I134=0</formula>
    </cfRule>
    <cfRule type="expression" dxfId="1396" priority="1628">
      <formula>MOD(I134,2)=0</formula>
    </cfRule>
  </conditionalFormatting>
  <conditionalFormatting sqref="E158:E163">
    <cfRule type="expression" dxfId="1395" priority="1626">
      <formula>AND(OR(C158="NO",C158="REV T",C158="DBL REV",C158="TPL REV",C158="QD REV"),E158&gt;12)</formula>
    </cfRule>
  </conditionalFormatting>
  <conditionalFormatting sqref="C158:C164">
    <cfRule type="expression" dxfId="1394" priority="1625">
      <formula>AND(OR(C159="FST",C159="REV T",C159="DBL REV",C159="TPL REV",C159="QD REV"),C158="Field SPL")</formula>
    </cfRule>
  </conditionalFormatting>
  <conditionalFormatting sqref="I129">
    <cfRule type="expression" dxfId="1393" priority="1624">
      <formula>AND(E130="EUC",E131=432,I129&gt;204)</formula>
    </cfRule>
  </conditionalFormatting>
  <conditionalFormatting sqref="E131">
    <cfRule type="expression" dxfId="1392" priority="1620">
      <formula>(AND(E130="EUC",E131=432))</formula>
    </cfRule>
    <cfRule type="expression" dxfId="1391" priority="1621">
      <formula>AND(E130="SS",E131&gt;216)</formula>
    </cfRule>
    <cfRule type="expression" dxfId="1390" priority="1622">
      <formula>(AND(E130="EUC",E131&gt;216))</formula>
    </cfRule>
    <cfRule type="expression" dxfId="1389" priority="1623">
      <formula>AND(E130="RPX",E131&gt;216)</formula>
    </cfRule>
  </conditionalFormatting>
  <conditionalFormatting sqref="E140:E157">
    <cfRule type="expression" dxfId="1388" priority="1619">
      <formula>AND(OR(C140="NO",C140="REV T",C140="DBL REV",C140="TPL REV",C140="QD REV"),E140&gt;12)</formula>
    </cfRule>
  </conditionalFormatting>
  <conditionalFormatting sqref="C140:C157">
    <cfRule type="expression" dxfId="1387" priority="1618">
      <formula>AND(OR(C141="FST",C141="REV T",C141="DBL REV",C141="TPL REV",C141="QD REV"),C140="Field SPL")</formula>
    </cfRule>
  </conditionalFormatting>
  <conditionalFormatting sqref="L172">
    <cfRule type="cellIs" dxfId="1386" priority="1614" operator="lessThan">
      <formula>$L$7</formula>
    </cfRule>
  </conditionalFormatting>
  <conditionalFormatting sqref="I171">
    <cfRule type="cellIs" dxfId="1385" priority="1613" operator="lessThan">
      <formula>0</formula>
    </cfRule>
  </conditionalFormatting>
  <conditionalFormatting sqref="H181:I205">
    <cfRule type="cellIs" dxfId="1384" priority="1612" operator="lessThan">
      <formula>0</formula>
    </cfRule>
  </conditionalFormatting>
  <conditionalFormatting sqref="E205">
    <cfRule type="expression" dxfId="1383" priority="1611">
      <formula>AND(OR(C205="NO",C205="REV T",C205="DBL REV",C205="TPL REV",C205="QD REV"),E205&gt;12)</formula>
    </cfRule>
  </conditionalFormatting>
  <conditionalFormatting sqref="B193:B205">
    <cfRule type="expression" dxfId="1382" priority="1609">
      <formula>Z193="error"</formula>
    </cfRule>
  </conditionalFormatting>
  <conditionalFormatting sqref="B193:B205">
    <cfRule type="expression" dxfId="1381" priority="1608">
      <formula>AA195="error"</formula>
    </cfRule>
  </conditionalFormatting>
  <conditionalFormatting sqref="E205">
    <cfRule type="expression" dxfId="1380" priority="1607">
      <formula>AND(OR(C205="NO",C205="REV T",C205="DBL REV",C205="TPL REV",C205="QD REV"),E205&gt;12)</formula>
    </cfRule>
  </conditionalFormatting>
  <conditionalFormatting sqref="E176">
    <cfRule type="expression" dxfId="1379" priority="1604">
      <formula>AND(E171="EUC",E172&gt;48,E176="Y")</formula>
    </cfRule>
    <cfRule type="expression" dxfId="1378" priority="1605">
      <formula>AND(E171="RPX",E172&gt;48,E176="Y")</formula>
    </cfRule>
    <cfRule type="expression" dxfId="1377" priority="1606">
      <formula>AND(E171="SS",E172&gt;48,E176="Y")</formula>
    </cfRule>
  </conditionalFormatting>
  <conditionalFormatting sqref="I175">
    <cfRule type="expression" dxfId="1376" priority="1601">
      <formula>I175=0</formula>
    </cfRule>
    <cfRule type="expression" dxfId="1375" priority="1602">
      <formula>MOD(I175,2)=0</formula>
    </cfRule>
  </conditionalFormatting>
  <conditionalFormatting sqref="E199:E204">
    <cfRule type="expression" dxfId="1374" priority="1600">
      <formula>AND(OR(C199="NO",C199="REV T",C199="DBL REV",C199="TPL REV",C199="QD REV"),E199&gt;12)</formula>
    </cfRule>
  </conditionalFormatting>
  <conditionalFormatting sqref="C199:C205">
    <cfRule type="expression" dxfId="1373" priority="1599">
      <formula>AND(OR(C200="FST",C200="REV T",C200="DBL REV",C200="TPL REV",C200="QD REV"),C199="Field SPL")</formula>
    </cfRule>
  </conditionalFormatting>
  <conditionalFormatting sqref="I170">
    <cfRule type="expression" dxfId="1372" priority="1598">
      <formula>AND(E171="EUC",E172=432,I170&gt;204)</formula>
    </cfRule>
  </conditionalFormatting>
  <conditionalFormatting sqref="E172">
    <cfRule type="expression" dxfId="1371" priority="1594">
      <formula>(AND(E171="EUC",E172=432))</formula>
    </cfRule>
    <cfRule type="expression" dxfId="1370" priority="1595">
      <formula>AND(E171="SS",E172&gt;216)</formula>
    </cfRule>
    <cfRule type="expression" dxfId="1369" priority="1596">
      <formula>(AND(E171="EUC",E172&gt;216))</formula>
    </cfRule>
    <cfRule type="expression" dxfId="1368" priority="1597">
      <formula>AND(E171="RPX",E172&gt;216)</formula>
    </cfRule>
  </conditionalFormatting>
  <conditionalFormatting sqref="E181:E198">
    <cfRule type="expression" dxfId="1367" priority="1593">
      <formula>AND(OR(C181="NO",C181="REV T",C181="DBL REV",C181="TPL REV",C181="QD REV"),E181&gt;12)</formula>
    </cfRule>
  </conditionalFormatting>
  <conditionalFormatting sqref="C181:C198">
    <cfRule type="expression" dxfId="1366" priority="1592">
      <formula>AND(OR(C182="FST",C182="REV T",C182="DBL REV",C182="TPL REV",C182="QD REV"),C181="Field SPL")</formula>
    </cfRule>
  </conditionalFormatting>
  <conditionalFormatting sqref="L213">
    <cfRule type="cellIs" dxfId="1365" priority="1588" operator="lessThan">
      <formula>$L$7</formula>
    </cfRule>
  </conditionalFormatting>
  <conditionalFormatting sqref="I212">
    <cfRule type="cellIs" dxfId="1364" priority="1587" operator="lessThan">
      <formula>0</formula>
    </cfRule>
  </conditionalFormatting>
  <conditionalFormatting sqref="H222:I246">
    <cfRule type="cellIs" dxfId="1363" priority="1586" operator="lessThan">
      <formula>0</formula>
    </cfRule>
  </conditionalFormatting>
  <conditionalFormatting sqref="E246">
    <cfRule type="expression" dxfId="1362" priority="1585">
      <formula>AND(OR(C246="NO",C246="REV T",C246="DBL REV",C246="TPL REV",C246="QD REV"),E246&gt;12)</formula>
    </cfRule>
  </conditionalFormatting>
  <conditionalFormatting sqref="B234:B246">
    <cfRule type="expression" dxfId="1361" priority="1583">
      <formula>Z234="error"</formula>
    </cfRule>
  </conditionalFormatting>
  <conditionalFormatting sqref="B234:B246">
    <cfRule type="expression" dxfId="1360" priority="1582">
      <formula>AA236="error"</formula>
    </cfRule>
  </conditionalFormatting>
  <conditionalFormatting sqref="E246">
    <cfRule type="expression" dxfId="1359" priority="1581">
      <formula>AND(OR(C246="NO",C246="REV T",C246="DBL REV",C246="TPL REV",C246="QD REV"),E246&gt;12)</formula>
    </cfRule>
  </conditionalFormatting>
  <conditionalFormatting sqref="E217">
    <cfRule type="expression" dxfId="1358" priority="1578">
      <formula>AND(E212="EUC",E213&gt;48,E217="Y")</formula>
    </cfRule>
    <cfRule type="expression" dxfId="1357" priority="1579">
      <formula>AND(E212="RPX",E213&gt;48,E217="Y")</formula>
    </cfRule>
    <cfRule type="expression" dxfId="1356" priority="1580">
      <formula>AND(E212="SS",E213&gt;48,E217="Y")</formula>
    </cfRule>
  </conditionalFormatting>
  <conditionalFormatting sqref="I216">
    <cfRule type="expression" dxfId="1355" priority="1575">
      <formula>I216=0</formula>
    </cfRule>
    <cfRule type="expression" dxfId="1354" priority="1576">
      <formula>MOD(I216,2)=0</formula>
    </cfRule>
  </conditionalFormatting>
  <conditionalFormatting sqref="E240:E245">
    <cfRule type="expression" dxfId="1353" priority="1574">
      <formula>AND(OR(C240="NO",C240="REV T",C240="DBL REV",C240="TPL REV",C240="QD REV"),E240&gt;12)</formula>
    </cfRule>
  </conditionalFormatting>
  <conditionalFormatting sqref="C240:C246">
    <cfRule type="expression" dxfId="1352" priority="1573">
      <formula>AND(OR(C241="FST",C241="REV T",C241="DBL REV",C241="TPL REV",C241="QD REV"),C240="Field SPL")</formula>
    </cfRule>
  </conditionalFormatting>
  <conditionalFormatting sqref="I211">
    <cfRule type="expression" dxfId="1351" priority="1572">
      <formula>AND(E212="EUC",E213=432,I211&gt;204)</formula>
    </cfRule>
  </conditionalFormatting>
  <conditionalFormatting sqref="E213">
    <cfRule type="expression" dxfId="1350" priority="1568">
      <formula>(AND(E212="EUC",E213=432))</formula>
    </cfRule>
    <cfRule type="expression" dxfId="1349" priority="1569">
      <formula>AND(E212="SS",E213&gt;216)</formula>
    </cfRule>
    <cfRule type="expression" dxfId="1348" priority="1570">
      <formula>(AND(E212="EUC",E213&gt;216))</formula>
    </cfRule>
    <cfRule type="expression" dxfId="1347" priority="1571">
      <formula>AND(E212="RPX",E213&gt;216)</formula>
    </cfRule>
  </conditionalFormatting>
  <conditionalFormatting sqref="E222:E226 E228:E239">
    <cfRule type="expression" dxfId="1346" priority="1567">
      <formula>AND(OR(C222="NO",C222="REV T",C222="DBL REV",C222="TPL REV",C222="QD REV"),E222&gt;12)</formula>
    </cfRule>
  </conditionalFormatting>
  <conditionalFormatting sqref="C222:C226 C228:C239">
    <cfRule type="expression" dxfId="1345" priority="1566">
      <formula>AND(OR(C223="FST",C223="REV T",C223="DBL REV",C223="TPL REV",C223="QD REV"),C222="Field SPL")</formula>
    </cfRule>
  </conditionalFormatting>
  <conditionalFormatting sqref="L254">
    <cfRule type="cellIs" dxfId="1344" priority="1562" operator="lessThan">
      <formula>$L$7</formula>
    </cfRule>
  </conditionalFormatting>
  <conditionalFormatting sqref="I253">
    <cfRule type="cellIs" dxfId="1343" priority="1561" operator="lessThan">
      <formula>0</formula>
    </cfRule>
  </conditionalFormatting>
  <conditionalFormatting sqref="H263:I287">
    <cfRule type="cellIs" dxfId="1342" priority="1560" operator="lessThan">
      <formula>0</formula>
    </cfRule>
  </conditionalFormatting>
  <conditionalFormatting sqref="E287">
    <cfRule type="expression" dxfId="1341" priority="1559">
      <formula>AND(OR(C287="NO",C287="REV T",C287="DBL REV",C287="TPL REV",C287="QD REV"),E287&gt;12)</formula>
    </cfRule>
  </conditionalFormatting>
  <conditionalFormatting sqref="B275:B287">
    <cfRule type="expression" dxfId="1340" priority="1557">
      <formula>Z275="error"</formula>
    </cfRule>
  </conditionalFormatting>
  <conditionalFormatting sqref="B275:B287">
    <cfRule type="expression" dxfId="1339" priority="1556">
      <formula>AA277="error"</formula>
    </cfRule>
  </conditionalFormatting>
  <conditionalFormatting sqref="E287">
    <cfRule type="expression" dxfId="1338" priority="1555">
      <formula>AND(OR(C287="NO",C287="REV T",C287="DBL REV",C287="TPL REV",C287="QD REV"),E287&gt;12)</formula>
    </cfRule>
  </conditionalFormatting>
  <conditionalFormatting sqref="E258">
    <cfRule type="expression" dxfId="1337" priority="1552">
      <formula>AND(E253="EUC",E254&gt;48,E258="Y")</formula>
    </cfRule>
    <cfRule type="expression" dxfId="1336" priority="1553">
      <formula>AND(E253="RPX",E254&gt;48,E258="Y")</formula>
    </cfRule>
    <cfRule type="expression" dxfId="1335" priority="1554">
      <formula>AND(E253="SS",E254&gt;48,E258="Y")</formula>
    </cfRule>
  </conditionalFormatting>
  <conditionalFormatting sqref="I257">
    <cfRule type="expression" dxfId="1334" priority="1549">
      <formula>I257=0</formula>
    </cfRule>
    <cfRule type="expression" dxfId="1333" priority="1550">
      <formula>MOD(I257,2)=0</formula>
    </cfRule>
  </conditionalFormatting>
  <conditionalFormatting sqref="E281:E286">
    <cfRule type="expression" dxfId="1332" priority="1548">
      <formula>AND(OR(C281="NO",C281="REV T",C281="DBL REV",C281="TPL REV",C281="QD REV"),E281&gt;12)</formula>
    </cfRule>
  </conditionalFormatting>
  <conditionalFormatting sqref="C281:C287">
    <cfRule type="expression" dxfId="1331" priority="1547">
      <formula>AND(OR(C282="FST",C282="REV T",C282="DBL REV",C282="TPL REV",C282="QD REV"),C281="Field SPL")</formula>
    </cfRule>
  </conditionalFormatting>
  <conditionalFormatting sqref="I252">
    <cfRule type="expression" dxfId="1330" priority="1546">
      <formula>AND(E253="EUC",E254=432,I252&gt;204)</formula>
    </cfRule>
  </conditionalFormatting>
  <conditionalFormatting sqref="E254">
    <cfRule type="expression" dxfId="1329" priority="1542">
      <formula>(AND(E253="EUC",E254=432))</formula>
    </cfRule>
    <cfRule type="expression" dxfId="1328" priority="1543">
      <formula>AND(E253="SS",E254&gt;216)</formula>
    </cfRule>
    <cfRule type="expression" dxfId="1327" priority="1544">
      <formula>(AND(E253="EUC",E254&gt;216))</formula>
    </cfRule>
    <cfRule type="expression" dxfId="1326" priority="1545">
      <formula>AND(E253="RPX",E254&gt;216)</formula>
    </cfRule>
  </conditionalFormatting>
  <conditionalFormatting sqref="E263:E266 E268:E280">
    <cfRule type="expression" dxfId="1325" priority="1541">
      <formula>AND(OR(C263="NO",C263="REV T",C263="DBL REV",C263="TPL REV",C263="QD REV"),E263&gt;12)</formula>
    </cfRule>
  </conditionalFormatting>
  <conditionalFormatting sqref="C263:C266 C268:C280">
    <cfRule type="expression" dxfId="1324" priority="1540">
      <formula>AND(OR(C264="FST",C264="REV T",C264="DBL REV",C264="TPL REV",C264="QD REV"),C263="Field SPL")</formula>
    </cfRule>
  </conditionalFormatting>
  <conditionalFormatting sqref="L295">
    <cfRule type="cellIs" dxfId="1323" priority="1536" operator="lessThan">
      <formula>$L$7</formula>
    </cfRule>
  </conditionalFormatting>
  <conditionalFormatting sqref="I294">
    <cfRule type="cellIs" dxfId="1322" priority="1535" operator="lessThan">
      <formula>0</formula>
    </cfRule>
  </conditionalFormatting>
  <conditionalFormatting sqref="H304:I328">
    <cfRule type="cellIs" dxfId="1321" priority="1534" operator="lessThan">
      <formula>0</formula>
    </cfRule>
  </conditionalFormatting>
  <conditionalFormatting sqref="E328">
    <cfRule type="expression" dxfId="1320" priority="1533">
      <formula>AND(OR(C328="NO",C328="REV T",C328="DBL REV",C328="TPL REV",C328="QD REV"),E328&gt;12)</formula>
    </cfRule>
  </conditionalFormatting>
  <conditionalFormatting sqref="B316:B328">
    <cfRule type="expression" dxfId="1319" priority="1531">
      <formula>Z316="error"</formula>
    </cfRule>
  </conditionalFormatting>
  <conditionalFormatting sqref="B316:B328">
    <cfRule type="expression" dxfId="1318" priority="1530">
      <formula>AA318="error"</formula>
    </cfRule>
  </conditionalFormatting>
  <conditionalFormatting sqref="E328">
    <cfRule type="expression" dxfId="1317" priority="1529">
      <formula>AND(OR(C328="NO",C328="REV T",C328="DBL REV",C328="TPL REV",C328="QD REV"),E328&gt;12)</formula>
    </cfRule>
  </conditionalFormatting>
  <conditionalFormatting sqref="E299">
    <cfRule type="expression" dxfId="1316" priority="1526">
      <formula>AND(E294="EUC",E295&gt;48,E299="Y")</formula>
    </cfRule>
    <cfRule type="expression" dxfId="1315" priority="1527">
      <formula>AND(E294="RPX",E295&gt;48,E299="Y")</formula>
    </cfRule>
    <cfRule type="expression" dxfId="1314" priority="1528">
      <formula>AND(E294="SS",E295&gt;48,E299="Y")</formula>
    </cfRule>
  </conditionalFormatting>
  <conditionalFormatting sqref="I298">
    <cfRule type="expression" dxfId="1313" priority="1523">
      <formula>I298=0</formula>
    </cfRule>
    <cfRule type="expression" dxfId="1312" priority="1524">
      <formula>MOD(I298,2)=0</formula>
    </cfRule>
  </conditionalFormatting>
  <conditionalFormatting sqref="E322:E327">
    <cfRule type="expression" dxfId="1311" priority="1522">
      <formula>AND(OR(C322="NO",C322="REV T",C322="DBL REV",C322="TPL REV",C322="QD REV"),E322&gt;12)</formula>
    </cfRule>
  </conditionalFormatting>
  <conditionalFormatting sqref="C322:C328">
    <cfRule type="expression" dxfId="1310" priority="1521">
      <formula>AND(OR(C323="FST",C323="REV T",C323="DBL REV",C323="TPL REV",C323="QD REV"),C322="Field SPL")</formula>
    </cfRule>
  </conditionalFormatting>
  <conditionalFormatting sqref="I293">
    <cfRule type="expression" dxfId="1309" priority="1520">
      <formula>AND(E294="EUC",E295=432,I293&gt;204)</formula>
    </cfRule>
  </conditionalFormatting>
  <conditionalFormatting sqref="E295">
    <cfRule type="expression" dxfId="1308" priority="1516">
      <formula>(AND(E294="EUC",E295=432))</formula>
    </cfRule>
    <cfRule type="expression" dxfId="1307" priority="1517">
      <formula>AND(E294="SS",E295&gt;216)</formula>
    </cfRule>
    <cfRule type="expression" dxfId="1306" priority="1518">
      <formula>(AND(E294="EUC",E295&gt;216))</formula>
    </cfRule>
    <cfRule type="expression" dxfId="1305" priority="1519">
      <formula>AND(E294="RPX",E295&gt;216)</formula>
    </cfRule>
  </conditionalFormatting>
  <conditionalFormatting sqref="E304:E307 E309:E321">
    <cfRule type="expression" dxfId="1304" priority="1515">
      <formula>AND(OR(C304="NO",C304="REV T",C304="DBL REV",C304="TPL REV",C304="QD REV"),E304&gt;12)</formula>
    </cfRule>
  </conditionalFormatting>
  <conditionalFormatting sqref="C304:C307 C309:C321">
    <cfRule type="expression" dxfId="1303" priority="1514">
      <formula>AND(OR(C305="FST",C305="REV T",C305="DBL REV",C305="TPL REV",C305="QD REV"),C304="Field SPL")</formula>
    </cfRule>
  </conditionalFormatting>
  <conditionalFormatting sqref="L336">
    <cfRule type="cellIs" dxfId="1302" priority="1510" operator="lessThan">
      <formula>$L$7</formula>
    </cfRule>
  </conditionalFormatting>
  <conditionalFormatting sqref="I335">
    <cfRule type="cellIs" dxfId="1301" priority="1509" operator="lessThan">
      <formula>0</formula>
    </cfRule>
  </conditionalFormatting>
  <conditionalFormatting sqref="H345:I369">
    <cfRule type="cellIs" dxfId="1300" priority="1508" operator="lessThan">
      <formula>0</formula>
    </cfRule>
  </conditionalFormatting>
  <conditionalFormatting sqref="E369">
    <cfRule type="expression" dxfId="1299" priority="1507">
      <formula>AND(OR(C369="NO",C369="REV T",C369="DBL REV",C369="TPL REV",C369="QD REV"),E369&gt;12)</formula>
    </cfRule>
  </conditionalFormatting>
  <conditionalFormatting sqref="B357:B369">
    <cfRule type="expression" dxfId="1298" priority="1505">
      <formula>Z357="error"</formula>
    </cfRule>
  </conditionalFormatting>
  <conditionalFormatting sqref="B357:B369">
    <cfRule type="expression" dxfId="1297" priority="1504">
      <formula>AA359="error"</formula>
    </cfRule>
  </conditionalFormatting>
  <conditionalFormatting sqref="E369">
    <cfRule type="expression" dxfId="1296" priority="1503">
      <formula>AND(OR(C369="NO",C369="REV T",C369="DBL REV",C369="TPL REV",C369="QD REV"),E369&gt;12)</formula>
    </cfRule>
  </conditionalFormatting>
  <conditionalFormatting sqref="E340">
    <cfRule type="expression" dxfId="1295" priority="1500">
      <formula>AND(E335="EUC",E336&gt;48,E340="Y")</formula>
    </cfRule>
    <cfRule type="expression" dxfId="1294" priority="1501">
      <formula>AND(E335="RPX",E336&gt;48,E340="Y")</formula>
    </cfRule>
    <cfRule type="expression" dxfId="1293" priority="1502">
      <formula>AND(E335="SS",E336&gt;48,E340="Y")</formula>
    </cfRule>
  </conditionalFormatting>
  <conditionalFormatting sqref="I339">
    <cfRule type="expression" dxfId="1292" priority="1497">
      <formula>I339=0</formula>
    </cfRule>
    <cfRule type="expression" dxfId="1291" priority="1498">
      <formula>MOD(I339,2)=0</formula>
    </cfRule>
  </conditionalFormatting>
  <conditionalFormatting sqref="E363:E368">
    <cfRule type="expression" dxfId="1290" priority="1496">
      <formula>AND(OR(C363="NO",C363="REV T",C363="DBL REV",C363="TPL REV",C363="QD REV"),E363&gt;12)</formula>
    </cfRule>
  </conditionalFormatting>
  <conditionalFormatting sqref="C363:C369">
    <cfRule type="expression" dxfId="1289" priority="1495">
      <formula>AND(OR(C364="FST",C364="REV T",C364="DBL REV",C364="TPL REV",C364="QD REV"),C363="Field SPL")</formula>
    </cfRule>
  </conditionalFormatting>
  <conditionalFormatting sqref="I334">
    <cfRule type="expression" dxfId="1288" priority="1494">
      <formula>AND(E335="EUC",E336=432,I334&gt;204)</formula>
    </cfRule>
  </conditionalFormatting>
  <conditionalFormatting sqref="E336">
    <cfRule type="expression" dxfId="1287" priority="1490">
      <formula>(AND(E335="EUC",E336=432))</formula>
    </cfRule>
    <cfRule type="expression" dxfId="1286" priority="1491">
      <formula>AND(E335="SS",E336&gt;216)</formula>
    </cfRule>
    <cfRule type="expression" dxfId="1285" priority="1492">
      <formula>(AND(E335="EUC",E336&gt;216))</formula>
    </cfRule>
    <cfRule type="expression" dxfId="1284" priority="1493">
      <formula>AND(E335="RPX",E336&gt;216)</formula>
    </cfRule>
  </conditionalFormatting>
  <conditionalFormatting sqref="E345:E362">
    <cfRule type="expression" dxfId="1283" priority="1489">
      <formula>AND(OR(C345="NO",C345="REV T",C345="DBL REV",C345="TPL REV",C345="QD REV"),E345&gt;12)</formula>
    </cfRule>
  </conditionalFormatting>
  <conditionalFormatting sqref="C345:C362">
    <cfRule type="expression" dxfId="1282" priority="1488">
      <formula>AND(OR(C346="FST",C346="REV T",C346="DBL REV",C346="TPL REV",C346="QD REV"),C345="Field SPL")</formula>
    </cfRule>
  </conditionalFormatting>
  <conditionalFormatting sqref="L377">
    <cfRule type="cellIs" dxfId="1281" priority="1484" operator="lessThan">
      <formula>$L$7</formula>
    </cfRule>
  </conditionalFormatting>
  <conditionalFormatting sqref="I376">
    <cfRule type="cellIs" dxfId="1280" priority="1483" operator="lessThan">
      <formula>0</formula>
    </cfRule>
  </conditionalFormatting>
  <conditionalFormatting sqref="H386:I410">
    <cfRule type="cellIs" dxfId="1279" priority="1482" operator="lessThan">
      <formula>0</formula>
    </cfRule>
  </conditionalFormatting>
  <conditionalFormatting sqref="E410">
    <cfRule type="expression" dxfId="1278" priority="1481">
      <formula>AND(OR(C410="NO",C410="REV T",C410="DBL REV",C410="TPL REV",C410="QD REV"),E410&gt;12)</formula>
    </cfRule>
  </conditionalFormatting>
  <conditionalFormatting sqref="B398:B410">
    <cfRule type="expression" dxfId="1277" priority="1479">
      <formula>Z398="error"</formula>
    </cfRule>
  </conditionalFormatting>
  <conditionalFormatting sqref="B398:B410">
    <cfRule type="expression" dxfId="1276" priority="1478">
      <formula>AA400="error"</formula>
    </cfRule>
  </conditionalFormatting>
  <conditionalFormatting sqref="E410">
    <cfRule type="expression" dxfId="1275" priority="1477">
      <formula>AND(OR(C410="NO",C410="REV T",C410="DBL REV",C410="TPL REV",C410="QD REV"),E410&gt;12)</formula>
    </cfRule>
  </conditionalFormatting>
  <conditionalFormatting sqref="E381">
    <cfRule type="expression" dxfId="1274" priority="1474">
      <formula>AND(E376="EUC",E377&gt;48,E381="Y")</formula>
    </cfRule>
    <cfRule type="expression" dxfId="1273" priority="1475">
      <formula>AND(E376="RPX",E377&gt;48,E381="Y")</formula>
    </cfRule>
    <cfRule type="expression" dxfId="1272" priority="1476">
      <formula>AND(E376="SS",E377&gt;48,E381="Y")</formula>
    </cfRule>
  </conditionalFormatting>
  <conditionalFormatting sqref="I380">
    <cfRule type="expression" dxfId="1271" priority="1471">
      <formula>I380=0</formula>
    </cfRule>
    <cfRule type="expression" dxfId="1270" priority="1472">
      <formula>MOD(I380,2)=0</formula>
    </cfRule>
  </conditionalFormatting>
  <conditionalFormatting sqref="E404:E409">
    <cfRule type="expression" dxfId="1269" priority="1470">
      <formula>AND(OR(C404="NO",C404="REV T",C404="DBL REV",C404="TPL REV",C404="QD REV"),E404&gt;12)</formula>
    </cfRule>
  </conditionalFormatting>
  <conditionalFormatting sqref="C404:C410">
    <cfRule type="expression" dxfId="1268" priority="1469">
      <formula>AND(OR(C405="FST",C405="REV T",C405="DBL REV",C405="TPL REV",C405="QD REV"),C404="Field SPL")</formula>
    </cfRule>
  </conditionalFormatting>
  <conditionalFormatting sqref="I375">
    <cfRule type="expression" dxfId="1267" priority="1468">
      <formula>AND(E376="EUC",E377=432,I375&gt;204)</formula>
    </cfRule>
  </conditionalFormatting>
  <conditionalFormatting sqref="E377">
    <cfRule type="expression" dxfId="1266" priority="1464">
      <formula>(AND(E376="EUC",E377=432))</formula>
    </cfRule>
    <cfRule type="expression" dxfId="1265" priority="1465">
      <formula>AND(E376="SS",E377&gt;216)</formula>
    </cfRule>
    <cfRule type="expression" dxfId="1264" priority="1466">
      <formula>(AND(E376="EUC",E377&gt;216))</formula>
    </cfRule>
    <cfRule type="expression" dxfId="1263" priority="1467">
      <formula>AND(E376="RPX",E377&gt;216)</formula>
    </cfRule>
  </conditionalFormatting>
  <conditionalFormatting sqref="E386:E403">
    <cfRule type="expression" dxfId="1262" priority="1463">
      <formula>AND(OR(C386="NO",C386="REV T",C386="DBL REV",C386="TPL REV",C386="QD REV"),E386&gt;12)</formula>
    </cfRule>
  </conditionalFormatting>
  <conditionalFormatting sqref="C386:C403">
    <cfRule type="expression" dxfId="1261" priority="1462">
      <formula>AND(OR(C387="FST",C387="REV T",C387="DBL REV",C387="TPL REV",C387="QD REV"),C386="Field SPL")</formula>
    </cfRule>
  </conditionalFormatting>
  <conditionalFormatting sqref="L418">
    <cfRule type="cellIs" dxfId="1260" priority="1458" operator="lessThan">
      <formula>$L$7</formula>
    </cfRule>
  </conditionalFormatting>
  <conditionalFormatting sqref="I417">
    <cfRule type="cellIs" dxfId="1259" priority="1457" operator="lessThan">
      <formula>0</formula>
    </cfRule>
  </conditionalFormatting>
  <conditionalFormatting sqref="H427:I451">
    <cfRule type="cellIs" dxfId="1258" priority="1456" operator="lessThan">
      <formula>0</formula>
    </cfRule>
  </conditionalFormatting>
  <conditionalFormatting sqref="E451">
    <cfRule type="expression" dxfId="1257" priority="1455">
      <formula>AND(OR(C451="NO",C451="REV T",C451="DBL REV",C451="TPL REV",C451="QD REV"),E451&gt;12)</formula>
    </cfRule>
  </conditionalFormatting>
  <conditionalFormatting sqref="B439:B451">
    <cfRule type="expression" dxfId="1256" priority="1453">
      <formula>Z439="error"</formula>
    </cfRule>
  </conditionalFormatting>
  <conditionalFormatting sqref="B439:B451">
    <cfRule type="expression" dxfId="1255" priority="1452">
      <formula>AA441="error"</formula>
    </cfRule>
  </conditionalFormatting>
  <conditionalFormatting sqref="E451">
    <cfRule type="expression" dxfId="1254" priority="1451">
      <formula>AND(OR(C451="NO",C451="REV T",C451="DBL REV",C451="TPL REV",C451="QD REV"),E451&gt;12)</formula>
    </cfRule>
  </conditionalFormatting>
  <conditionalFormatting sqref="E422">
    <cfRule type="expression" dxfId="1253" priority="1448">
      <formula>AND(E417="EUC",E418&gt;48,E422="Y")</formula>
    </cfRule>
    <cfRule type="expression" dxfId="1252" priority="1449">
      <formula>AND(E417="RPX",E418&gt;48,E422="Y")</formula>
    </cfRule>
    <cfRule type="expression" dxfId="1251" priority="1450">
      <formula>AND(E417="SS",E418&gt;48,E422="Y")</formula>
    </cfRule>
  </conditionalFormatting>
  <conditionalFormatting sqref="I421">
    <cfRule type="expression" dxfId="1250" priority="1445">
      <formula>I421=0</formula>
    </cfRule>
    <cfRule type="expression" dxfId="1249" priority="1446">
      <formula>MOD(I421,2)=0</formula>
    </cfRule>
  </conditionalFormatting>
  <conditionalFormatting sqref="E445:E450">
    <cfRule type="expression" dxfId="1248" priority="1444">
      <formula>AND(OR(C445="NO",C445="REV T",C445="DBL REV",C445="TPL REV",C445="QD REV"),E445&gt;12)</formula>
    </cfRule>
  </conditionalFormatting>
  <conditionalFormatting sqref="C445:C451">
    <cfRule type="expression" dxfId="1247" priority="1443">
      <formula>AND(OR(C446="FST",C446="REV T",C446="DBL REV",C446="TPL REV",C446="QD REV"),C445="Field SPL")</formula>
    </cfRule>
  </conditionalFormatting>
  <conditionalFormatting sqref="I416">
    <cfRule type="expression" dxfId="1246" priority="1442">
      <formula>AND(E417="EUC",E418=432,I416&gt;204)</formula>
    </cfRule>
  </conditionalFormatting>
  <conditionalFormatting sqref="E418">
    <cfRule type="expression" dxfId="1245" priority="1438">
      <formula>(AND(E417="EUC",E418=432))</formula>
    </cfRule>
    <cfRule type="expression" dxfId="1244" priority="1439">
      <formula>AND(E417="SS",E418&gt;216)</formula>
    </cfRule>
    <cfRule type="expression" dxfId="1243" priority="1440">
      <formula>(AND(E417="EUC",E418&gt;216))</formula>
    </cfRule>
    <cfRule type="expression" dxfId="1242" priority="1441">
      <formula>AND(E417="RPX",E418&gt;216)</formula>
    </cfRule>
  </conditionalFormatting>
  <conditionalFormatting sqref="E427:E444">
    <cfRule type="expression" dxfId="1241" priority="1437">
      <formula>AND(OR(C427="NO",C427="REV T",C427="DBL REV",C427="TPL REV",C427="QD REV"),E427&gt;12)</formula>
    </cfRule>
  </conditionalFormatting>
  <conditionalFormatting sqref="C427:C444">
    <cfRule type="expression" dxfId="1240" priority="1436">
      <formula>AND(OR(C428="FST",C428="REV T",C428="DBL REV",C428="TPL REV",C428="QD REV"),C427="Field SPL")</formula>
    </cfRule>
  </conditionalFormatting>
  <conditionalFormatting sqref="L459">
    <cfRule type="cellIs" dxfId="1239" priority="1432" operator="lessThan">
      <formula>$L$7</formula>
    </cfRule>
  </conditionalFormatting>
  <conditionalFormatting sqref="I458">
    <cfRule type="cellIs" dxfId="1238" priority="1431" operator="lessThan">
      <formula>0</formula>
    </cfRule>
  </conditionalFormatting>
  <conditionalFormatting sqref="H468:I492">
    <cfRule type="cellIs" dxfId="1237" priority="1430" operator="lessThan">
      <formula>0</formula>
    </cfRule>
  </conditionalFormatting>
  <conditionalFormatting sqref="E492">
    <cfRule type="expression" dxfId="1236" priority="1429">
      <formula>AND(OR(C492="NO",C492="REV T",C492="DBL REV",C492="TPL REV",C492="QD REV"),E492&gt;12)</formula>
    </cfRule>
  </conditionalFormatting>
  <conditionalFormatting sqref="B480:B492">
    <cfRule type="expression" dxfId="1235" priority="1427">
      <formula>Z480="error"</formula>
    </cfRule>
  </conditionalFormatting>
  <conditionalFormatting sqref="B480:B492">
    <cfRule type="expression" dxfId="1234" priority="1426">
      <formula>AA482="error"</formula>
    </cfRule>
  </conditionalFormatting>
  <conditionalFormatting sqref="E492">
    <cfRule type="expression" dxfId="1233" priority="1425">
      <formula>AND(OR(C492="NO",C492="REV T",C492="DBL REV",C492="TPL REV",C492="QD REV"),E492&gt;12)</formula>
    </cfRule>
  </conditionalFormatting>
  <conditionalFormatting sqref="E463">
    <cfRule type="expression" dxfId="1232" priority="1422">
      <formula>AND(E458="EUC",E459&gt;48,E463="Y")</formula>
    </cfRule>
    <cfRule type="expression" dxfId="1231" priority="1423">
      <formula>AND(E458="RPX",E459&gt;48,E463="Y")</formula>
    </cfRule>
    <cfRule type="expression" dxfId="1230" priority="1424">
      <formula>AND(E458="SS",E459&gt;48,E463="Y")</formula>
    </cfRule>
  </conditionalFormatting>
  <conditionalFormatting sqref="I462">
    <cfRule type="expression" dxfId="1229" priority="1419">
      <formula>I462=0</formula>
    </cfRule>
    <cfRule type="expression" dxfId="1228" priority="1420">
      <formula>MOD(I462,2)=0</formula>
    </cfRule>
  </conditionalFormatting>
  <conditionalFormatting sqref="E486:E491">
    <cfRule type="expression" dxfId="1227" priority="1418">
      <formula>AND(OR(C486="NO",C486="REV T",C486="DBL REV",C486="TPL REV",C486="QD REV"),E486&gt;12)</formula>
    </cfRule>
  </conditionalFormatting>
  <conditionalFormatting sqref="C486:C492">
    <cfRule type="expression" dxfId="1226" priority="1417">
      <formula>AND(OR(C487="FST",C487="REV T",C487="DBL REV",C487="TPL REV",C487="QD REV"),C486="Field SPL")</formula>
    </cfRule>
  </conditionalFormatting>
  <conditionalFormatting sqref="I457">
    <cfRule type="expression" dxfId="1225" priority="1416">
      <formula>AND(E458="EUC",E459=432,I457&gt;204)</formula>
    </cfRule>
  </conditionalFormatting>
  <conditionalFormatting sqref="E459">
    <cfRule type="expression" dxfId="1224" priority="1412">
      <formula>(AND(E458="EUC",E459=432))</formula>
    </cfRule>
    <cfRule type="expression" dxfId="1223" priority="1413">
      <formula>AND(E458="SS",E459&gt;216)</formula>
    </cfRule>
    <cfRule type="expression" dxfId="1222" priority="1414">
      <formula>(AND(E458="EUC",E459&gt;216))</formula>
    </cfRule>
    <cfRule type="expression" dxfId="1221" priority="1415">
      <formula>AND(E458="RPX",E459&gt;216)</formula>
    </cfRule>
  </conditionalFormatting>
  <conditionalFormatting sqref="E469:E485">
    <cfRule type="expression" dxfId="1220" priority="1411">
      <formula>AND(OR(C469="NO",C469="REV T",C469="DBL REV",C469="TPL REV",C469="QD REV"),E469&gt;12)</formula>
    </cfRule>
  </conditionalFormatting>
  <conditionalFormatting sqref="C469:C485">
    <cfRule type="expression" dxfId="1219" priority="1410">
      <formula>AND(OR(C470="FST",C470="REV T",C470="DBL REV",C470="TPL REV",C470="QD REV"),C469="Field SPL")</formula>
    </cfRule>
  </conditionalFormatting>
  <conditionalFormatting sqref="L500">
    <cfRule type="cellIs" dxfId="1218" priority="1406" operator="lessThan">
      <formula>$L$7</formula>
    </cfRule>
  </conditionalFormatting>
  <conditionalFormatting sqref="I499">
    <cfRule type="cellIs" dxfId="1217" priority="1405" operator="lessThan">
      <formula>0</formula>
    </cfRule>
  </conditionalFormatting>
  <conditionalFormatting sqref="H509:I533">
    <cfRule type="cellIs" dxfId="1216" priority="1404" operator="lessThan">
      <formula>0</formula>
    </cfRule>
  </conditionalFormatting>
  <conditionalFormatting sqref="E533">
    <cfRule type="expression" dxfId="1215" priority="1403">
      <formula>AND(OR(C533="NO",C533="REV T",C533="DBL REV",C533="TPL REV",C533="QD REV"),E533&gt;12)</formula>
    </cfRule>
  </conditionalFormatting>
  <conditionalFormatting sqref="B521:B533">
    <cfRule type="expression" dxfId="1214" priority="1401">
      <formula>Z521="error"</formula>
    </cfRule>
  </conditionalFormatting>
  <conditionalFormatting sqref="B521:B533">
    <cfRule type="expression" dxfId="1213" priority="1400">
      <formula>AA523="error"</formula>
    </cfRule>
  </conditionalFormatting>
  <conditionalFormatting sqref="E533">
    <cfRule type="expression" dxfId="1212" priority="1399">
      <formula>AND(OR(C533="NO",C533="REV T",C533="DBL REV",C533="TPL REV",C533="QD REV"),E533&gt;12)</formula>
    </cfRule>
  </conditionalFormatting>
  <conditionalFormatting sqref="E504">
    <cfRule type="expression" dxfId="1211" priority="1396">
      <formula>AND(E499="EUC",E500&gt;48,E504="Y")</formula>
    </cfRule>
    <cfRule type="expression" dxfId="1210" priority="1397">
      <formula>AND(E499="RPX",E500&gt;48,E504="Y")</formula>
    </cfRule>
    <cfRule type="expression" dxfId="1209" priority="1398">
      <formula>AND(E499="SS",E500&gt;48,E504="Y")</formula>
    </cfRule>
  </conditionalFormatting>
  <conditionalFormatting sqref="I503">
    <cfRule type="expression" dxfId="1208" priority="1393">
      <formula>I503=0</formula>
    </cfRule>
    <cfRule type="expression" dxfId="1207" priority="1394">
      <formula>MOD(I503,2)=0</formula>
    </cfRule>
  </conditionalFormatting>
  <conditionalFormatting sqref="E527:E532">
    <cfRule type="expression" dxfId="1206" priority="1392">
      <formula>AND(OR(C527="NO",C527="REV T",C527="DBL REV",C527="TPL REV",C527="QD REV"),E527&gt;12)</formula>
    </cfRule>
  </conditionalFormatting>
  <conditionalFormatting sqref="C527:C533">
    <cfRule type="expression" dxfId="1205" priority="1391">
      <formula>AND(OR(C528="FST",C528="REV T",C528="DBL REV",C528="TPL REV",C528="QD REV"),C527="Field SPL")</formula>
    </cfRule>
  </conditionalFormatting>
  <conditionalFormatting sqref="I498">
    <cfRule type="expression" dxfId="1204" priority="1390">
      <formula>AND(E499="EUC",E500=432,I498&gt;204)</formula>
    </cfRule>
  </conditionalFormatting>
  <conditionalFormatting sqref="E500">
    <cfRule type="expression" dxfId="1203" priority="1386">
      <formula>(AND(E499="EUC",E500=432))</formula>
    </cfRule>
    <cfRule type="expression" dxfId="1202" priority="1387">
      <formula>AND(E499="SS",E500&gt;216)</formula>
    </cfRule>
    <cfRule type="expression" dxfId="1201" priority="1388">
      <formula>(AND(E499="EUC",E500&gt;216))</formula>
    </cfRule>
    <cfRule type="expression" dxfId="1200" priority="1389">
      <formula>AND(E499="RPX",E500&gt;216)</formula>
    </cfRule>
  </conditionalFormatting>
  <conditionalFormatting sqref="E509:E526">
    <cfRule type="expression" dxfId="1199" priority="1385">
      <formula>AND(OR(C509="NO",C509="REV T",C509="DBL REV",C509="TPL REV",C509="QD REV"),E509&gt;12)</formula>
    </cfRule>
  </conditionalFormatting>
  <conditionalFormatting sqref="C509:C526">
    <cfRule type="expression" dxfId="1198" priority="1384">
      <formula>AND(OR(C510="FST",C510="REV T",C510="DBL REV",C510="TPL REV",C510="QD REV"),C509="Field SPL")</formula>
    </cfRule>
  </conditionalFormatting>
  <conditionalFormatting sqref="L541">
    <cfRule type="cellIs" dxfId="1197" priority="1380" operator="lessThan">
      <formula>$L$7</formula>
    </cfRule>
  </conditionalFormatting>
  <conditionalFormatting sqref="I540">
    <cfRule type="cellIs" dxfId="1196" priority="1379" operator="lessThan">
      <formula>0</formula>
    </cfRule>
  </conditionalFormatting>
  <conditionalFormatting sqref="H550:I574">
    <cfRule type="cellIs" dxfId="1195" priority="1378" operator="lessThan">
      <formula>0</formula>
    </cfRule>
  </conditionalFormatting>
  <conditionalFormatting sqref="E574">
    <cfRule type="expression" dxfId="1194" priority="1377">
      <formula>AND(OR(C574="NO",C574="REV T",C574="DBL REV",C574="TPL REV",C574="QD REV"),E574&gt;12)</formula>
    </cfRule>
  </conditionalFormatting>
  <conditionalFormatting sqref="B562:B574">
    <cfRule type="expression" dxfId="1193" priority="1375">
      <formula>Z562="error"</formula>
    </cfRule>
  </conditionalFormatting>
  <conditionalFormatting sqref="B562:B574">
    <cfRule type="expression" dxfId="1192" priority="1374">
      <formula>AA564="error"</formula>
    </cfRule>
  </conditionalFormatting>
  <conditionalFormatting sqref="E574">
    <cfRule type="expression" dxfId="1191" priority="1373">
      <formula>AND(OR(C574="NO",C574="REV T",C574="DBL REV",C574="TPL REV",C574="QD REV"),E574&gt;12)</formula>
    </cfRule>
  </conditionalFormatting>
  <conditionalFormatting sqref="E545">
    <cfRule type="expression" dxfId="1190" priority="1370">
      <formula>AND(E540="EUC",E541&gt;48,E545="Y")</formula>
    </cfRule>
    <cfRule type="expression" dxfId="1189" priority="1371">
      <formula>AND(E540="RPX",E541&gt;48,E545="Y")</formula>
    </cfRule>
    <cfRule type="expression" dxfId="1188" priority="1372">
      <formula>AND(E540="SS",E541&gt;48,E545="Y")</formula>
    </cfRule>
  </conditionalFormatting>
  <conditionalFormatting sqref="I544">
    <cfRule type="expression" dxfId="1187" priority="1367">
      <formula>I544=0</formula>
    </cfRule>
    <cfRule type="expression" dxfId="1186" priority="1368">
      <formula>MOD(I544,2)=0</formula>
    </cfRule>
  </conditionalFormatting>
  <conditionalFormatting sqref="E570:E573">
    <cfRule type="expression" dxfId="1185" priority="1366">
      <formula>AND(OR(C570="NO",C570="REV T",C570="DBL REV",C570="TPL REV",C570="QD REV"),E570&gt;12)</formula>
    </cfRule>
  </conditionalFormatting>
  <conditionalFormatting sqref="C570:C574">
    <cfRule type="expression" dxfId="1184" priority="1365">
      <formula>AND(OR(C571="FST",C571="REV T",C571="DBL REV",C571="TPL REV",C571="QD REV"),C570="Field SPL")</formula>
    </cfRule>
  </conditionalFormatting>
  <conditionalFormatting sqref="I539">
    <cfRule type="expression" dxfId="1183" priority="1364">
      <formula>AND(E540="EUC",E541=432,I539&gt;204)</formula>
    </cfRule>
  </conditionalFormatting>
  <conditionalFormatting sqref="E541">
    <cfRule type="expression" dxfId="1182" priority="1360">
      <formula>(AND(E540="EUC",E541=432))</formula>
    </cfRule>
    <cfRule type="expression" dxfId="1181" priority="1361">
      <formula>AND(E540="SS",E541&gt;216)</formula>
    </cfRule>
    <cfRule type="expression" dxfId="1180" priority="1362">
      <formula>(AND(E540="EUC",E541&gt;216))</formula>
    </cfRule>
    <cfRule type="expression" dxfId="1179" priority="1363">
      <formula>AND(E540="RPX",E541&gt;216)</formula>
    </cfRule>
  </conditionalFormatting>
  <conditionalFormatting sqref="E550:E563">
    <cfRule type="expression" dxfId="1178" priority="1359">
      <formula>AND(OR(C550="NO",C550="REV T",C550="DBL REV",C550="TPL REV",C550="QD REV"),E550&gt;12)</formula>
    </cfRule>
  </conditionalFormatting>
  <conditionalFormatting sqref="C550:C563">
    <cfRule type="expression" dxfId="1177" priority="1358">
      <formula>AND(OR(C551="FST",C551="REV T",C551="DBL REV",C551="TPL REV",C551="QD REV"),C550="Field SPL")</formula>
    </cfRule>
  </conditionalFormatting>
  <conditionalFormatting sqref="L582">
    <cfRule type="cellIs" dxfId="1176" priority="1354" operator="lessThan">
      <formula>$L$7</formula>
    </cfRule>
  </conditionalFormatting>
  <conditionalFormatting sqref="I581">
    <cfRule type="cellIs" dxfId="1175" priority="1353" operator="lessThan">
      <formula>0</formula>
    </cfRule>
  </conditionalFormatting>
  <conditionalFormatting sqref="H591:I615">
    <cfRule type="cellIs" dxfId="1174" priority="1352" operator="lessThan">
      <formula>0</formula>
    </cfRule>
  </conditionalFormatting>
  <conditionalFormatting sqref="E615">
    <cfRule type="expression" dxfId="1173" priority="1351">
      <formula>AND(OR(C615="NO",C615="REV T",C615="DBL REV",C615="TPL REV",C615="QD REV"),E615&gt;12)</formula>
    </cfRule>
  </conditionalFormatting>
  <conditionalFormatting sqref="B603:B615">
    <cfRule type="expression" dxfId="1172" priority="1349">
      <formula>Z603="error"</formula>
    </cfRule>
  </conditionalFormatting>
  <conditionalFormatting sqref="B603:B615">
    <cfRule type="expression" dxfId="1171" priority="1348">
      <formula>AA605="error"</formula>
    </cfRule>
  </conditionalFormatting>
  <conditionalFormatting sqref="E615">
    <cfRule type="expression" dxfId="1170" priority="1347">
      <formula>AND(OR(C615="NO",C615="REV T",C615="DBL REV",C615="TPL REV",C615="QD REV"),E615&gt;12)</formula>
    </cfRule>
  </conditionalFormatting>
  <conditionalFormatting sqref="E586">
    <cfRule type="expression" dxfId="1169" priority="1344">
      <formula>AND(E581="EUC",E582&gt;48,E586="Y")</formula>
    </cfRule>
    <cfRule type="expression" dxfId="1168" priority="1345">
      <formula>AND(E581="RPX",E582&gt;48,E586="Y")</formula>
    </cfRule>
    <cfRule type="expression" dxfId="1167" priority="1346">
      <formula>AND(E581="SS",E582&gt;48,E586="Y")</formula>
    </cfRule>
  </conditionalFormatting>
  <conditionalFormatting sqref="I585">
    <cfRule type="expression" dxfId="1166" priority="1341">
      <formula>I585=0</formula>
    </cfRule>
    <cfRule type="expression" dxfId="1165" priority="1342">
      <formula>MOD(I585,2)=0</formula>
    </cfRule>
  </conditionalFormatting>
  <conditionalFormatting sqref="E609:E614">
    <cfRule type="expression" dxfId="1164" priority="1340">
      <formula>AND(OR(C609="NO",C609="REV T",C609="DBL REV",C609="TPL REV",C609="QD REV"),E609&gt;12)</formula>
    </cfRule>
  </conditionalFormatting>
  <conditionalFormatting sqref="C609:C615">
    <cfRule type="expression" dxfId="1163" priority="1339">
      <formula>AND(OR(C610="FST",C610="REV T",C610="DBL REV",C610="TPL REV",C610="QD REV"),C609="Field SPL")</formula>
    </cfRule>
  </conditionalFormatting>
  <conditionalFormatting sqref="I580">
    <cfRule type="expression" dxfId="1162" priority="1338">
      <formula>AND(E581="EUC",E582=432,I580&gt;204)</formula>
    </cfRule>
  </conditionalFormatting>
  <conditionalFormatting sqref="E582">
    <cfRule type="expression" dxfId="1161" priority="1334">
      <formula>(AND(E581="EUC",E582=432))</formula>
    </cfRule>
    <cfRule type="expression" dxfId="1160" priority="1335">
      <formula>AND(E581="SS",E582&gt;216)</formula>
    </cfRule>
    <cfRule type="expression" dxfId="1159" priority="1336">
      <formula>(AND(E581="EUC",E582&gt;216))</formula>
    </cfRule>
    <cfRule type="expression" dxfId="1158" priority="1337">
      <formula>AND(E581="RPX",E582&gt;216)</formula>
    </cfRule>
  </conditionalFormatting>
  <conditionalFormatting sqref="E591:E608">
    <cfRule type="expression" dxfId="1157" priority="1333">
      <formula>AND(OR(C591="NO",C591="REV T",C591="DBL REV",C591="TPL REV",C591="QD REV"),E591&gt;12)</formula>
    </cfRule>
  </conditionalFormatting>
  <conditionalFormatting sqref="C591:C608">
    <cfRule type="expression" dxfId="1156" priority="1332">
      <formula>AND(OR(C592="FST",C592="REV T",C592="DBL REV",C592="TPL REV",C592="QD REV"),C591="Field SPL")</formula>
    </cfRule>
  </conditionalFormatting>
  <conditionalFormatting sqref="L623">
    <cfRule type="cellIs" dxfId="1155" priority="1328" operator="lessThan">
      <formula>$L$7</formula>
    </cfRule>
  </conditionalFormatting>
  <conditionalFormatting sqref="I622">
    <cfRule type="cellIs" dxfId="1154" priority="1327" operator="lessThan">
      <formula>0</formula>
    </cfRule>
  </conditionalFormatting>
  <conditionalFormatting sqref="H632:I656">
    <cfRule type="cellIs" dxfId="1153" priority="1326" operator="lessThan">
      <formula>0</formula>
    </cfRule>
  </conditionalFormatting>
  <conditionalFormatting sqref="E656">
    <cfRule type="expression" dxfId="1152" priority="1325">
      <formula>AND(OR(C656="NO",C656="REV T",C656="DBL REV",C656="TPL REV",C656="QD REV"),E656&gt;12)</formula>
    </cfRule>
  </conditionalFormatting>
  <conditionalFormatting sqref="B644:B656">
    <cfRule type="expression" dxfId="1151" priority="1323">
      <formula>Z644="error"</formula>
    </cfRule>
  </conditionalFormatting>
  <conditionalFormatting sqref="B644:B656">
    <cfRule type="expression" dxfId="1150" priority="1322">
      <formula>AA646="error"</formula>
    </cfRule>
  </conditionalFormatting>
  <conditionalFormatting sqref="E656">
    <cfRule type="expression" dxfId="1149" priority="1321">
      <formula>AND(OR(C656="NO",C656="REV T",C656="DBL REV",C656="TPL REV",C656="QD REV"),E656&gt;12)</formula>
    </cfRule>
  </conditionalFormatting>
  <conditionalFormatting sqref="E627">
    <cfRule type="expression" dxfId="1148" priority="1318">
      <formula>AND(E622="EUC",E623&gt;48,E627="Y")</formula>
    </cfRule>
    <cfRule type="expression" dxfId="1147" priority="1319">
      <formula>AND(E622="RPX",E623&gt;48,E627="Y")</formula>
    </cfRule>
    <cfRule type="expression" dxfId="1146" priority="1320">
      <formula>AND(E622="SS",E623&gt;48,E627="Y")</formula>
    </cfRule>
  </conditionalFormatting>
  <conditionalFormatting sqref="I626">
    <cfRule type="expression" dxfId="1145" priority="1315">
      <formula>I626=0</formula>
    </cfRule>
    <cfRule type="expression" dxfId="1144" priority="1316">
      <formula>MOD(I626,2)=0</formula>
    </cfRule>
  </conditionalFormatting>
  <conditionalFormatting sqref="E650:E655">
    <cfRule type="expression" dxfId="1143" priority="1314">
      <formula>AND(OR(C650="NO",C650="REV T",C650="DBL REV",C650="TPL REV",C650="QD REV"),E650&gt;12)</formula>
    </cfRule>
  </conditionalFormatting>
  <conditionalFormatting sqref="C650:C656">
    <cfRule type="expression" dxfId="1142" priority="1313">
      <formula>AND(OR(C651="FST",C651="REV T",C651="DBL REV",C651="TPL REV",C651="QD REV"),C650="Field SPL")</formula>
    </cfRule>
  </conditionalFormatting>
  <conditionalFormatting sqref="I621">
    <cfRule type="expression" dxfId="1141" priority="1312">
      <formula>AND(E622="EUC",E623=432,I621&gt;204)</formula>
    </cfRule>
  </conditionalFormatting>
  <conditionalFormatting sqref="E623">
    <cfRule type="expression" dxfId="1140" priority="1308">
      <formula>(AND(E622="EUC",E623=432))</formula>
    </cfRule>
    <cfRule type="expression" dxfId="1139" priority="1309">
      <formula>AND(E622="SS",E623&gt;216)</formula>
    </cfRule>
    <cfRule type="expression" dxfId="1138" priority="1310">
      <formula>(AND(E622="EUC",E623&gt;216))</formula>
    </cfRule>
    <cfRule type="expression" dxfId="1137" priority="1311">
      <formula>AND(E622="RPX",E623&gt;216)</formula>
    </cfRule>
  </conditionalFormatting>
  <conditionalFormatting sqref="E635:E649">
    <cfRule type="expression" dxfId="1136" priority="1307">
      <formula>AND(OR(C635="NO",C635="REV T",C635="DBL REV",C635="TPL REV",C635="QD REV"),E635&gt;12)</formula>
    </cfRule>
  </conditionalFormatting>
  <conditionalFormatting sqref="C635:C649">
    <cfRule type="expression" dxfId="1135" priority="1306">
      <formula>AND(OR(C636="FST",C636="REV T",C636="DBL REV",C636="TPL REV",C636="QD REV"),C635="Field SPL")</formula>
    </cfRule>
  </conditionalFormatting>
  <conditionalFormatting sqref="L664">
    <cfRule type="cellIs" dxfId="1134" priority="1302" operator="lessThan">
      <formula>$L$7</formula>
    </cfRule>
  </conditionalFormatting>
  <conditionalFormatting sqref="I663">
    <cfRule type="cellIs" dxfId="1133" priority="1301" operator="lessThan">
      <formula>0</formula>
    </cfRule>
  </conditionalFormatting>
  <conditionalFormatting sqref="H673:I697">
    <cfRule type="cellIs" dxfId="1132" priority="1300" operator="lessThan">
      <formula>0</formula>
    </cfRule>
  </conditionalFormatting>
  <conditionalFormatting sqref="E697">
    <cfRule type="expression" dxfId="1131" priority="1299">
      <formula>AND(OR(C697="NO",C697="REV T",C697="DBL REV",C697="TPL REV",C697="QD REV"),E697&gt;12)</formula>
    </cfRule>
  </conditionalFormatting>
  <conditionalFormatting sqref="B685:B697">
    <cfRule type="expression" dxfId="1130" priority="1297">
      <formula>Z685="error"</formula>
    </cfRule>
  </conditionalFormatting>
  <conditionalFormatting sqref="B685:B697">
    <cfRule type="expression" dxfId="1129" priority="1296">
      <formula>AA687="error"</formula>
    </cfRule>
  </conditionalFormatting>
  <conditionalFormatting sqref="E697">
    <cfRule type="expression" dxfId="1128" priority="1295">
      <formula>AND(OR(C697="NO",C697="REV T",C697="DBL REV",C697="TPL REV",C697="QD REV"),E697&gt;12)</formula>
    </cfRule>
  </conditionalFormatting>
  <conditionalFormatting sqref="E668">
    <cfRule type="expression" dxfId="1127" priority="1292">
      <formula>AND(E663="EUC",E664&gt;48,E668="Y")</formula>
    </cfRule>
    <cfRule type="expression" dxfId="1126" priority="1293">
      <formula>AND(E663="RPX",E664&gt;48,E668="Y")</formula>
    </cfRule>
    <cfRule type="expression" dxfId="1125" priority="1294">
      <formula>AND(E663="SS",E664&gt;48,E668="Y")</formula>
    </cfRule>
  </conditionalFormatting>
  <conditionalFormatting sqref="I667">
    <cfRule type="expression" dxfId="1124" priority="1289">
      <formula>I667=0</formula>
    </cfRule>
    <cfRule type="expression" dxfId="1123" priority="1290">
      <formula>MOD(I667,2)=0</formula>
    </cfRule>
  </conditionalFormatting>
  <conditionalFormatting sqref="E691:E696">
    <cfRule type="expression" dxfId="1122" priority="1288">
      <formula>AND(OR(C691="NO",C691="REV T",C691="DBL REV",C691="TPL REV",C691="QD REV"),E691&gt;12)</formula>
    </cfRule>
  </conditionalFormatting>
  <conditionalFormatting sqref="C691:C697">
    <cfRule type="expression" dxfId="1121" priority="1287">
      <formula>AND(OR(C692="FST",C692="REV T",C692="DBL REV",C692="TPL REV",C692="QD REV"),C691="Field SPL")</formula>
    </cfRule>
  </conditionalFormatting>
  <conditionalFormatting sqref="I662">
    <cfRule type="expression" dxfId="1120" priority="1286">
      <formula>AND(E663="EUC",E664=432,I662&gt;204)</formula>
    </cfRule>
  </conditionalFormatting>
  <conditionalFormatting sqref="E664">
    <cfRule type="expression" dxfId="1119" priority="1282">
      <formula>(AND(E663="EUC",E664=432))</formula>
    </cfRule>
    <cfRule type="expression" dxfId="1118" priority="1283">
      <formula>AND(E663="SS",E664&gt;216)</formula>
    </cfRule>
    <cfRule type="expression" dxfId="1117" priority="1284">
      <formula>(AND(E663="EUC",E664&gt;216))</formula>
    </cfRule>
    <cfRule type="expression" dxfId="1116" priority="1285">
      <formula>AND(E663="RPX",E664&gt;216)</formula>
    </cfRule>
  </conditionalFormatting>
  <conditionalFormatting sqref="E676:E690">
    <cfRule type="expression" dxfId="1115" priority="1281">
      <formula>AND(OR(C676="NO",C676="REV T",C676="DBL REV",C676="TPL REV",C676="QD REV"),E676&gt;12)</formula>
    </cfRule>
  </conditionalFormatting>
  <conditionalFormatting sqref="C676:C690">
    <cfRule type="expression" dxfId="1114" priority="1280">
      <formula>AND(OR(C677="FST",C677="REV T",C677="DBL REV",C677="TPL REV",C677="QD REV"),C676="Field SPL")</formula>
    </cfRule>
  </conditionalFormatting>
  <conditionalFormatting sqref="L705">
    <cfRule type="cellIs" dxfId="1113" priority="1276" operator="lessThan">
      <formula>$L$7</formula>
    </cfRule>
  </conditionalFormatting>
  <conditionalFormatting sqref="I704">
    <cfRule type="cellIs" dxfId="1112" priority="1275" operator="lessThan">
      <formula>0</formula>
    </cfRule>
  </conditionalFormatting>
  <conditionalFormatting sqref="H714:I738">
    <cfRule type="cellIs" dxfId="1111" priority="1274" operator="lessThan">
      <formula>0</formula>
    </cfRule>
  </conditionalFormatting>
  <conditionalFormatting sqref="E738">
    <cfRule type="expression" dxfId="1110" priority="1273">
      <formula>AND(OR(C738="NO",C738="REV T",C738="DBL REV",C738="TPL REV",C738="QD REV"),E738&gt;12)</formula>
    </cfRule>
  </conditionalFormatting>
  <conditionalFormatting sqref="B726:B738">
    <cfRule type="expression" dxfId="1109" priority="1271">
      <formula>Z726="error"</formula>
    </cfRule>
  </conditionalFormatting>
  <conditionalFormatting sqref="B726:B738">
    <cfRule type="expression" dxfId="1108" priority="1270">
      <formula>AA728="error"</formula>
    </cfRule>
  </conditionalFormatting>
  <conditionalFormatting sqref="E738">
    <cfRule type="expression" dxfId="1107" priority="1269">
      <formula>AND(OR(C738="NO",C738="REV T",C738="DBL REV",C738="TPL REV",C738="QD REV"),E738&gt;12)</formula>
    </cfRule>
  </conditionalFormatting>
  <conditionalFormatting sqref="E709">
    <cfRule type="expression" dxfId="1106" priority="1266">
      <formula>AND(E704="EUC",E705&gt;48,E709="Y")</formula>
    </cfRule>
    <cfRule type="expression" dxfId="1105" priority="1267">
      <formula>AND(E704="RPX",E705&gt;48,E709="Y")</formula>
    </cfRule>
    <cfRule type="expression" dxfId="1104" priority="1268">
      <formula>AND(E704="SS",E705&gt;48,E709="Y")</formula>
    </cfRule>
  </conditionalFormatting>
  <conditionalFormatting sqref="I708">
    <cfRule type="expression" dxfId="1103" priority="1263">
      <formula>I708=0</formula>
    </cfRule>
    <cfRule type="expression" dxfId="1102" priority="1264">
      <formula>MOD(I708,2)=0</formula>
    </cfRule>
  </conditionalFormatting>
  <conditionalFormatting sqref="E732:E737">
    <cfRule type="expression" dxfId="1101" priority="1262">
      <formula>AND(OR(C732="NO",C732="REV T",C732="DBL REV",C732="TPL REV",C732="QD REV"),E732&gt;12)</formula>
    </cfRule>
  </conditionalFormatting>
  <conditionalFormatting sqref="C732:C738">
    <cfRule type="expression" dxfId="1100" priority="1261">
      <formula>AND(OR(C733="FST",C733="REV T",C733="DBL REV",C733="TPL REV",C733="QD REV"),C732="Field SPL")</formula>
    </cfRule>
  </conditionalFormatting>
  <conditionalFormatting sqref="I703">
    <cfRule type="expression" dxfId="1099" priority="1260">
      <formula>AND(E704="EUC",E705=432,I703&gt;204)</formula>
    </cfRule>
  </conditionalFormatting>
  <conditionalFormatting sqref="E705">
    <cfRule type="expression" dxfId="1098" priority="1256">
      <formula>(AND(E704="EUC",E705=432))</formula>
    </cfRule>
    <cfRule type="expression" dxfId="1097" priority="1257">
      <formula>AND(E704="SS",E705&gt;216)</formula>
    </cfRule>
    <cfRule type="expression" dxfId="1096" priority="1258">
      <formula>(AND(E704="EUC",E705&gt;216))</formula>
    </cfRule>
    <cfRule type="expression" dxfId="1095" priority="1259">
      <formula>AND(E704="RPX",E705&gt;216)</formula>
    </cfRule>
  </conditionalFormatting>
  <conditionalFormatting sqref="E724:E731">
    <cfRule type="expression" dxfId="1094" priority="1255">
      <formula>AND(OR(C724="NO",C724="REV T",C724="DBL REV",C724="TPL REV",C724="QD REV"),E724&gt;12)</formula>
    </cfRule>
  </conditionalFormatting>
  <conditionalFormatting sqref="C724:C731">
    <cfRule type="expression" dxfId="1093" priority="1254">
      <formula>AND(OR(C725="FST",C725="REV T",C725="DBL REV",C725="TPL REV",C725="QD REV"),C724="Field SPL")</formula>
    </cfRule>
  </conditionalFormatting>
  <conditionalFormatting sqref="L746">
    <cfRule type="cellIs" dxfId="1092" priority="1250" operator="lessThan">
      <formula>$L$7</formula>
    </cfRule>
  </conditionalFormatting>
  <conditionalFormatting sqref="I745">
    <cfRule type="cellIs" dxfId="1091" priority="1249" operator="lessThan">
      <formula>0</formula>
    </cfRule>
  </conditionalFormatting>
  <conditionalFormatting sqref="H755:I779">
    <cfRule type="cellIs" dxfId="1090" priority="1248" operator="lessThan">
      <formula>0</formula>
    </cfRule>
  </conditionalFormatting>
  <conditionalFormatting sqref="E779">
    <cfRule type="expression" dxfId="1089" priority="1247">
      <formula>AND(OR(C779="NO",C779="REV T",C779="DBL REV",C779="TPL REV",C779="QD REV"),E779&gt;12)</formula>
    </cfRule>
  </conditionalFormatting>
  <conditionalFormatting sqref="B767:B779">
    <cfRule type="expression" dxfId="1088" priority="1245">
      <formula>Z767="error"</formula>
    </cfRule>
  </conditionalFormatting>
  <conditionalFormatting sqref="B767:B779">
    <cfRule type="expression" dxfId="1087" priority="1244">
      <formula>AA769="error"</formula>
    </cfRule>
  </conditionalFormatting>
  <conditionalFormatting sqref="E779">
    <cfRule type="expression" dxfId="1086" priority="1243">
      <formula>AND(OR(C779="NO",C779="REV T",C779="DBL REV",C779="TPL REV",C779="QD REV"),E779&gt;12)</formula>
    </cfRule>
  </conditionalFormatting>
  <conditionalFormatting sqref="E750">
    <cfRule type="expression" dxfId="1085" priority="1240">
      <formula>AND(E745="EUC",E746&gt;48,E750="Y")</formula>
    </cfRule>
    <cfRule type="expression" dxfId="1084" priority="1241">
      <formula>AND(E745="RPX",E746&gt;48,E750="Y")</formula>
    </cfRule>
    <cfRule type="expression" dxfId="1083" priority="1242">
      <formula>AND(E745="SS",E746&gt;48,E750="Y")</formula>
    </cfRule>
  </conditionalFormatting>
  <conditionalFormatting sqref="I749">
    <cfRule type="expression" dxfId="1082" priority="1237">
      <formula>I749=0</formula>
    </cfRule>
    <cfRule type="expression" dxfId="1081" priority="1238">
      <formula>MOD(I749,2)=0</formula>
    </cfRule>
  </conditionalFormatting>
  <conditionalFormatting sqref="E773:E778">
    <cfRule type="expression" dxfId="1080" priority="1236">
      <formula>AND(OR(C773="NO",C773="REV T",C773="DBL REV",C773="TPL REV",C773="QD REV"),E773&gt;12)</formula>
    </cfRule>
  </conditionalFormatting>
  <conditionalFormatting sqref="C773:C779">
    <cfRule type="expression" dxfId="1079" priority="1235">
      <formula>AND(OR(C774="FST",C774="REV T",C774="DBL REV",C774="TPL REV",C774="QD REV"),C773="Field SPL")</formula>
    </cfRule>
  </conditionalFormatting>
  <conditionalFormatting sqref="I744">
    <cfRule type="expression" dxfId="1078" priority="1234">
      <formula>AND(E745="EUC",E746=432,I744&gt;204)</formula>
    </cfRule>
  </conditionalFormatting>
  <conditionalFormatting sqref="E746">
    <cfRule type="expression" dxfId="1077" priority="1230">
      <formula>(AND(E745="EUC",E746=432))</formula>
    </cfRule>
    <cfRule type="expression" dxfId="1076" priority="1231">
      <formula>AND(E745="SS",E746&gt;216)</formula>
    </cfRule>
    <cfRule type="expression" dxfId="1075" priority="1232">
      <formula>(AND(E745="EUC",E746&gt;216))</formula>
    </cfRule>
    <cfRule type="expression" dxfId="1074" priority="1233">
      <formula>AND(E745="RPX",E746&gt;216)</formula>
    </cfRule>
  </conditionalFormatting>
  <conditionalFormatting sqref="E755:E772">
    <cfRule type="expression" dxfId="1073" priority="1229">
      <formula>AND(OR(C755="NO",C755="REV T",C755="DBL REV",C755="TPL REV",C755="QD REV"),E755&gt;12)</formula>
    </cfRule>
  </conditionalFormatting>
  <conditionalFormatting sqref="C755:C772">
    <cfRule type="expression" dxfId="1072" priority="1228">
      <formula>AND(OR(C756="FST",C756="REV T",C756="DBL REV",C756="TPL REV",C756="QD REV"),C755="Field SPL")</formula>
    </cfRule>
  </conditionalFormatting>
  <conditionalFormatting sqref="L787">
    <cfRule type="cellIs" dxfId="1071" priority="1224" operator="lessThan">
      <formula>$L$7</formula>
    </cfRule>
  </conditionalFormatting>
  <conditionalFormatting sqref="I786">
    <cfRule type="cellIs" dxfId="1070" priority="1223" operator="lessThan">
      <formula>0</formula>
    </cfRule>
  </conditionalFormatting>
  <conditionalFormatting sqref="H796:I820">
    <cfRule type="cellIs" dxfId="1069" priority="1222" operator="lessThan">
      <formula>0</formula>
    </cfRule>
  </conditionalFormatting>
  <conditionalFormatting sqref="E820">
    <cfRule type="expression" dxfId="1068" priority="1221">
      <formula>AND(OR(C820="NO",C820="REV T",C820="DBL REV",C820="TPL REV",C820="QD REV"),E820&gt;12)</formula>
    </cfRule>
  </conditionalFormatting>
  <conditionalFormatting sqref="B808:B820">
    <cfRule type="expression" dxfId="1067" priority="1219">
      <formula>Z808="error"</formula>
    </cfRule>
  </conditionalFormatting>
  <conditionalFormatting sqref="B808:B820">
    <cfRule type="expression" dxfId="1066" priority="1218">
      <formula>AA810="error"</formula>
    </cfRule>
  </conditionalFormatting>
  <conditionalFormatting sqref="E820">
    <cfRule type="expression" dxfId="1065" priority="1217">
      <formula>AND(OR(C820="NO",C820="REV T",C820="DBL REV",C820="TPL REV",C820="QD REV"),E820&gt;12)</formula>
    </cfRule>
  </conditionalFormatting>
  <conditionalFormatting sqref="E791">
    <cfRule type="expression" dxfId="1064" priority="1214">
      <formula>AND(E786="EUC",E787&gt;48,E791="Y")</formula>
    </cfRule>
    <cfRule type="expression" dxfId="1063" priority="1215">
      <formula>AND(E786="RPX",E787&gt;48,E791="Y")</formula>
    </cfRule>
    <cfRule type="expression" dxfId="1062" priority="1216">
      <formula>AND(E786="SS",E787&gt;48,E791="Y")</formula>
    </cfRule>
  </conditionalFormatting>
  <conditionalFormatting sqref="I790">
    <cfRule type="expression" dxfId="1061" priority="1211">
      <formula>I790=0</formula>
    </cfRule>
    <cfRule type="expression" dxfId="1060" priority="1212">
      <formula>MOD(I790,2)=0</formula>
    </cfRule>
  </conditionalFormatting>
  <conditionalFormatting sqref="E814:E819">
    <cfRule type="expression" dxfId="1059" priority="1210">
      <formula>AND(OR(C814="NO",C814="REV T",C814="DBL REV",C814="TPL REV",C814="QD REV"),E814&gt;12)</formula>
    </cfRule>
  </conditionalFormatting>
  <conditionalFormatting sqref="C814:C820">
    <cfRule type="expression" dxfId="1058" priority="1209">
      <formula>AND(OR(C815="FST",C815="REV T",C815="DBL REV",C815="TPL REV",C815="QD REV"),C814="Field SPL")</formula>
    </cfRule>
  </conditionalFormatting>
  <conditionalFormatting sqref="I785">
    <cfRule type="expression" dxfId="1057" priority="1208">
      <formula>AND(E786="EUC",E787=432,I785&gt;204)</formula>
    </cfRule>
  </conditionalFormatting>
  <conditionalFormatting sqref="E787">
    <cfRule type="expression" dxfId="1056" priority="1204">
      <formula>(AND(E786="EUC",E787=432))</formula>
    </cfRule>
    <cfRule type="expression" dxfId="1055" priority="1205">
      <formula>AND(E786="SS",E787&gt;216)</formula>
    </cfRule>
    <cfRule type="expression" dxfId="1054" priority="1206">
      <formula>(AND(E786="EUC",E787&gt;216))</formula>
    </cfRule>
    <cfRule type="expression" dxfId="1053" priority="1207">
      <formula>AND(E786="RPX",E787&gt;216)</formula>
    </cfRule>
  </conditionalFormatting>
  <conditionalFormatting sqref="E806:E813">
    <cfRule type="expression" dxfId="1052" priority="1203">
      <formula>AND(OR(C806="NO",C806="REV T",C806="DBL REV",C806="TPL REV",C806="QD REV"),E806&gt;12)</formula>
    </cfRule>
  </conditionalFormatting>
  <conditionalFormatting sqref="C806:C813">
    <cfRule type="expression" dxfId="1051" priority="1202">
      <formula>AND(OR(C807="FST",C807="REV T",C807="DBL REV",C807="TPL REV",C807="QD REV"),C806="Field SPL")</formula>
    </cfRule>
  </conditionalFormatting>
  <conditionalFormatting sqref="L828">
    <cfRule type="cellIs" dxfId="1050" priority="1198" operator="lessThan">
      <formula>$L$7</formula>
    </cfRule>
  </conditionalFormatting>
  <conditionalFormatting sqref="I827">
    <cfRule type="cellIs" dxfId="1049" priority="1197" operator="lessThan">
      <formula>0</formula>
    </cfRule>
  </conditionalFormatting>
  <conditionalFormatting sqref="H837:I861">
    <cfRule type="cellIs" dxfId="1048" priority="1196" operator="lessThan">
      <formula>0</formula>
    </cfRule>
  </conditionalFormatting>
  <conditionalFormatting sqref="E861">
    <cfRule type="expression" dxfId="1047" priority="1195">
      <formula>AND(OR(C861="NO",C861="REV T",C861="DBL REV",C861="TPL REV",C861="QD REV"),E861&gt;12)</formula>
    </cfRule>
  </conditionalFormatting>
  <conditionalFormatting sqref="B849:B861">
    <cfRule type="expression" dxfId="1046" priority="1193">
      <formula>Z849="error"</formula>
    </cfRule>
  </conditionalFormatting>
  <conditionalFormatting sqref="B849:B861">
    <cfRule type="expression" dxfId="1045" priority="1192">
      <formula>AA851="error"</formula>
    </cfRule>
  </conditionalFormatting>
  <conditionalFormatting sqref="E861">
    <cfRule type="expression" dxfId="1044" priority="1191">
      <formula>AND(OR(C861="NO",C861="REV T",C861="DBL REV",C861="TPL REV",C861="QD REV"),E861&gt;12)</formula>
    </cfRule>
  </conditionalFormatting>
  <conditionalFormatting sqref="E832">
    <cfRule type="expression" dxfId="1043" priority="1188">
      <formula>AND(E827="EUC",E828&gt;48,E832="Y")</formula>
    </cfRule>
    <cfRule type="expression" dxfId="1042" priority="1189">
      <formula>AND(E827="RPX",E828&gt;48,E832="Y")</formula>
    </cfRule>
    <cfRule type="expression" dxfId="1041" priority="1190">
      <formula>AND(E827="SS",E828&gt;48,E832="Y")</formula>
    </cfRule>
  </conditionalFormatting>
  <conditionalFormatting sqref="I831">
    <cfRule type="expression" dxfId="1040" priority="1185">
      <formula>I831=0</formula>
    </cfRule>
    <cfRule type="expression" dxfId="1039" priority="1186">
      <formula>MOD(I831,2)=0</formula>
    </cfRule>
  </conditionalFormatting>
  <conditionalFormatting sqref="E855:E860">
    <cfRule type="expression" dxfId="1038" priority="1184">
      <formula>AND(OR(C855="NO",C855="REV T",C855="DBL REV",C855="TPL REV",C855="QD REV"),E855&gt;12)</formula>
    </cfRule>
  </conditionalFormatting>
  <conditionalFormatting sqref="C855:C861">
    <cfRule type="expression" dxfId="1037" priority="1183">
      <formula>AND(OR(C856="FST",C856="REV T",C856="DBL REV",C856="TPL REV",C856="QD REV"),C855="Field SPL")</formula>
    </cfRule>
  </conditionalFormatting>
  <conditionalFormatting sqref="I826">
    <cfRule type="expression" dxfId="1036" priority="1182">
      <formula>AND(E827="EUC",E828=432,I826&gt;204)</formula>
    </cfRule>
  </conditionalFormatting>
  <conditionalFormatting sqref="E828">
    <cfRule type="expression" dxfId="1035" priority="1178">
      <formula>(AND(E827="EUC",E828=432))</formula>
    </cfRule>
    <cfRule type="expression" dxfId="1034" priority="1179">
      <formula>AND(E827="SS",E828&gt;216)</formula>
    </cfRule>
    <cfRule type="expression" dxfId="1033" priority="1180">
      <formula>(AND(E827="EUC",E828&gt;216))</formula>
    </cfRule>
    <cfRule type="expression" dxfId="1032" priority="1181">
      <formula>AND(E827="RPX",E828&gt;216)</formula>
    </cfRule>
  </conditionalFormatting>
  <conditionalFormatting sqref="E837:E854">
    <cfRule type="expression" dxfId="1031" priority="1177">
      <formula>AND(OR(C837="NO",C837="REV T",C837="DBL REV",C837="TPL REV",C837="QD REV"),E837&gt;12)</formula>
    </cfRule>
  </conditionalFormatting>
  <conditionalFormatting sqref="C837:C854">
    <cfRule type="expression" dxfId="1030" priority="1176">
      <formula>AND(OR(C838="FST",C838="REV T",C838="DBL REV",C838="TPL REV",C838="QD REV"),C837="Field SPL")</formula>
    </cfRule>
  </conditionalFormatting>
  <conditionalFormatting sqref="L869">
    <cfRule type="cellIs" dxfId="1029" priority="1172" operator="lessThan">
      <formula>$L$7</formula>
    </cfRule>
  </conditionalFormatting>
  <conditionalFormatting sqref="I868">
    <cfRule type="cellIs" dxfId="1028" priority="1171" operator="lessThan">
      <formula>0</formula>
    </cfRule>
  </conditionalFormatting>
  <conditionalFormatting sqref="H878:I902">
    <cfRule type="cellIs" dxfId="1027" priority="1170" operator="lessThan">
      <formula>0</formula>
    </cfRule>
  </conditionalFormatting>
  <conditionalFormatting sqref="E902">
    <cfRule type="expression" dxfId="1026" priority="1169">
      <formula>AND(OR(C902="NO",C902="REV T",C902="DBL REV",C902="TPL REV",C902="QD REV"),E902&gt;12)</formula>
    </cfRule>
  </conditionalFormatting>
  <conditionalFormatting sqref="B890:B902">
    <cfRule type="expression" dxfId="1025" priority="1167">
      <formula>Z890="error"</formula>
    </cfRule>
  </conditionalFormatting>
  <conditionalFormatting sqref="B890:B902">
    <cfRule type="expression" dxfId="1024" priority="1166">
      <formula>AA892="error"</formula>
    </cfRule>
  </conditionalFormatting>
  <conditionalFormatting sqref="E902">
    <cfRule type="expression" dxfId="1023" priority="1165">
      <formula>AND(OR(C902="NO",C902="REV T",C902="DBL REV",C902="TPL REV",C902="QD REV"),E902&gt;12)</formula>
    </cfRule>
  </conditionalFormatting>
  <conditionalFormatting sqref="E873">
    <cfRule type="expression" dxfId="1022" priority="1162">
      <formula>AND(E868="EUC",E869&gt;48,E873="Y")</formula>
    </cfRule>
    <cfRule type="expression" dxfId="1021" priority="1163">
      <formula>AND(E868="RPX",E869&gt;48,E873="Y")</formula>
    </cfRule>
    <cfRule type="expression" dxfId="1020" priority="1164">
      <formula>AND(E868="SS",E869&gt;48,E873="Y")</formula>
    </cfRule>
  </conditionalFormatting>
  <conditionalFormatting sqref="I872">
    <cfRule type="expression" dxfId="1019" priority="1159">
      <formula>I872=0</formula>
    </cfRule>
    <cfRule type="expression" dxfId="1018" priority="1160">
      <formula>MOD(I872,2)=0</formula>
    </cfRule>
  </conditionalFormatting>
  <conditionalFormatting sqref="E896:E901">
    <cfRule type="expression" dxfId="1017" priority="1158">
      <formula>AND(OR(C896="NO",C896="REV T",C896="DBL REV",C896="TPL REV",C896="QD REV"),E896&gt;12)</formula>
    </cfRule>
  </conditionalFormatting>
  <conditionalFormatting sqref="C896:C902">
    <cfRule type="expression" dxfId="1016" priority="1157">
      <formula>AND(OR(C897="FST",C897="REV T",C897="DBL REV",C897="TPL REV",C897="QD REV"),C896="Field SPL")</formula>
    </cfRule>
  </conditionalFormatting>
  <conditionalFormatting sqref="I867">
    <cfRule type="expression" dxfId="1015" priority="1156">
      <formula>AND(E868="EUC",E869=432,I867&gt;204)</formula>
    </cfRule>
  </conditionalFormatting>
  <conditionalFormatting sqref="E869">
    <cfRule type="expression" dxfId="1014" priority="1152">
      <formula>(AND(E868="EUC",E869=432))</formula>
    </cfRule>
    <cfRule type="expression" dxfId="1013" priority="1153">
      <formula>AND(E868="SS",E869&gt;216)</formula>
    </cfRule>
    <cfRule type="expression" dxfId="1012" priority="1154">
      <formula>(AND(E868="EUC",E869&gt;216))</formula>
    </cfRule>
    <cfRule type="expression" dxfId="1011" priority="1155">
      <formula>AND(E868="RPX",E869&gt;216)</formula>
    </cfRule>
  </conditionalFormatting>
  <conditionalFormatting sqref="E878:E895">
    <cfRule type="expression" dxfId="1010" priority="1151">
      <formula>AND(OR(C878="NO",C878="REV T",C878="DBL REV",C878="TPL REV",C878="QD REV"),E878&gt;12)</formula>
    </cfRule>
  </conditionalFormatting>
  <conditionalFormatting sqref="C878:C895">
    <cfRule type="expression" dxfId="1009" priority="1150">
      <formula>AND(OR(C879="FST",C879="REV T",C879="DBL REV",C879="TPL REV",C879="QD REV"),C878="Field SPL")</formula>
    </cfRule>
  </conditionalFormatting>
  <conditionalFormatting sqref="L910">
    <cfRule type="cellIs" dxfId="1008" priority="1146" operator="lessThan">
      <formula>$L$7</formula>
    </cfRule>
  </conditionalFormatting>
  <conditionalFormatting sqref="I909">
    <cfRule type="cellIs" dxfId="1007" priority="1145" operator="lessThan">
      <formula>0</formula>
    </cfRule>
  </conditionalFormatting>
  <conditionalFormatting sqref="H919:I943">
    <cfRule type="cellIs" dxfId="1006" priority="1144" operator="lessThan">
      <formula>0</formula>
    </cfRule>
  </conditionalFormatting>
  <conditionalFormatting sqref="E943">
    <cfRule type="expression" dxfId="1005" priority="1143">
      <formula>AND(OR(C943="NO",C943="REV T",C943="DBL REV",C943="TPL REV",C943="QD REV"),E943&gt;12)</formula>
    </cfRule>
  </conditionalFormatting>
  <conditionalFormatting sqref="B931:B943">
    <cfRule type="expression" dxfId="1004" priority="1141">
      <formula>Z931="error"</formula>
    </cfRule>
  </conditionalFormatting>
  <conditionalFormatting sqref="B931:B943">
    <cfRule type="expression" dxfId="1003" priority="1140">
      <formula>AA933="error"</formula>
    </cfRule>
  </conditionalFormatting>
  <conditionalFormatting sqref="E943">
    <cfRule type="expression" dxfId="1002" priority="1139">
      <formula>AND(OR(C943="NO",C943="REV T",C943="DBL REV",C943="TPL REV",C943="QD REV"),E943&gt;12)</formula>
    </cfRule>
  </conditionalFormatting>
  <conditionalFormatting sqref="E914">
    <cfRule type="expression" dxfId="1001" priority="1136">
      <formula>AND(E909="EUC",E910&gt;48,E914="Y")</formula>
    </cfRule>
    <cfRule type="expression" dxfId="1000" priority="1137">
      <formula>AND(E909="RPX",E910&gt;48,E914="Y")</formula>
    </cfRule>
    <cfRule type="expression" dxfId="999" priority="1138">
      <formula>AND(E909="SS",E910&gt;48,E914="Y")</formula>
    </cfRule>
  </conditionalFormatting>
  <conditionalFormatting sqref="I913">
    <cfRule type="expression" dxfId="998" priority="1133">
      <formula>I913=0</formula>
    </cfRule>
    <cfRule type="expression" dxfId="997" priority="1134">
      <formula>MOD(I913,2)=0</formula>
    </cfRule>
  </conditionalFormatting>
  <conditionalFormatting sqref="E937:E942">
    <cfRule type="expression" dxfId="996" priority="1132">
      <formula>AND(OR(C937="NO",C937="REV T",C937="DBL REV",C937="TPL REV",C937="QD REV"),E937&gt;12)</formula>
    </cfRule>
  </conditionalFormatting>
  <conditionalFormatting sqref="C937:C943">
    <cfRule type="expression" dxfId="995" priority="1131">
      <formula>AND(OR(C938="FST",C938="REV T",C938="DBL REV",C938="TPL REV",C938="QD REV"),C937="Field SPL")</formula>
    </cfRule>
  </conditionalFormatting>
  <conditionalFormatting sqref="I908">
    <cfRule type="expression" dxfId="994" priority="1130">
      <formula>AND(E909="EUC",E910=432,I908&gt;204)</formula>
    </cfRule>
  </conditionalFormatting>
  <conditionalFormatting sqref="E910">
    <cfRule type="expression" dxfId="993" priority="1126">
      <formula>(AND(E909="EUC",E910=432))</formula>
    </cfRule>
    <cfRule type="expression" dxfId="992" priority="1127">
      <formula>AND(E909="SS",E910&gt;216)</formula>
    </cfRule>
    <cfRule type="expression" dxfId="991" priority="1128">
      <formula>(AND(E909="EUC",E910&gt;216))</formula>
    </cfRule>
    <cfRule type="expression" dxfId="990" priority="1129">
      <formula>AND(E909="RPX",E910&gt;216)</formula>
    </cfRule>
  </conditionalFormatting>
  <conditionalFormatting sqref="E919:E936">
    <cfRule type="expression" dxfId="989" priority="1125">
      <formula>AND(OR(C919="NO",C919="REV T",C919="DBL REV",C919="TPL REV",C919="QD REV"),E919&gt;12)</formula>
    </cfRule>
  </conditionalFormatting>
  <conditionalFormatting sqref="C919:C936">
    <cfRule type="expression" dxfId="988" priority="1124">
      <formula>AND(OR(C920="FST",C920="REV T",C920="DBL REV",C920="TPL REV",C920="QD REV"),C919="Field SPL")</formula>
    </cfRule>
  </conditionalFormatting>
  <conditionalFormatting sqref="L951">
    <cfRule type="cellIs" dxfId="987" priority="1120" operator="lessThan">
      <formula>$L$7</formula>
    </cfRule>
  </conditionalFormatting>
  <conditionalFormatting sqref="I950">
    <cfRule type="cellIs" dxfId="986" priority="1119" operator="lessThan">
      <formula>0</formula>
    </cfRule>
  </conditionalFormatting>
  <conditionalFormatting sqref="H960:I984">
    <cfRule type="cellIs" dxfId="985" priority="1118" operator="lessThan">
      <formula>0</formula>
    </cfRule>
  </conditionalFormatting>
  <conditionalFormatting sqref="E984">
    <cfRule type="expression" dxfId="984" priority="1117">
      <formula>AND(OR(C984="NO",C984="REV T",C984="DBL REV",C984="TPL REV",C984="QD REV"),E984&gt;12)</formula>
    </cfRule>
  </conditionalFormatting>
  <conditionalFormatting sqref="B972:B984">
    <cfRule type="expression" dxfId="983" priority="1115">
      <formula>Z972="error"</formula>
    </cfRule>
  </conditionalFormatting>
  <conditionalFormatting sqref="B972:B984">
    <cfRule type="expression" dxfId="982" priority="1114">
      <formula>AA974="error"</formula>
    </cfRule>
  </conditionalFormatting>
  <conditionalFormatting sqref="E984">
    <cfRule type="expression" dxfId="981" priority="1113">
      <formula>AND(OR(C984="NO",C984="REV T",C984="DBL REV",C984="TPL REV",C984="QD REV"),E984&gt;12)</formula>
    </cfRule>
  </conditionalFormatting>
  <conditionalFormatting sqref="E955">
    <cfRule type="expression" dxfId="980" priority="1110">
      <formula>AND(E950="EUC",E951&gt;48,E955="Y")</formula>
    </cfRule>
    <cfRule type="expression" dxfId="979" priority="1111">
      <formula>AND(E950="RPX",E951&gt;48,E955="Y")</formula>
    </cfRule>
    <cfRule type="expression" dxfId="978" priority="1112">
      <formula>AND(E950="SS",E951&gt;48,E955="Y")</formula>
    </cfRule>
  </conditionalFormatting>
  <conditionalFormatting sqref="I954">
    <cfRule type="expression" dxfId="977" priority="1107">
      <formula>I954=0</formula>
    </cfRule>
    <cfRule type="expression" dxfId="976" priority="1108">
      <formula>MOD(I954,2)=0</formula>
    </cfRule>
  </conditionalFormatting>
  <conditionalFormatting sqref="E978:E983">
    <cfRule type="expression" dxfId="975" priority="1106">
      <formula>AND(OR(C978="NO",C978="REV T",C978="DBL REV",C978="TPL REV",C978="QD REV"),E978&gt;12)</formula>
    </cfRule>
  </conditionalFormatting>
  <conditionalFormatting sqref="C978:C984">
    <cfRule type="expression" dxfId="974" priority="1105">
      <formula>AND(OR(C979="FST",C979="REV T",C979="DBL REV",C979="TPL REV",C979="QD REV"),C978="Field SPL")</formula>
    </cfRule>
  </conditionalFormatting>
  <conditionalFormatting sqref="I949">
    <cfRule type="expression" dxfId="973" priority="1104">
      <formula>AND(E950="EUC",E951=432,I949&gt;204)</formula>
    </cfRule>
  </conditionalFormatting>
  <conditionalFormatting sqref="E951">
    <cfRule type="expression" dxfId="972" priority="1100">
      <formula>(AND(E950="EUC",E951=432))</formula>
    </cfRule>
    <cfRule type="expression" dxfId="971" priority="1101">
      <formula>AND(E950="SS",E951&gt;216)</formula>
    </cfRule>
    <cfRule type="expression" dxfId="970" priority="1102">
      <formula>(AND(E950="EUC",E951&gt;216))</formula>
    </cfRule>
    <cfRule type="expression" dxfId="969" priority="1103">
      <formula>AND(E950="RPX",E951&gt;216)</formula>
    </cfRule>
  </conditionalFormatting>
  <conditionalFormatting sqref="E960:E977">
    <cfRule type="expression" dxfId="968" priority="1099">
      <formula>AND(OR(C960="NO",C960="REV T",C960="DBL REV",C960="TPL REV",C960="QD REV"),E960&gt;12)</formula>
    </cfRule>
  </conditionalFormatting>
  <conditionalFormatting sqref="C960:C977">
    <cfRule type="expression" dxfId="967" priority="1098">
      <formula>AND(OR(C961="FST",C961="REV T",C961="DBL REV",C961="TPL REV",C961="QD REV"),C960="Field SPL")</formula>
    </cfRule>
  </conditionalFormatting>
  <conditionalFormatting sqref="L992">
    <cfRule type="cellIs" dxfId="966" priority="1094" operator="lessThan">
      <formula>$L$7</formula>
    </cfRule>
  </conditionalFormatting>
  <conditionalFormatting sqref="I991">
    <cfRule type="cellIs" dxfId="965" priority="1093" operator="lessThan">
      <formula>0</formula>
    </cfRule>
  </conditionalFormatting>
  <conditionalFormatting sqref="H1001:I1025">
    <cfRule type="cellIs" dxfId="964" priority="1092" operator="lessThan">
      <formula>0</formula>
    </cfRule>
  </conditionalFormatting>
  <conditionalFormatting sqref="E1025">
    <cfRule type="expression" dxfId="963" priority="1091">
      <formula>AND(OR(C1025="NO",C1025="REV T",C1025="DBL REV",C1025="TPL REV",C1025="QD REV"),E1025&gt;12)</formula>
    </cfRule>
  </conditionalFormatting>
  <conditionalFormatting sqref="B1013:B1025">
    <cfRule type="expression" dxfId="962" priority="1089">
      <formula>Z1013="error"</formula>
    </cfRule>
  </conditionalFormatting>
  <conditionalFormatting sqref="B1013:B1025">
    <cfRule type="expression" dxfId="961" priority="1088">
      <formula>AA1015="error"</formula>
    </cfRule>
  </conditionalFormatting>
  <conditionalFormatting sqref="E1025">
    <cfRule type="expression" dxfId="960" priority="1087">
      <formula>AND(OR(C1025="NO",C1025="REV T",C1025="DBL REV",C1025="TPL REV",C1025="QD REV"),E1025&gt;12)</formula>
    </cfRule>
  </conditionalFormatting>
  <conditionalFormatting sqref="E996">
    <cfRule type="expression" dxfId="959" priority="1084">
      <formula>AND(E991="EUC",E992&gt;48,E996="Y")</formula>
    </cfRule>
    <cfRule type="expression" dxfId="958" priority="1085">
      <formula>AND(E991="RPX",E992&gt;48,E996="Y")</formula>
    </cfRule>
    <cfRule type="expression" dxfId="957" priority="1086">
      <formula>AND(E991="SS",E992&gt;48,E996="Y")</formula>
    </cfRule>
  </conditionalFormatting>
  <conditionalFormatting sqref="I995">
    <cfRule type="expression" dxfId="956" priority="1081">
      <formula>I995=0</formula>
    </cfRule>
    <cfRule type="expression" dxfId="955" priority="1082">
      <formula>MOD(I995,2)=0</formula>
    </cfRule>
  </conditionalFormatting>
  <conditionalFormatting sqref="E1019:E1024">
    <cfRule type="expression" dxfId="954" priority="1080">
      <formula>AND(OR(C1019="NO",C1019="REV T",C1019="DBL REV",C1019="TPL REV",C1019="QD REV"),E1019&gt;12)</formula>
    </cfRule>
  </conditionalFormatting>
  <conditionalFormatting sqref="C1019:C1025">
    <cfRule type="expression" dxfId="953" priority="1079">
      <formula>AND(OR(C1020="FST",C1020="REV T",C1020="DBL REV",C1020="TPL REV",C1020="QD REV"),C1019="Field SPL")</formula>
    </cfRule>
  </conditionalFormatting>
  <conditionalFormatting sqref="I990">
    <cfRule type="expression" dxfId="952" priority="1078">
      <formula>AND(E991="EUC",E992=432,I990&gt;204)</formula>
    </cfRule>
  </conditionalFormatting>
  <conditionalFormatting sqref="E992">
    <cfRule type="expression" dxfId="951" priority="1074">
      <formula>(AND(E991="EUC",E992=432))</formula>
    </cfRule>
    <cfRule type="expression" dxfId="950" priority="1075">
      <formula>AND(E991="SS",E992&gt;216)</formula>
    </cfRule>
    <cfRule type="expression" dxfId="949" priority="1076">
      <formula>(AND(E991="EUC",E992&gt;216))</formula>
    </cfRule>
    <cfRule type="expression" dxfId="948" priority="1077">
      <formula>AND(E991="RPX",E992&gt;216)</formula>
    </cfRule>
  </conditionalFormatting>
  <conditionalFormatting sqref="E1001:E1018">
    <cfRule type="expression" dxfId="947" priority="1073">
      <formula>AND(OR(C1001="NO",C1001="REV T",C1001="DBL REV",C1001="TPL REV",C1001="QD REV"),E1001&gt;12)</formula>
    </cfRule>
  </conditionalFormatting>
  <conditionalFormatting sqref="C1001:C1018">
    <cfRule type="expression" dxfId="946" priority="1072">
      <formula>AND(OR(C1002="FST",C1002="REV T",C1002="DBL REV",C1002="TPL REV",C1002="QD REV"),C1001="Field SPL")</formula>
    </cfRule>
  </conditionalFormatting>
  <conditionalFormatting sqref="L1033">
    <cfRule type="cellIs" dxfId="945" priority="1068" operator="lessThan">
      <formula>$L$7</formula>
    </cfRule>
  </conditionalFormatting>
  <conditionalFormatting sqref="I1032">
    <cfRule type="cellIs" dxfId="944" priority="1067" operator="lessThan">
      <formula>0</formula>
    </cfRule>
  </conditionalFormatting>
  <conditionalFormatting sqref="H1042:I1066">
    <cfRule type="cellIs" dxfId="943" priority="1066" operator="lessThan">
      <formula>0</formula>
    </cfRule>
  </conditionalFormatting>
  <conditionalFormatting sqref="E1066">
    <cfRule type="expression" dxfId="942" priority="1065">
      <formula>AND(OR(C1066="NO",C1066="REV T",C1066="DBL REV",C1066="TPL REV",C1066="QD REV"),E1066&gt;12)</formula>
    </cfRule>
  </conditionalFormatting>
  <conditionalFormatting sqref="B1054:B1066">
    <cfRule type="expression" dxfId="941" priority="1063">
      <formula>Z1054="error"</formula>
    </cfRule>
  </conditionalFormatting>
  <conditionalFormatting sqref="B1054:B1066">
    <cfRule type="expression" dxfId="940" priority="1062">
      <formula>AA1056="error"</formula>
    </cfRule>
  </conditionalFormatting>
  <conditionalFormatting sqref="E1066">
    <cfRule type="expression" dxfId="939" priority="1061">
      <formula>AND(OR(C1066="NO",C1066="REV T",C1066="DBL REV",C1066="TPL REV",C1066="QD REV"),E1066&gt;12)</formula>
    </cfRule>
  </conditionalFormatting>
  <conditionalFormatting sqref="E1037">
    <cfRule type="expression" dxfId="938" priority="1058">
      <formula>AND(E1032="EUC",E1033&gt;48,E1037="Y")</formula>
    </cfRule>
    <cfRule type="expression" dxfId="937" priority="1059">
      <formula>AND(E1032="RPX",E1033&gt;48,E1037="Y")</formula>
    </cfRule>
    <cfRule type="expression" dxfId="936" priority="1060">
      <formula>AND(E1032="SS",E1033&gt;48,E1037="Y")</formula>
    </cfRule>
  </conditionalFormatting>
  <conditionalFormatting sqref="I1036">
    <cfRule type="expression" dxfId="935" priority="1055">
      <formula>I1036=0</formula>
    </cfRule>
    <cfRule type="expression" dxfId="934" priority="1056">
      <formula>MOD(I1036,2)=0</formula>
    </cfRule>
  </conditionalFormatting>
  <conditionalFormatting sqref="E1060:E1065">
    <cfRule type="expression" dxfId="933" priority="1054">
      <formula>AND(OR(C1060="NO",C1060="REV T",C1060="DBL REV",C1060="TPL REV",C1060="QD REV"),E1060&gt;12)</formula>
    </cfRule>
  </conditionalFormatting>
  <conditionalFormatting sqref="C1060:C1066">
    <cfRule type="expression" dxfId="932" priority="1053">
      <formula>AND(OR(C1061="FST",C1061="REV T",C1061="DBL REV",C1061="TPL REV",C1061="QD REV"),C1060="Field SPL")</formula>
    </cfRule>
  </conditionalFormatting>
  <conditionalFormatting sqref="I1031">
    <cfRule type="expression" dxfId="931" priority="1052">
      <formula>AND(E1032="EUC",E1033=432,I1031&gt;204)</formula>
    </cfRule>
  </conditionalFormatting>
  <conditionalFormatting sqref="E1033">
    <cfRule type="expression" dxfId="930" priority="1048">
      <formula>(AND(E1032="EUC",E1033=432))</formula>
    </cfRule>
    <cfRule type="expression" dxfId="929" priority="1049">
      <formula>AND(E1032="SS",E1033&gt;216)</formula>
    </cfRule>
    <cfRule type="expression" dxfId="928" priority="1050">
      <formula>(AND(E1032="EUC",E1033&gt;216))</formula>
    </cfRule>
    <cfRule type="expression" dxfId="927" priority="1051">
      <formula>AND(E1032="RPX",E1033&gt;216)</formula>
    </cfRule>
  </conditionalFormatting>
  <conditionalFormatting sqref="E1042:E1059">
    <cfRule type="expression" dxfId="926" priority="1047">
      <formula>AND(OR(C1042="NO",C1042="REV T",C1042="DBL REV",C1042="TPL REV",C1042="QD REV"),E1042&gt;12)</formula>
    </cfRule>
  </conditionalFormatting>
  <conditionalFormatting sqref="C1042:C1059">
    <cfRule type="expression" dxfId="925" priority="1046">
      <formula>AND(OR(C1043="FST",C1043="REV T",C1043="DBL REV",C1043="TPL REV",C1043="QD REV"),C1042="Field SPL")</formula>
    </cfRule>
  </conditionalFormatting>
  <conditionalFormatting sqref="L1074">
    <cfRule type="cellIs" dxfId="924" priority="1042" operator="lessThan">
      <formula>$L$7</formula>
    </cfRule>
  </conditionalFormatting>
  <conditionalFormatting sqref="I1073">
    <cfRule type="cellIs" dxfId="923" priority="1041" operator="lessThan">
      <formula>0</formula>
    </cfRule>
  </conditionalFormatting>
  <conditionalFormatting sqref="H1083:I1107">
    <cfRule type="cellIs" dxfId="922" priority="1040" operator="lessThan">
      <formula>0</formula>
    </cfRule>
  </conditionalFormatting>
  <conditionalFormatting sqref="E1107">
    <cfRule type="expression" dxfId="921" priority="1039">
      <formula>AND(OR(C1107="NO",C1107="REV T",C1107="DBL REV",C1107="TPL REV",C1107="QD REV"),E1107&gt;12)</formula>
    </cfRule>
  </conditionalFormatting>
  <conditionalFormatting sqref="B1095:B1107">
    <cfRule type="expression" dxfId="920" priority="1037">
      <formula>Z1095="error"</formula>
    </cfRule>
  </conditionalFormatting>
  <conditionalFormatting sqref="B1095:B1107">
    <cfRule type="expression" dxfId="919" priority="1036">
      <formula>AA1097="error"</formula>
    </cfRule>
  </conditionalFormatting>
  <conditionalFormatting sqref="E1107">
    <cfRule type="expression" dxfId="918" priority="1035">
      <formula>AND(OR(C1107="NO",C1107="REV T",C1107="DBL REV",C1107="TPL REV",C1107="QD REV"),E1107&gt;12)</formula>
    </cfRule>
  </conditionalFormatting>
  <conditionalFormatting sqref="E1078">
    <cfRule type="expression" dxfId="917" priority="1032">
      <formula>AND(E1073="EUC",E1074&gt;48,E1078="Y")</formula>
    </cfRule>
    <cfRule type="expression" dxfId="916" priority="1033">
      <formula>AND(E1073="RPX",E1074&gt;48,E1078="Y")</formula>
    </cfRule>
    <cfRule type="expression" dxfId="915" priority="1034">
      <formula>AND(E1073="SS",E1074&gt;48,E1078="Y")</formula>
    </cfRule>
  </conditionalFormatting>
  <conditionalFormatting sqref="I1077">
    <cfRule type="expression" dxfId="914" priority="1029">
      <formula>I1077=0</formula>
    </cfRule>
    <cfRule type="expression" dxfId="913" priority="1030">
      <formula>MOD(I1077,2)=0</formula>
    </cfRule>
  </conditionalFormatting>
  <conditionalFormatting sqref="E1101:E1106">
    <cfRule type="expression" dxfId="912" priority="1028">
      <formula>AND(OR(C1101="NO",C1101="REV T",C1101="DBL REV",C1101="TPL REV",C1101="QD REV"),E1101&gt;12)</formula>
    </cfRule>
  </conditionalFormatting>
  <conditionalFormatting sqref="C1101:C1107">
    <cfRule type="expression" dxfId="911" priority="1027">
      <formula>AND(OR(C1102="FST",C1102="REV T",C1102="DBL REV",C1102="TPL REV",C1102="QD REV"),C1101="Field SPL")</formula>
    </cfRule>
  </conditionalFormatting>
  <conditionalFormatting sqref="I1072">
    <cfRule type="expression" dxfId="910" priority="1026">
      <formula>AND(E1073="EUC",E1074=432,I1072&gt;204)</formula>
    </cfRule>
  </conditionalFormatting>
  <conditionalFormatting sqref="E1074">
    <cfRule type="expression" dxfId="909" priority="1022">
      <formula>(AND(E1073="EUC",E1074=432))</formula>
    </cfRule>
    <cfRule type="expression" dxfId="908" priority="1023">
      <formula>AND(E1073="SS",E1074&gt;216)</formula>
    </cfRule>
    <cfRule type="expression" dxfId="907" priority="1024">
      <formula>(AND(E1073="EUC",E1074&gt;216))</formula>
    </cfRule>
    <cfRule type="expression" dxfId="906" priority="1025">
      <formula>AND(E1073="RPX",E1074&gt;216)</formula>
    </cfRule>
  </conditionalFormatting>
  <conditionalFormatting sqref="E1083:E1100">
    <cfRule type="expression" dxfId="905" priority="1021">
      <formula>AND(OR(C1083="NO",C1083="REV T",C1083="DBL REV",C1083="TPL REV",C1083="QD REV"),E1083&gt;12)</formula>
    </cfRule>
  </conditionalFormatting>
  <conditionalFormatting sqref="C1083:C1100">
    <cfRule type="expression" dxfId="904" priority="1020">
      <formula>AND(OR(C1084="FST",C1084="REV T",C1084="DBL REV",C1084="TPL REV",C1084="QD REV"),C1083="Field SPL")</formula>
    </cfRule>
  </conditionalFormatting>
  <conditionalFormatting sqref="L1115">
    <cfRule type="cellIs" dxfId="903" priority="1016" operator="lessThan">
      <formula>$L$7</formula>
    </cfRule>
  </conditionalFormatting>
  <conditionalFormatting sqref="I1114">
    <cfRule type="cellIs" dxfId="902" priority="1015" operator="lessThan">
      <formula>0</formula>
    </cfRule>
  </conditionalFormatting>
  <conditionalFormatting sqref="H1124:I1148">
    <cfRule type="cellIs" dxfId="901" priority="1014" operator="lessThan">
      <formula>0</formula>
    </cfRule>
  </conditionalFormatting>
  <conditionalFormatting sqref="E1148">
    <cfRule type="expression" dxfId="900" priority="1013">
      <formula>AND(OR(C1148="NO",C1148="REV T",C1148="DBL REV",C1148="TPL REV",C1148="QD REV"),E1148&gt;12)</formula>
    </cfRule>
  </conditionalFormatting>
  <conditionalFormatting sqref="B1136:B1148">
    <cfRule type="expression" dxfId="899" priority="1011">
      <formula>Z1136="error"</formula>
    </cfRule>
  </conditionalFormatting>
  <conditionalFormatting sqref="B1136:B1148">
    <cfRule type="expression" dxfId="898" priority="1010">
      <formula>AA1138="error"</formula>
    </cfRule>
  </conditionalFormatting>
  <conditionalFormatting sqref="E1148">
    <cfRule type="expression" dxfId="897" priority="1009">
      <formula>AND(OR(C1148="NO",C1148="REV T",C1148="DBL REV",C1148="TPL REV",C1148="QD REV"),E1148&gt;12)</formula>
    </cfRule>
  </conditionalFormatting>
  <conditionalFormatting sqref="E1119">
    <cfRule type="expression" dxfId="896" priority="1006">
      <formula>AND(E1114="EUC",E1115&gt;48,E1119="Y")</formula>
    </cfRule>
    <cfRule type="expression" dxfId="895" priority="1007">
      <formula>AND(E1114="RPX",E1115&gt;48,E1119="Y")</formula>
    </cfRule>
    <cfRule type="expression" dxfId="894" priority="1008">
      <formula>AND(E1114="SS",E1115&gt;48,E1119="Y")</formula>
    </cfRule>
  </conditionalFormatting>
  <conditionalFormatting sqref="I1118">
    <cfRule type="expression" dxfId="893" priority="1003">
      <formula>I1118=0</formula>
    </cfRule>
    <cfRule type="expression" dxfId="892" priority="1004">
      <formula>MOD(I1118,2)=0</formula>
    </cfRule>
  </conditionalFormatting>
  <conditionalFormatting sqref="E1142:E1147">
    <cfRule type="expression" dxfId="891" priority="1002">
      <formula>AND(OR(C1142="NO",C1142="REV T",C1142="DBL REV",C1142="TPL REV",C1142="QD REV"),E1142&gt;12)</formula>
    </cfRule>
  </conditionalFormatting>
  <conditionalFormatting sqref="C1142:C1148">
    <cfRule type="expression" dxfId="890" priority="1001">
      <formula>AND(OR(C1143="FST",C1143="REV T",C1143="DBL REV",C1143="TPL REV",C1143="QD REV"),C1142="Field SPL")</formula>
    </cfRule>
  </conditionalFormatting>
  <conditionalFormatting sqref="I1113">
    <cfRule type="expression" dxfId="889" priority="1000">
      <formula>AND(E1114="EUC",E1115=432,I1113&gt;204)</formula>
    </cfRule>
  </conditionalFormatting>
  <conditionalFormatting sqref="E1115">
    <cfRule type="expression" dxfId="888" priority="996">
      <formula>(AND(E1114="EUC",E1115=432))</formula>
    </cfRule>
    <cfRule type="expression" dxfId="887" priority="997">
      <formula>AND(E1114="SS",E1115&gt;216)</formula>
    </cfRule>
    <cfRule type="expression" dxfId="886" priority="998">
      <formula>(AND(E1114="EUC",E1115&gt;216))</formula>
    </cfRule>
    <cfRule type="expression" dxfId="885" priority="999">
      <formula>AND(E1114="RPX",E1115&gt;216)</formula>
    </cfRule>
  </conditionalFormatting>
  <conditionalFormatting sqref="E1124:E1141">
    <cfRule type="expression" dxfId="884" priority="995">
      <formula>AND(OR(C1124="NO",C1124="REV T",C1124="DBL REV",C1124="TPL REV",C1124="QD REV"),E1124&gt;12)</formula>
    </cfRule>
  </conditionalFormatting>
  <conditionalFormatting sqref="C1124:C1141">
    <cfRule type="expression" dxfId="883" priority="994">
      <formula>AND(OR(C1125="FST",C1125="REV T",C1125="DBL REV",C1125="TPL REV",C1125="QD REV"),C1124="Field SPL")</formula>
    </cfRule>
  </conditionalFormatting>
  <conditionalFormatting sqref="L1156">
    <cfRule type="cellIs" dxfId="882" priority="990" operator="lessThan">
      <formula>$L$7</formula>
    </cfRule>
  </conditionalFormatting>
  <conditionalFormatting sqref="I1155">
    <cfRule type="cellIs" dxfId="881" priority="989" operator="lessThan">
      <formula>0</formula>
    </cfRule>
  </conditionalFormatting>
  <conditionalFormatting sqref="H1165:I1189">
    <cfRule type="cellIs" dxfId="880" priority="988" operator="lessThan">
      <formula>0</formula>
    </cfRule>
  </conditionalFormatting>
  <conditionalFormatting sqref="E1189">
    <cfRule type="expression" dxfId="879" priority="987">
      <formula>AND(OR(C1189="NO",C1189="REV T",C1189="DBL REV",C1189="TPL REV",C1189="QD REV"),E1189&gt;12)</formula>
    </cfRule>
  </conditionalFormatting>
  <conditionalFormatting sqref="B1177:B1189">
    <cfRule type="expression" dxfId="878" priority="985">
      <formula>Z1177="error"</formula>
    </cfRule>
  </conditionalFormatting>
  <conditionalFormatting sqref="B1177:B1189">
    <cfRule type="expression" dxfId="877" priority="984">
      <formula>AA1179="error"</formula>
    </cfRule>
  </conditionalFormatting>
  <conditionalFormatting sqref="E1189">
    <cfRule type="expression" dxfId="876" priority="983">
      <formula>AND(OR(C1189="NO",C1189="REV T",C1189="DBL REV",C1189="TPL REV",C1189="QD REV"),E1189&gt;12)</formula>
    </cfRule>
  </conditionalFormatting>
  <conditionalFormatting sqref="E1160">
    <cfRule type="expression" dxfId="875" priority="980">
      <formula>AND(E1155="EUC",E1156&gt;48,E1160="Y")</formula>
    </cfRule>
    <cfRule type="expression" dxfId="874" priority="981">
      <formula>AND(E1155="RPX",E1156&gt;48,E1160="Y")</formula>
    </cfRule>
    <cfRule type="expression" dxfId="873" priority="982">
      <formula>AND(E1155="SS",E1156&gt;48,E1160="Y")</formula>
    </cfRule>
  </conditionalFormatting>
  <conditionalFormatting sqref="I1159">
    <cfRule type="expression" dxfId="872" priority="977">
      <formula>I1159=0</formula>
    </cfRule>
    <cfRule type="expression" dxfId="871" priority="978">
      <formula>MOD(I1159,2)=0</formula>
    </cfRule>
  </conditionalFormatting>
  <conditionalFormatting sqref="E1183:E1188">
    <cfRule type="expression" dxfId="870" priority="976">
      <formula>AND(OR(C1183="NO",C1183="REV T",C1183="DBL REV",C1183="TPL REV",C1183="QD REV"),E1183&gt;12)</formula>
    </cfRule>
  </conditionalFormatting>
  <conditionalFormatting sqref="C1183:C1189">
    <cfRule type="expression" dxfId="869" priority="975">
      <formula>AND(OR(C1184="FST",C1184="REV T",C1184="DBL REV",C1184="TPL REV",C1184="QD REV"),C1183="Field SPL")</formula>
    </cfRule>
  </conditionalFormatting>
  <conditionalFormatting sqref="I1154">
    <cfRule type="expression" dxfId="868" priority="974">
      <formula>AND(E1155="EUC",E1156=432,I1154&gt;204)</formula>
    </cfRule>
  </conditionalFormatting>
  <conditionalFormatting sqref="E1156">
    <cfRule type="expression" dxfId="867" priority="970">
      <formula>(AND(E1155="EUC",E1156=432))</formula>
    </cfRule>
    <cfRule type="expression" dxfId="866" priority="971">
      <formula>AND(E1155="SS",E1156&gt;216)</formula>
    </cfRule>
    <cfRule type="expression" dxfId="865" priority="972">
      <formula>(AND(E1155="EUC",E1156&gt;216))</formula>
    </cfRule>
    <cfRule type="expression" dxfId="864" priority="973">
      <formula>AND(E1155="RPX",E1156&gt;216)</formula>
    </cfRule>
  </conditionalFormatting>
  <conditionalFormatting sqref="E1165:E1182">
    <cfRule type="expression" dxfId="863" priority="969">
      <formula>AND(OR(C1165="NO",C1165="REV T",C1165="DBL REV",C1165="TPL REV",C1165="QD REV"),E1165&gt;12)</formula>
    </cfRule>
  </conditionalFormatting>
  <conditionalFormatting sqref="C1165:C1182">
    <cfRule type="expression" dxfId="862" priority="968">
      <formula>AND(OR(C1166="FST",C1166="REV T",C1166="DBL REV",C1166="TPL REV",C1166="QD REV"),C1165="Field SPL")</formula>
    </cfRule>
  </conditionalFormatting>
  <conditionalFormatting sqref="L1197">
    <cfRule type="cellIs" dxfId="861" priority="964" operator="lessThan">
      <formula>$L$7</formula>
    </cfRule>
  </conditionalFormatting>
  <conditionalFormatting sqref="I1196">
    <cfRule type="cellIs" dxfId="860" priority="963" operator="lessThan">
      <formula>0</formula>
    </cfRule>
  </conditionalFormatting>
  <conditionalFormatting sqref="H1206:I1230">
    <cfRule type="cellIs" dxfId="859" priority="962" operator="lessThan">
      <formula>0</formula>
    </cfRule>
  </conditionalFormatting>
  <conditionalFormatting sqref="E1230">
    <cfRule type="expression" dxfId="858" priority="961">
      <formula>AND(OR(C1230="NO",C1230="REV T",C1230="DBL REV",C1230="TPL REV",C1230="QD REV"),E1230&gt;12)</formula>
    </cfRule>
  </conditionalFormatting>
  <conditionalFormatting sqref="B1218:B1230">
    <cfRule type="expression" dxfId="857" priority="959">
      <formula>Z1218="error"</formula>
    </cfRule>
  </conditionalFormatting>
  <conditionalFormatting sqref="B1218:B1230">
    <cfRule type="expression" dxfId="856" priority="958">
      <formula>AA1220="error"</formula>
    </cfRule>
  </conditionalFormatting>
  <conditionalFormatting sqref="E1230">
    <cfRule type="expression" dxfId="855" priority="957">
      <formula>AND(OR(C1230="NO",C1230="REV T",C1230="DBL REV",C1230="TPL REV",C1230="QD REV"),E1230&gt;12)</formula>
    </cfRule>
  </conditionalFormatting>
  <conditionalFormatting sqref="E1201">
    <cfRule type="expression" dxfId="854" priority="954">
      <formula>AND(E1196="EUC",E1197&gt;48,E1201="Y")</formula>
    </cfRule>
    <cfRule type="expression" dxfId="853" priority="955">
      <formula>AND(E1196="RPX",E1197&gt;48,E1201="Y")</formula>
    </cfRule>
    <cfRule type="expression" dxfId="852" priority="956">
      <formula>AND(E1196="SS",E1197&gt;48,E1201="Y")</formula>
    </cfRule>
  </conditionalFormatting>
  <conditionalFormatting sqref="I1200">
    <cfRule type="expression" dxfId="851" priority="951">
      <formula>I1200=0</formula>
    </cfRule>
    <cfRule type="expression" dxfId="850" priority="952">
      <formula>MOD(I1200,2)=0</formula>
    </cfRule>
  </conditionalFormatting>
  <conditionalFormatting sqref="E1224:E1229">
    <cfRule type="expression" dxfId="849" priority="950">
      <formula>AND(OR(C1224="NO",C1224="REV T",C1224="DBL REV",C1224="TPL REV",C1224="QD REV"),E1224&gt;12)</formula>
    </cfRule>
  </conditionalFormatting>
  <conditionalFormatting sqref="C1224:C1230">
    <cfRule type="expression" dxfId="848" priority="949">
      <formula>AND(OR(C1225="FST",C1225="REV T",C1225="DBL REV",C1225="TPL REV",C1225="QD REV"),C1224="Field SPL")</formula>
    </cfRule>
  </conditionalFormatting>
  <conditionalFormatting sqref="I1195">
    <cfRule type="expression" dxfId="847" priority="948">
      <formula>AND(E1196="EUC",E1197=432,I1195&gt;204)</formula>
    </cfRule>
  </conditionalFormatting>
  <conditionalFormatting sqref="E1197">
    <cfRule type="expression" dxfId="846" priority="944">
      <formula>(AND(E1196="EUC",E1197=432))</formula>
    </cfRule>
    <cfRule type="expression" dxfId="845" priority="945">
      <formula>AND(E1196="SS",E1197&gt;216)</formula>
    </cfRule>
    <cfRule type="expression" dxfId="844" priority="946">
      <formula>(AND(E1196="EUC",E1197&gt;216))</formula>
    </cfRule>
    <cfRule type="expression" dxfId="843" priority="947">
      <formula>AND(E1196="RPX",E1197&gt;216)</formula>
    </cfRule>
  </conditionalFormatting>
  <conditionalFormatting sqref="E1206:E1223">
    <cfRule type="expression" dxfId="842" priority="943">
      <formula>AND(OR(C1206="NO",C1206="REV T",C1206="DBL REV",C1206="TPL REV",C1206="QD REV"),E1206&gt;12)</formula>
    </cfRule>
  </conditionalFormatting>
  <conditionalFormatting sqref="C1206:C1223">
    <cfRule type="expression" dxfId="841" priority="942">
      <formula>AND(OR(C1207="FST",C1207="REV T",C1207="DBL REV",C1207="TPL REV",C1207="QD REV"),C1206="Field SPL")</formula>
    </cfRule>
  </conditionalFormatting>
  <conditionalFormatting sqref="L1238">
    <cfRule type="cellIs" dxfId="840" priority="938" operator="lessThan">
      <formula>$L$7</formula>
    </cfRule>
  </conditionalFormatting>
  <conditionalFormatting sqref="I1237">
    <cfRule type="cellIs" dxfId="839" priority="937" operator="lessThan">
      <formula>0</formula>
    </cfRule>
  </conditionalFormatting>
  <conditionalFormatting sqref="H1247:I1271">
    <cfRule type="cellIs" dxfId="838" priority="936" operator="lessThan">
      <formula>0</formula>
    </cfRule>
  </conditionalFormatting>
  <conditionalFormatting sqref="E1271">
    <cfRule type="expression" dxfId="837" priority="935">
      <formula>AND(OR(C1271="NO",C1271="REV T",C1271="DBL REV",C1271="TPL REV",C1271="QD REV"),E1271&gt;12)</formula>
    </cfRule>
  </conditionalFormatting>
  <conditionalFormatting sqref="B1259:B1271">
    <cfRule type="expression" dxfId="836" priority="933">
      <formula>Z1259="error"</formula>
    </cfRule>
  </conditionalFormatting>
  <conditionalFormatting sqref="B1259:B1271">
    <cfRule type="expression" dxfId="835" priority="932">
      <formula>AA1261="error"</formula>
    </cfRule>
  </conditionalFormatting>
  <conditionalFormatting sqref="E1271">
    <cfRule type="expression" dxfId="834" priority="931">
      <formula>AND(OR(C1271="NO",C1271="REV T",C1271="DBL REV",C1271="TPL REV",C1271="QD REV"),E1271&gt;12)</formula>
    </cfRule>
  </conditionalFormatting>
  <conditionalFormatting sqref="E1242">
    <cfRule type="expression" dxfId="833" priority="928">
      <formula>AND(E1237="EUC",E1238&gt;48,E1242="Y")</formula>
    </cfRule>
    <cfRule type="expression" dxfId="832" priority="929">
      <formula>AND(E1237="RPX",E1238&gt;48,E1242="Y")</formula>
    </cfRule>
    <cfRule type="expression" dxfId="831" priority="930">
      <formula>AND(E1237="SS",E1238&gt;48,E1242="Y")</formula>
    </cfRule>
  </conditionalFormatting>
  <conditionalFormatting sqref="I1241">
    <cfRule type="expression" dxfId="830" priority="925">
      <formula>I1241=0</formula>
    </cfRule>
    <cfRule type="expression" dxfId="829" priority="926">
      <formula>MOD(I1241,2)=0</formula>
    </cfRule>
  </conditionalFormatting>
  <conditionalFormatting sqref="E1265:E1270">
    <cfRule type="expression" dxfId="828" priority="924">
      <formula>AND(OR(C1265="NO",C1265="REV T",C1265="DBL REV",C1265="TPL REV",C1265="QD REV"),E1265&gt;12)</formula>
    </cfRule>
  </conditionalFormatting>
  <conditionalFormatting sqref="C1265:C1271">
    <cfRule type="expression" dxfId="827" priority="923">
      <formula>AND(OR(C1266="FST",C1266="REV T",C1266="DBL REV",C1266="TPL REV",C1266="QD REV"),C1265="Field SPL")</formula>
    </cfRule>
  </conditionalFormatting>
  <conditionalFormatting sqref="I1236">
    <cfRule type="expression" dxfId="826" priority="922">
      <formula>AND(E1237="EUC",E1238=432,I1236&gt;204)</formula>
    </cfRule>
  </conditionalFormatting>
  <conditionalFormatting sqref="E1238">
    <cfRule type="expression" dxfId="825" priority="918">
      <formula>(AND(E1237="EUC",E1238=432))</formula>
    </cfRule>
    <cfRule type="expression" dxfId="824" priority="919">
      <formula>AND(E1237="SS",E1238&gt;216)</formula>
    </cfRule>
    <cfRule type="expression" dxfId="823" priority="920">
      <formula>(AND(E1237="EUC",E1238&gt;216))</formula>
    </cfRule>
    <cfRule type="expression" dxfId="822" priority="921">
      <formula>AND(E1237="RPX",E1238&gt;216)</formula>
    </cfRule>
  </conditionalFormatting>
  <conditionalFormatting sqref="E1247:E1264">
    <cfRule type="expression" dxfId="821" priority="917">
      <formula>AND(OR(C1247="NO",C1247="REV T",C1247="DBL REV",C1247="TPL REV",C1247="QD REV"),E1247&gt;12)</formula>
    </cfRule>
  </conditionalFormatting>
  <conditionalFormatting sqref="C1247:C1264">
    <cfRule type="expression" dxfId="820" priority="916">
      <formula>AND(OR(C1248="FST",C1248="REV T",C1248="DBL REV",C1248="TPL REV",C1248="QD REV"),C1247="Field SPL")</formula>
    </cfRule>
  </conditionalFormatting>
  <conditionalFormatting sqref="L1279">
    <cfRule type="cellIs" dxfId="819" priority="912" operator="lessThan">
      <formula>$L$7</formula>
    </cfRule>
  </conditionalFormatting>
  <conditionalFormatting sqref="I1278">
    <cfRule type="cellIs" dxfId="818" priority="911" operator="lessThan">
      <formula>0</formula>
    </cfRule>
  </conditionalFormatting>
  <conditionalFormatting sqref="H1288:I1312">
    <cfRule type="cellIs" dxfId="817" priority="910" operator="lessThan">
      <formula>0</formula>
    </cfRule>
  </conditionalFormatting>
  <conditionalFormatting sqref="E1312">
    <cfRule type="expression" dxfId="816" priority="909">
      <formula>AND(OR(C1312="NO",C1312="REV T",C1312="DBL REV",C1312="TPL REV",C1312="QD REV"),E1312&gt;12)</formula>
    </cfRule>
  </conditionalFormatting>
  <conditionalFormatting sqref="B1300:B1312">
    <cfRule type="expression" dxfId="815" priority="907">
      <formula>Z1300="error"</formula>
    </cfRule>
  </conditionalFormatting>
  <conditionalFormatting sqref="B1300:B1312">
    <cfRule type="expression" dxfId="814" priority="906">
      <formula>AA1302="error"</formula>
    </cfRule>
  </conditionalFormatting>
  <conditionalFormatting sqref="E1312">
    <cfRule type="expression" dxfId="813" priority="905">
      <formula>AND(OR(C1312="NO",C1312="REV T",C1312="DBL REV",C1312="TPL REV",C1312="QD REV"),E1312&gt;12)</formula>
    </cfRule>
  </conditionalFormatting>
  <conditionalFormatting sqref="E1283">
    <cfRule type="expression" dxfId="812" priority="902">
      <formula>AND(E1278="EUC",E1279&gt;48,E1283="Y")</formula>
    </cfRule>
    <cfRule type="expression" dxfId="811" priority="903">
      <formula>AND(E1278="RPX",E1279&gt;48,E1283="Y")</formula>
    </cfRule>
    <cfRule type="expression" dxfId="810" priority="904">
      <formula>AND(E1278="SS",E1279&gt;48,E1283="Y")</formula>
    </cfRule>
  </conditionalFormatting>
  <conditionalFormatting sqref="I1282">
    <cfRule type="expression" dxfId="809" priority="899">
      <formula>I1282=0</formula>
    </cfRule>
    <cfRule type="expression" dxfId="808" priority="900">
      <formula>MOD(I1282,2)=0</formula>
    </cfRule>
  </conditionalFormatting>
  <conditionalFormatting sqref="E1306:E1311">
    <cfRule type="expression" dxfId="807" priority="898">
      <formula>AND(OR(C1306="NO",C1306="REV T",C1306="DBL REV",C1306="TPL REV",C1306="QD REV"),E1306&gt;12)</formula>
    </cfRule>
  </conditionalFormatting>
  <conditionalFormatting sqref="C1306:C1312">
    <cfRule type="expression" dxfId="806" priority="897">
      <formula>AND(OR(C1307="FST",C1307="REV T",C1307="DBL REV",C1307="TPL REV",C1307="QD REV"),C1306="Field SPL")</formula>
    </cfRule>
  </conditionalFormatting>
  <conditionalFormatting sqref="I1277">
    <cfRule type="expression" dxfId="805" priority="896">
      <formula>AND(E1278="EUC",E1279=432,I1277&gt;204)</formula>
    </cfRule>
  </conditionalFormatting>
  <conditionalFormatting sqref="E1279">
    <cfRule type="expression" dxfId="804" priority="892">
      <formula>(AND(E1278="EUC",E1279=432))</formula>
    </cfRule>
    <cfRule type="expression" dxfId="803" priority="893">
      <formula>AND(E1278="SS",E1279&gt;216)</formula>
    </cfRule>
    <cfRule type="expression" dxfId="802" priority="894">
      <formula>(AND(E1278="EUC",E1279&gt;216))</formula>
    </cfRule>
    <cfRule type="expression" dxfId="801" priority="895">
      <formula>AND(E1278="RPX",E1279&gt;216)</formula>
    </cfRule>
  </conditionalFormatting>
  <conditionalFormatting sqref="E1288:E1305">
    <cfRule type="expression" dxfId="800" priority="891">
      <formula>AND(OR(C1288="NO",C1288="REV T",C1288="DBL REV",C1288="TPL REV",C1288="QD REV"),E1288&gt;12)</formula>
    </cfRule>
  </conditionalFormatting>
  <conditionalFormatting sqref="C1288:C1305">
    <cfRule type="expression" dxfId="799" priority="890">
      <formula>AND(OR(C1289="FST",C1289="REV T",C1289="DBL REV",C1289="TPL REV",C1289="QD REV"),C1288="Field SPL")</formula>
    </cfRule>
  </conditionalFormatting>
  <conditionalFormatting sqref="L1320">
    <cfRule type="cellIs" dxfId="798" priority="886" operator="lessThan">
      <formula>$L$7</formula>
    </cfRule>
  </conditionalFormatting>
  <conditionalFormatting sqref="I1319">
    <cfRule type="cellIs" dxfId="797" priority="885" operator="lessThan">
      <formula>0</formula>
    </cfRule>
  </conditionalFormatting>
  <conditionalFormatting sqref="H1329:I1353">
    <cfRule type="cellIs" dxfId="796" priority="884" operator="lessThan">
      <formula>0</formula>
    </cfRule>
  </conditionalFormatting>
  <conditionalFormatting sqref="E1353">
    <cfRule type="expression" dxfId="795" priority="883">
      <formula>AND(OR(C1353="NO",C1353="REV T",C1353="DBL REV",C1353="TPL REV",C1353="QD REV"),E1353&gt;12)</formula>
    </cfRule>
  </conditionalFormatting>
  <conditionalFormatting sqref="B1341:B1353">
    <cfRule type="expression" dxfId="794" priority="881">
      <formula>Z1341="error"</formula>
    </cfRule>
  </conditionalFormatting>
  <conditionalFormatting sqref="B1341:B1353">
    <cfRule type="expression" dxfId="793" priority="880">
      <formula>AA1343="error"</formula>
    </cfRule>
  </conditionalFormatting>
  <conditionalFormatting sqref="E1353">
    <cfRule type="expression" dxfId="792" priority="879">
      <formula>AND(OR(C1353="NO",C1353="REV T",C1353="DBL REV",C1353="TPL REV",C1353="QD REV"),E1353&gt;12)</formula>
    </cfRule>
  </conditionalFormatting>
  <conditionalFormatting sqref="E1324">
    <cfRule type="expression" dxfId="791" priority="876">
      <formula>AND(E1319="EUC",E1320&gt;48,E1324="Y")</formula>
    </cfRule>
    <cfRule type="expression" dxfId="790" priority="877">
      <formula>AND(E1319="RPX",E1320&gt;48,E1324="Y")</formula>
    </cfRule>
    <cfRule type="expression" dxfId="789" priority="878">
      <formula>AND(E1319="SS",E1320&gt;48,E1324="Y")</formula>
    </cfRule>
  </conditionalFormatting>
  <conditionalFormatting sqref="I1323">
    <cfRule type="expression" dxfId="788" priority="873">
      <formula>I1323=0</formula>
    </cfRule>
    <cfRule type="expression" dxfId="787" priority="874">
      <formula>MOD(I1323,2)=0</formula>
    </cfRule>
  </conditionalFormatting>
  <conditionalFormatting sqref="E1347:E1352">
    <cfRule type="expression" dxfId="786" priority="872">
      <formula>AND(OR(C1347="NO",C1347="REV T",C1347="DBL REV",C1347="TPL REV",C1347="QD REV"),E1347&gt;12)</formula>
    </cfRule>
  </conditionalFormatting>
  <conditionalFormatting sqref="C1347:C1353">
    <cfRule type="expression" dxfId="785" priority="871">
      <formula>AND(OR(C1348="FST",C1348="REV T",C1348="DBL REV",C1348="TPL REV",C1348="QD REV"),C1347="Field SPL")</formula>
    </cfRule>
  </conditionalFormatting>
  <conditionalFormatting sqref="I1318">
    <cfRule type="expression" dxfId="784" priority="870">
      <formula>AND(E1319="EUC",E1320=432,I1318&gt;204)</formula>
    </cfRule>
  </conditionalFormatting>
  <conditionalFormatting sqref="E1320">
    <cfRule type="expression" dxfId="783" priority="866">
      <formula>(AND(E1319="EUC",E1320=432))</formula>
    </cfRule>
    <cfRule type="expression" dxfId="782" priority="867">
      <formula>AND(E1319="SS",E1320&gt;216)</formula>
    </cfRule>
    <cfRule type="expression" dxfId="781" priority="868">
      <formula>(AND(E1319="EUC",E1320&gt;216))</formula>
    </cfRule>
    <cfRule type="expression" dxfId="780" priority="869">
      <formula>AND(E1319="RPX",E1320&gt;216)</formula>
    </cfRule>
  </conditionalFormatting>
  <conditionalFormatting sqref="E1329:E1346">
    <cfRule type="expression" dxfId="779" priority="865">
      <formula>AND(OR(C1329="NO",C1329="REV T",C1329="DBL REV",C1329="TPL REV",C1329="QD REV"),E1329&gt;12)</formula>
    </cfRule>
  </conditionalFormatting>
  <conditionalFormatting sqref="C1329:C1346">
    <cfRule type="expression" dxfId="778" priority="864">
      <formula>AND(OR(C1330="FST",C1330="REV T",C1330="DBL REV",C1330="TPL REV",C1330="QD REV"),C1329="Field SPL")</formula>
    </cfRule>
  </conditionalFormatting>
  <conditionalFormatting sqref="L1361">
    <cfRule type="cellIs" dxfId="777" priority="860" operator="lessThan">
      <formula>$L$7</formula>
    </cfRule>
  </conditionalFormatting>
  <conditionalFormatting sqref="I1360">
    <cfRule type="cellIs" dxfId="776" priority="859" operator="lessThan">
      <formula>0</formula>
    </cfRule>
  </conditionalFormatting>
  <conditionalFormatting sqref="H1370:I1394">
    <cfRule type="cellIs" dxfId="775" priority="858" operator="lessThan">
      <formula>0</formula>
    </cfRule>
  </conditionalFormatting>
  <conditionalFormatting sqref="E1394">
    <cfRule type="expression" dxfId="774" priority="857">
      <formula>AND(OR(C1394="NO",C1394="REV T",C1394="DBL REV",C1394="TPL REV",C1394="QD REV"),E1394&gt;12)</formula>
    </cfRule>
  </conditionalFormatting>
  <conditionalFormatting sqref="B1382:B1394">
    <cfRule type="expression" dxfId="773" priority="855">
      <formula>Z1382="error"</formula>
    </cfRule>
  </conditionalFormatting>
  <conditionalFormatting sqref="B1382:B1394">
    <cfRule type="expression" dxfId="772" priority="854">
      <formula>AA1384="error"</formula>
    </cfRule>
  </conditionalFormatting>
  <conditionalFormatting sqref="E1394">
    <cfRule type="expression" dxfId="771" priority="853">
      <formula>AND(OR(C1394="NO",C1394="REV T",C1394="DBL REV",C1394="TPL REV",C1394="QD REV"),E1394&gt;12)</formula>
    </cfRule>
  </conditionalFormatting>
  <conditionalFormatting sqref="E1365">
    <cfRule type="expression" dxfId="770" priority="850">
      <formula>AND(E1360="EUC",E1361&gt;48,E1365="Y")</formula>
    </cfRule>
    <cfRule type="expression" dxfId="769" priority="851">
      <formula>AND(E1360="RPX",E1361&gt;48,E1365="Y")</formula>
    </cfRule>
    <cfRule type="expression" dxfId="768" priority="852">
      <formula>AND(E1360="SS",E1361&gt;48,E1365="Y")</formula>
    </cfRule>
  </conditionalFormatting>
  <conditionalFormatting sqref="I1364">
    <cfRule type="expression" dxfId="767" priority="847">
      <formula>I1364=0</formula>
    </cfRule>
    <cfRule type="expression" dxfId="766" priority="848">
      <formula>MOD(I1364,2)=0</formula>
    </cfRule>
  </conditionalFormatting>
  <conditionalFormatting sqref="E1388:E1393">
    <cfRule type="expression" dxfId="765" priority="846">
      <formula>AND(OR(C1388="NO",C1388="REV T",C1388="DBL REV",C1388="TPL REV",C1388="QD REV"),E1388&gt;12)</formula>
    </cfRule>
  </conditionalFormatting>
  <conditionalFormatting sqref="C1388:C1394">
    <cfRule type="expression" dxfId="764" priority="845">
      <formula>AND(OR(C1389="FST",C1389="REV T",C1389="DBL REV",C1389="TPL REV",C1389="QD REV"),C1388="Field SPL")</formula>
    </cfRule>
  </conditionalFormatting>
  <conditionalFormatting sqref="I1359">
    <cfRule type="expression" dxfId="763" priority="844">
      <formula>AND(E1360="EUC",E1361=432,I1359&gt;204)</formula>
    </cfRule>
  </conditionalFormatting>
  <conditionalFormatting sqref="E1361">
    <cfRule type="expression" dxfId="762" priority="840">
      <formula>(AND(E1360="EUC",E1361=432))</formula>
    </cfRule>
    <cfRule type="expression" dxfId="761" priority="841">
      <formula>AND(E1360="SS",E1361&gt;216)</formula>
    </cfRule>
    <cfRule type="expression" dxfId="760" priority="842">
      <formula>(AND(E1360="EUC",E1361&gt;216))</formula>
    </cfRule>
    <cfRule type="expression" dxfId="759" priority="843">
      <formula>AND(E1360="RPX",E1361&gt;216)</formula>
    </cfRule>
  </conditionalFormatting>
  <conditionalFormatting sqref="E1370:E1387">
    <cfRule type="expression" dxfId="758" priority="839">
      <formula>AND(OR(C1370="NO",C1370="REV T",C1370="DBL REV",C1370="TPL REV",C1370="QD REV"),E1370&gt;12)</formula>
    </cfRule>
  </conditionalFormatting>
  <conditionalFormatting sqref="C1370:C1387">
    <cfRule type="expression" dxfId="757" priority="838">
      <formula>AND(OR(C1371="FST",C1371="REV T",C1371="DBL REV",C1371="TPL REV",C1371="QD REV"),C1370="Field SPL")</formula>
    </cfRule>
  </conditionalFormatting>
  <conditionalFormatting sqref="L1402">
    <cfRule type="cellIs" dxfId="756" priority="834" operator="lessThan">
      <formula>$L$7</formula>
    </cfRule>
  </conditionalFormatting>
  <conditionalFormatting sqref="I1401">
    <cfRule type="cellIs" dxfId="755" priority="833" operator="lessThan">
      <formula>0</formula>
    </cfRule>
  </conditionalFormatting>
  <conditionalFormatting sqref="H1411:I1435">
    <cfRule type="cellIs" dxfId="754" priority="832" operator="lessThan">
      <formula>0</formula>
    </cfRule>
  </conditionalFormatting>
  <conditionalFormatting sqref="E1435">
    <cfRule type="expression" dxfId="753" priority="831">
      <formula>AND(OR(C1435="NO",C1435="REV T",C1435="DBL REV",C1435="TPL REV",C1435="QD REV"),E1435&gt;12)</formula>
    </cfRule>
  </conditionalFormatting>
  <conditionalFormatting sqref="B1423:B1435">
    <cfRule type="expression" dxfId="752" priority="829">
      <formula>Z1423="error"</formula>
    </cfRule>
  </conditionalFormatting>
  <conditionalFormatting sqref="B1423:B1435">
    <cfRule type="expression" dxfId="751" priority="828">
      <formula>AA1425="error"</formula>
    </cfRule>
  </conditionalFormatting>
  <conditionalFormatting sqref="E1435">
    <cfRule type="expression" dxfId="750" priority="827">
      <formula>AND(OR(C1435="NO",C1435="REV T",C1435="DBL REV",C1435="TPL REV",C1435="QD REV"),E1435&gt;12)</formula>
    </cfRule>
  </conditionalFormatting>
  <conditionalFormatting sqref="E1406">
    <cfRule type="expression" dxfId="749" priority="824">
      <formula>AND(E1401="EUC",E1402&gt;48,E1406="Y")</formula>
    </cfRule>
    <cfRule type="expression" dxfId="748" priority="825">
      <formula>AND(E1401="RPX",E1402&gt;48,E1406="Y")</formula>
    </cfRule>
    <cfRule type="expression" dxfId="747" priority="826">
      <formula>AND(E1401="SS",E1402&gt;48,E1406="Y")</formula>
    </cfRule>
  </conditionalFormatting>
  <conditionalFormatting sqref="I1405">
    <cfRule type="expression" dxfId="746" priority="821">
      <formula>I1405=0</formula>
    </cfRule>
    <cfRule type="expression" dxfId="745" priority="822">
      <formula>MOD(I1405,2)=0</formula>
    </cfRule>
  </conditionalFormatting>
  <conditionalFormatting sqref="E1429:E1434">
    <cfRule type="expression" dxfId="744" priority="820">
      <formula>AND(OR(C1429="NO",C1429="REV T",C1429="DBL REV",C1429="TPL REV",C1429="QD REV"),E1429&gt;12)</formula>
    </cfRule>
  </conditionalFormatting>
  <conditionalFormatting sqref="C1429:C1435">
    <cfRule type="expression" dxfId="743" priority="819">
      <formula>AND(OR(C1430="FST",C1430="REV T",C1430="DBL REV",C1430="TPL REV",C1430="QD REV"),C1429="Field SPL")</formula>
    </cfRule>
  </conditionalFormatting>
  <conditionalFormatting sqref="I1400">
    <cfRule type="expression" dxfId="742" priority="818">
      <formula>AND(E1401="EUC",E1402=432,I1400&gt;204)</formula>
    </cfRule>
  </conditionalFormatting>
  <conditionalFormatting sqref="E1402">
    <cfRule type="expression" dxfId="741" priority="814">
      <formula>(AND(E1401="EUC",E1402=432))</formula>
    </cfRule>
    <cfRule type="expression" dxfId="740" priority="815">
      <formula>AND(E1401="SS",E1402&gt;216)</formula>
    </cfRule>
    <cfRule type="expression" dxfId="739" priority="816">
      <formula>(AND(E1401="EUC",E1402&gt;216))</formula>
    </cfRule>
    <cfRule type="expression" dxfId="738" priority="817">
      <formula>AND(E1401="RPX",E1402&gt;216)</formula>
    </cfRule>
  </conditionalFormatting>
  <conditionalFormatting sqref="E1411:E1428">
    <cfRule type="expression" dxfId="737" priority="813">
      <formula>AND(OR(C1411="NO",C1411="REV T",C1411="DBL REV",C1411="TPL REV",C1411="QD REV"),E1411&gt;12)</formula>
    </cfRule>
  </conditionalFormatting>
  <conditionalFormatting sqref="C1411:C1428">
    <cfRule type="expression" dxfId="736" priority="812">
      <formula>AND(OR(C1412="FST",C1412="REV T",C1412="DBL REV",C1412="TPL REV",C1412="QD REV"),C1411="Field SPL")</formula>
    </cfRule>
  </conditionalFormatting>
  <conditionalFormatting sqref="L1443">
    <cfRule type="cellIs" dxfId="735" priority="808" operator="lessThan">
      <formula>$L$7</formula>
    </cfRule>
  </conditionalFormatting>
  <conditionalFormatting sqref="I1442">
    <cfRule type="cellIs" dxfId="734" priority="807" operator="lessThan">
      <formula>0</formula>
    </cfRule>
  </conditionalFormatting>
  <conditionalFormatting sqref="H1452:I1476">
    <cfRule type="cellIs" dxfId="733" priority="806" operator="lessThan">
      <formula>0</formula>
    </cfRule>
  </conditionalFormatting>
  <conditionalFormatting sqref="E1476">
    <cfRule type="expression" dxfId="732" priority="805">
      <formula>AND(OR(C1476="NO",C1476="REV T",C1476="DBL REV",C1476="TPL REV",C1476="QD REV"),E1476&gt;12)</formula>
    </cfRule>
  </conditionalFormatting>
  <conditionalFormatting sqref="B1464:B1476">
    <cfRule type="expression" dxfId="731" priority="803">
      <formula>Z1464="error"</formula>
    </cfRule>
  </conditionalFormatting>
  <conditionalFormatting sqref="B1464:B1476">
    <cfRule type="expression" dxfId="730" priority="802">
      <formula>AA1466="error"</formula>
    </cfRule>
  </conditionalFormatting>
  <conditionalFormatting sqref="E1476">
    <cfRule type="expression" dxfId="729" priority="801">
      <formula>AND(OR(C1476="NO",C1476="REV T",C1476="DBL REV",C1476="TPL REV",C1476="QD REV"),E1476&gt;12)</formula>
    </cfRule>
  </conditionalFormatting>
  <conditionalFormatting sqref="E1447">
    <cfRule type="expression" dxfId="728" priority="798">
      <formula>AND(E1442="EUC",E1443&gt;48,E1447="Y")</formula>
    </cfRule>
    <cfRule type="expression" dxfId="727" priority="799">
      <formula>AND(E1442="RPX",E1443&gt;48,E1447="Y")</formula>
    </cfRule>
    <cfRule type="expression" dxfId="726" priority="800">
      <formula>AND(E1442="SS",E1443&gt;48,E1447="Y")</formula>
    </cfRule>
  </conditionalFormatting>
  <conditionalFormatting sqref="I1446">
    <cfRule type="expression" dxfId="725" priority="795">
      <formula>I1446=0</formula>
    </cfRule>
    <cfRule type="expression" dxfId="724" priority="796">
      <formula>MOD(I1446,2)=0</formula>
    </cfRule>
  </conditionalFormatting>
  <conditionalFormatting sqref="E1470:E1475">
    <cfRule type="expression" dxfId="723" priority="794">
      <formula>AND(OR(C1470="NO",C1470="REV T",C1470="DBL REV",C1470="TPL REV",C1470="QD REV"),E1470&gt;12)</formula>
    </cfRule>
  </conditionalFormatting>
  <conditionalFormatting sqref="C1470:C1476">
    <cfRule type="expression" dxfId="722" priority="793">
      <formula>AND(OR(C1471="FST",C1471="REV T",C1471="DBL REV",C1471="TPL REV",C1471="QD REV"),C1470="Field SPL")</formula>
    </cfRule>
  </conditionalFormatting>
  <conditionalFormatting sqref="I1441">
    <cfRule type="expression" dxfId="721" priority="792">
      <formula>AND(E1442="EUC",E1443=432,I1441&gt;204)</formula>
    </cfRule>
  </conditionalFormatting>
  <conditionalFormatting sqref="E1443">
    <cfRule type="expression" dxfId="720" priority="788">
      <formula>(AND(E1442="EUC",E1443=432))</formula>
    </cfRule>
    <cfRule type="expression" dxfId="719" priority="789">
      <formula>AND(E1442="SS",E1443&gt;216)</formula>
    </cfRule>
    <cfRule type="expression" dxfId="718" priority="790">
      <formula>(AND(E1442="EUC",E1443&gt;216))</formula>
    </cfRule>
    <cfRule type="expression" dxfId="717" priority="791">
      <formula>AND(E1442="RPX",E1443&gt;216)</formula>
    </cfRule>
  </conditionalFormatting>
  <conditionalFormatting sqref="E1452:E1469">
    <cfRule type="expression" dxfId="716" priority="787">
      <formula>AND(OR(C1452="NO",C1452="REV T",C1452="DBL REV",C1452="TPL REV",C1452="QD REV"),E1452&gt;12)</formula>
    </cfRule>
  </conditionalFormatting>
  <conditionalFormatting sqref="C1452:C1469">
    <cfRule type="expression" dxfId="715" priority="786">
      <formula>AND(OR(C1453="FST",C1453="REV T",C1453="DBL REV",C1453="TPL REV",C1453="QD REV"),C1452="Field SPL")</formula>
    </cfRule>
  </conditionalFormatting>
  <conditionalFormatting sqref="L1484">
    <cfRule type="cellIs" dxfId="714" priority="782" operator="lessThan">
      <formula>$L$7</formula>
    </cfRule>
  </conditionalFormatting>
  <conditionalFormatting sqref="I1483">
    <cfRule type="cellIs" dxfId="713" priority="781" operator="lessThan">
      <formula>0</formula>
    </cfRule>
  </conditionalFormatting>
  <conditionalFormatting sqref="H1493:I1517">
    <cfRule type="cellIs" dxfId="712" priority="780" operator="lessThan">
      <formula>0</formula>
    </cfRule>
  </conditionalFormatting>
  <conditionalFormatting sqref="E1517">
    <cfRule type="expression" dxfId="711" priority="779">
      <formula>AND(OR(C1517="NO",C1517="REV T",C1517="DBL REV",C1517="TPL REV",C1517="QD REV"),E1517&gt;12)</formula>
    </cfRule>
  </conditionalFormatting>
  <conditionalFormatting sqref="B1505:B1517">
    <cfRule type="expression" dxfId="710" priority="777">
      <formula>Z1505="error"</formula>
    </cfRule>
  </conditionalFormatting>
  <conditionalFormatting sqref="B1505:B1517">
    <cfRule type="expression" dxfId="709" priority="776">
      <formula>AA1507="error"</formula>
    </cfRule>
  </conditionalFormatting>
  <conditionalFormatting sqref="E1517">
    <cfRule type="expression" dxfId="708" priority="775">
      <formula>AND(OR(C1517="NO",C1517="REV T",C1517="DBL REV",C1517="TPL REV",C1517="QD REV"),E1517&gt;12)</formula>
    </cfRule>
  </conditionalFormatting>
  <conditionalFormatting sqref="E1488">
    <cfRule type="expression" dxfId="707" priority="772">
      <formula>AND(E1483="EUC",E1484&gt;48,E1488="Y")</formula>
    </cfRule>
    <cfRule type="expression" dxfId="706" priority="773">
      <formula>AND(E1483="RPX",E1484&gt;48,E1488="Y")</formula>
    </cfRule>
    <cfRule type="expression" dxfId="705" priority="774">
      <formula>AND(E1483="SS",E1484&gt;48,E1488="Y")</formula>
    </cfRule>
  </conditionalFormatting>
  <conditionalFormatting sqref="I1487">
    <cfRule type="expression" dxfId="704" priority="769">
      <formula>I1487=0</formula>
    </cfRule>
    <cfRule type="expression" dxfId="703" priority="770">
      <formula>MOD(I1487,2)=0</formula>
    </cfRule>
  </conditionalFormatting>
  <conditionalFormatting sqref="E1511:E1516">
    <cfRule type="expression" dxfId="702" priority="768">
      <formula>AND(OR(C1511="NO",C1511="REV T",C1511="DBL REV",C1511="TPL REV",C1511="QD REV"),E1511&gt;12)</formula>
    </cfRule>
  </conditionalFormatting>
  <conditionalFormatting sqref="C1511:C1517">
    <cfRule type="expression" dxfId="701" priority="767">
      <formula>AND(OR(C1512="FST",C1512="REV T",C1512="DBL REV",C1512="TPL REV",C1512="QD REV"),C1511="Field SPL")</formula>
    </cfRule>
  </conditionalFormatting>
  <conditionalFormatting sqref="I1482">
    <cfRule type="expression" dxfId="700" priority="766">
      <formula>AND(E1483="EUC",E1484=432,I1482&gt;204)</formula>
    </cfRule>
  </conditionalFormatting>
  <conditionalFormatting sqref="E1484">
    <cfRule type="expression" dxfId="699" priority="762">
      <formula>(AND(E1483="EUC",E1484=432))</formula>
    </cfRule>
    <cfRule type="expression" dxfId="698" priority="763">
      <formula>AND(E1483="SS",E1484&gt;216)</formula>
    </cfRule>
    <cfRule type="expression" dxfId="697" priority="764">
      <formula>(AND(E1483="EUC",E1484&gt;216))</formula>
    </cfRule>
    <cfRule type="expression" dxfId="696" priority="765">
      <formula>AND(E1483="RPX",E1484&gt;216)</formula>
    </cfRule>
  </conditionalFormatting>
  <conditionalFormatting sqref="E1493:E1510">
    <cfRule type="expression" dxfId="695" priority="761">
      <formula>AND(OR(C1493="NO",C1493="REV T",C1493="DBL REV",C1493="TPL REV",C1493="QD REV"),E1493&gt;12)</formula>
    </cfRule>
  </conditionalFormatting>
  <conditionalFormatting sqref="C1493:C1510">
    <cfRule type="expression" dxfId="694" priority="760">
      <formula>AND(OR(C1494="FST",C1494="REV T",C1494="DBL REV",C1494="TPL REV",C1494="QD REV"),C1493="Field SPL")</formula>
    </cfRule>
  </conditionalFormatting>
  <conditionalFormatting sqref="L1525">
    <cfRule type="cellIs" dxfId="693" priority="756" operator="lessThan">
      <formula>$L$7</formula>
    </cfRule>
  </conditionalFormatting>
  <conditionalFormatting sqref="I1524">
    <cfRule type="cellIs" dxfId="692" priority="755" operator="lessThan">
      <formula>0</formula>
    </cfRule>
  </conditionalFormatting>
  <conditionalFormatting sqref="H1534:I1558">
    <cfRule type="cellIs" dxfId="691" priority="754" operator="lessThan">
      <formula>0</formula>
    </cfRule>
  </conditionalFormatting>
  <conditionalFormatting sqref="E1558">
    <cfRule type="expression" dxfId="690" priority="753">
      <formula>AND(OR(C1558="NO",C1558="REV T",C1558="DBL REV",C1558="TPL REV",C1558="QD REV"),E1558&gt;12)</formula>
    </cfRule>
  </conditionalFormatting>
  <conditionalFormatting sqref="B1546:B1558">
    <cfRule type="expression" dxfId="689" priority="751">
      <formula>Z1546="error"</formula>
    </cfRule>
  </conditionalFormatting>
  <conditionalFormatting sqref="B1546:B1558">
    <cfRule type="expression" dxfId="688" priority="750">
      <formula>AA1548="error"</formula>
    </cfRule>
  </conditionalFormatting>
  <conditionalFormatting sqref="E1558">
    <cfRule type="expression" dxfId="687" priority="749">
      <formula>AND(OR(C1558="NO",C1558="REV T",C1558="DBL REV",C1558="TPL REV",C1558="QD REV"),E1558&gt;12)</formula>
    </cfRule>
  </conditionalFormatting>
  <conditionalFormatting sqref="E1529">
    <cfRule type="expression" dxfId="686" priority="746">
      <formula>AND(E1524="EUC",E1525&gt;48,E1529="Y")</formula>
    </cfRule>
    <cfRule type="expression" dxfId="685" priority="747">
      <formula>AND(E1524="RPX",E1525&gt;48,E1529="Y")</formula>
    </cfRule>
    <cfRule type="expression" dxfId="684" priority="748">
      <formula>AND(E1524="SS",E1525&gt;48,E1529="Y")</formula>
    </cfRule>
  </conditionalFormatting>
  <conditionalFormatting sqref="I1528">
    <cfRule type="expression" dxfId="683" priority="743">
      <formula>I1528=0</formula>
    </cfRule>
    <cfRule type="expression" dxfId="682" priority="744">
      <formula>MOD(I1528,2)=0</formula>
    </cfRule>
  </conditionalFormatting>
  <conditionalFormatting sqref="E1552:E1557">
    <cfRule type="expression" dxfId="681" priority="742">
      <formula>AND(OR(C1552="NO",C1552="REV T",C1552="DBL REV",C1552="TPL REV",C1552="QD REV"),E1552&gt;12)</formula>
    </cfRule>
  </conditionalFormatting>
  <conditionalFormatting sqref="C1552:C1558">
    <cfRule type="expression" dxfId="680" priority="741">
      <formula>AND(OR(C1553="FST",C1553="REV T",C1553="DBL REV",C1553="TPL REV",C1553="QD REV"),C1552="Field SPL")</formula>
    </cfRule>
  </conditionalFormatting>
  <conditionalFormatting sqref="I1523">
    <cfRule type="expression" dxfId="679" priority="740">
      <formula>AND(E1524="EUC",E1525=432,I1523&gt;204)</formula>
    </cfRule>
  </conditionalFormatting>
  <conditionalFormatting sqref="E1525">
    <cfRule type="expression" dxfId="678" priority="736">
      <formula>(AND(E1524="EUC",E1525=432))</formula>
    </cfRule>
    <cfRule type="expression" dxfId="677" priority="737">
      <formula>AND(E1524="SS",E1525&gt;216)</formula>
    </cfRule>
    <cfRule type="expression" dxfId="676" priority="738">
      <formula>(AND(E1524="EUC",E1525&gt;216))</formula>
    </cfRule>
    <cfRule type="expression" dxfId="675" priority="739">
      <formula>AND(E1524="RPX",E1525&gt;216)</formula>
    </cfRule>
  </conditionalFormatting>
  <conditionalFormatting sqref="E1534:E1551">
    <cfRule type="expression" dxfId="674" priority="735">
      <formula>AND(OR(C1534="NO",C1534="REV T",C1534="DBL REV",C1534="TPL REV",C1534="QD REV"),E1534&gt;12)</formula>
    </cfRule>
  </conditionalFormatting>
  <conditionalFormatting sqref="C1534:C1551">
    <cfRule type="expression" dxfId="673" priority="734">
      <formula>AND(OR(C1535="FST",C1535="REV T",C1535="DBL REV",C1535="TPL REV",C1535="QD REV"),C1534="Field SPL")</formula>
    </cfRule>
  </conditionalFormatting>
  <conditionalFormatting sqref="L1566">
    <cfRule type="cellIs" dxfId="672" priority="730" operator="lessThan">
      <formula>$L$7</formula>
    </cfRule>
  </conditionalFormatting>
  <conditionalFormatting sqref="I1565">
    <cfRule type="cellIs" dxfId="671" priority="729" operator="lessThan">
      <formula>0</formula>
    </cfRule>
  </conditionalFormatting>
  <conditionalFormatting sqref="H1575:I1599">
    <cfRule type="cellIs" dxfId="670" priority="728" operator="lessThan">
      <formula>0</formula>
    </cfRule>
  </conditionalFormatting>
  <conditionalFormatting sqref="E1599">
    <cfRule type="expression" dxfId="669" priority="727">
      <formula>AND(OR(C1599="NO",C1599="REV T",C1599="DBL REV",C1599="TPL REV",C1599="QD REV"),E1599&gt;12)</formula>
    </cfRule>
  </conditionalFormatting>
  <conditionalFormatting sqref="B1587:B1599">
    <cfRule type="expression" dxfId="668" priority="725">
      <formula>Z1587="error"</formula>
    </cfRule>
  </conditionalFormatting>
  <conditionalFormatting sqref="B1587:B1599">
    <cfRule type="expression" dxfId="667" priority="724">
      <formula>AA1589="error"</formula>
    </cfRule>
  </conditionalFormatting>
  <conditionalFormatting sqref="E1599">
    <cfRule type="expression" dxfId="666" priority="723">
      <formula>AND(OR(C1599="NO",C1599="REV T",C1599="DBL REV",C1599="TPL REV",C1599="QD REV"),E1599&gt;12)</formula>
    </cfRule>
  </conditionalFormatting>
  <conditionalFormatting sqref="E1570">
    <cfRule type="expression" dxfId="665" priority="720">
      <formula>AND(E1565="EUC",E1566&gt;48,E1570="Y")</formula>
    </cfRule>
    <cfRule type="expression" dxfId="664" priority="721">
      <formula>AND(E1565="RPX",E1566&gt;48,E1570="Y")</formula>
    </cfRule>
    <cfRule type="expression" dxfId="663" priority="722">
      <formula>AND(E1565="SS",E1566&gt;48,E1570="Y")</formula>
    </cfRule>
  </conditionalFormatting>
  <conditionalFormatting sqref="I1569">
    <cfRule type="expression" dxfId="662" priority="717">
      <formula>I1569=0</formula>
    </cfRule>
    <cfRule type="expression" dxfId="661" priority="718">
      <formula>MOD(I1569,2)=0</formula>
    </cfRule>
  </conditionalFormatting>
  <conditionalFormatting sqref="E1593:E1598">
    <cfRule type="expression" dxfId="660" priority="716">
      <formula>AND(OR(C1593="NO",C1593="REV T",C1593="DBL REV",C1593="TPL REV",C1593="QD REV"),E1593&gt;12)</formula>
    </cfRule>
  </conditionalFormatting>
  <conditionalFormatting sqref="C1593:C1599">
    <cfRule type="expression" dxfId="659" priority="715">
      <formula>AND(OR(C1594="FST",C1594="REV T",C1594="DBL REV",C1594="TPL REV",C1594="QD REV"),C1593="Field SPL")</formula>
    </cfRule>
  </conditionalFormatting>
  <conditionalFormatting sqref="I1564">
    <cfRule type="expression" dxfId="658" priority="714">
      <formula>AND(E1565="EUC",E1566=432,I1564&gt;204)</formula>
    </cfRule>
  </conditionalFormatting>
  <conditionalFormatting sqref="E1566">
    <cfRule type="expression" dxfId="657" priority="710">
      <formula>(AND(E1565="EUC",E1566=432))</formula>
    </cfRule>
    <cfRule type="expression" dxfId="656" priority="711">
      <formula>AND(E1565="SS",E1566&gt;216)</formula>
    </cfRule>
    <cfRule type="expression" dxfId="655" priority="712">
      <formula>(AND(E1565="EUC",E1566&gt;216))</formula>
    </cfRule>
    <cfRule type="expression" dxfId="654" priority="713">
      <formula>AND(E1565="RPX",E1566&gt;216)</formula>
    </cfRule>
  </conditionalFormatting>
  <conditionalFormatting sqref="E1575:E1592">
    <cfRule type="expression" dxfId="653" priority="709">
      <formula>AND(OR(C1575="NO",C1575="REV T",C1575="DBL REV",C1575="TPL REV",C1575="QD REV"),E1575&gt;12)</formula>
    </cfRule>
  </conditionalFormatting>
  <conditionalFormatting sqref="C1575:C1592">
    <cfRule type="expression" dxfId="652" priority="708">
      <formula>AND(OR(C1576="FST",C1576="REV T",C1576="DBL REV",C1576="TPL REV",C1576="QD REV"),C1575="Field SPL")</formula>
    </cfRule>
  </conditionalFormatting>
  <conditionalFormatting sqref="L1607">
    <cfRule type="cellIs" dxfId="651" priority="704" operator="lessThan">
      <formula>$L$7</formula>
    </cfRule>
  </conditionalFormatting>
  <conditionalFormatting sqref="I1606">
    <cfRule type="cellIs" dxfId="650" priority="703" operator="lessThan">
      <formula>0</formula>
    </cfRule>
  </conditionalFormatting>
  <conditionalFormatting sqref="H1616:I1640">
    <cfRule type="cellIs" dxfId="649" priority="702" operator="lessThan">
      <formula>0</formula>
    </cfRule>
  </conditionalFormatting>
  <conditionalFormatting sqref="E1640">
    <cfRule type="expression" dxfId="648" priority="701">
      <formula>AND(OR(C1640="NO",C1640="REV T",C1640="DBL REV",C1640="TPL REV",C1640="QD REV"),E1640&gt;12)</formula>
    </cfRule>
  </conditionalFormatting>
  <conditionalFormatting sqref="B1628:B1640">
    <cfRule type="expression" dxfId="647" priority="699">
      <formula>Z1628="error"</formula>
    </cfRule>
  </conditionalFormatting>
  <conditionalFormatting sqref="B1628:B1640">
    <cfRule type="expression" dxfId="646" priority="698">
      <formula>AA1630="error"</formula>
    </cfRule>
  </conditionalFormatting>
  <conditionalFormatting sqref="E1640">
    <cfRule type="expression" dxfId="645" priority="697">
      <formula>AND(OR(C1640="NO",C1640="REV T",C1640="DBL REV",C1640="TPL REV",C1640="QD REV"),E1640&gt;12)</formula>
    </cfRule>
  </conditionalFormatting>
  <conditionalFormatting sqref="E1611">
    <cfRule type="expression" dxfId="644" priority="694">
      <formula>AND(E1606="EUC",E1607&gt;48,E1611="Y")</formula>
    </cfRule>
    <cfRule type="expression" dxfId="643" priority="695">
      <formula>AND(E1606="RPX",E1607&gt;48,E1611="Y")</formula>
    </cfRule>
    <cfRule type="expression" dxfId="642" priority="696">
      <formula>AND(E1606="SS",E1607&gt;48,E1611="Y")</formula>
    </cfRule>
  </conditionalFormatting>
  <conditionalFormatting sqref="I1610">
    <cfRule type="expression" dxfId="641" priority="691">
      <formula>I1610=0</formula>
    </cfRule>
    <cfRule type="expression" dxfId="640" priority="692">
      <formula>MOD(I1610,2)=0</formula>
    </cfRule>
  </conditionalFormatting>
  <conditionalFormatting sqref="E1634:E1639">
    <cfRule type="expression" dxfId="639" priority="690">
      <formula>AND(OR(C1634="NO",C1634="REV T",C1634="DBL REV",C1634="TPL REV",C1634="QD REV"),E1634&gt;12)</formula>
    </cfRule>
  </conditionalFormatting>
  <conditionalFormatting sqref="C1634:C1640">
    <cfRule type="expression" dxfId="638" priority="689">
      <formula>AND(OR(C1635="FST",C1635="REV T",C1635="DBL REV",C1635="TPL REV",C1635="QD REV"),C1634="Field SPL")</formula>
    </cfRule>
  </conditionalFormatting>
  <conditionalFormatting sqref="I1605">
    <cfRule type="expression" dxfId="637" priority="688">
      <formula>AND(E1606="EUC",E1607=432,I1605&gt;204)</formula>
    </cfRule>
  </conditionalFormatting>
  <conditionalFormatting sqref="E1607">
    <cfRule type="expression" dxfId="636" priority="684">
      <formula>(AND(E1606="EUC",E1607=432))</formula>
    </cfRule>
    <cfRule type="expression" dxfId="635" priority="685">
      <formula>AND(E1606="SS",E1607&gt;216)</formula>
    </cfRule>
    <cfRule type="expression" dxfId="634" priority="686">
      <formula>(AND(E1606="EUC",E1607&gt;216))</formula>
    </cfRule>
    <cfRule type="expression" dxfId="633" priority="687">
      <formula>AND(E1606="RPX",E1607&gt;216)</formula>
    </cfRule>
  </conditionalFormatting>
  <conditionalFormatting sqref="E1616:E1633">
    <cfRule type="expression" dxfId="632" priority="683">
      <formula>AND(OR(C1616="NO",C1616="REV T",C1616="DBL REV",C1616="TPL REV",C1616="QD REV"),E1616&gt;12)</formula>
    </cfRule>
  </conditionalFormatting>
  <conditionalFormatting sqref="C1616:C1633">
    <cfRule type="expression" dxfId="631" priority="682">
      <formula>AND(OR(C1617="FST",C1617="REV T",C1617="DBL REV",C1617="TPL REV",C1617="QD REV"),C1616="Field SPL")</formula>
    </cfRule>
  </conditionalFormatting>
  <conditionalFormatting sqref="L1648">
    <cfRule type="cellIs" dxfId="630" priority="678" operator="lessThan">
      <formula>$L$7</formula>
    </cfRule>
  </conditionalFormatting>
  <conditionalFormatting sqref="I1647">
    <cfRule type="cellIs" dxfId="629" priority="677" operator="lessThan">
      <formula>0</formula>
    </cfRule>
  </conditionalFormatting>
  <conditionalFormatting sqref="H1657:I1681">
    <cfRule type="cellIs" dxfId="628" priority="676" operator="lessThan">
      <formula>0</formula>
    </cfRule>
  </conditionalFormatting>
  <conditionalFormatting sqref="E1681">
    <cfRule type="expression" dxfId="627" priority="675">
      <formula>AND(OR(C1681="NO",C1681="REV T",C1681="DBL REV",C1681="TPL REV",C1681="QD REV"),E1681&gt;12)</formula>
    </cfRule>
  </conditionalFormatting>
  <conditionalFormatting sqref="B1669:B1681">
    <cfRule type="expression" dxfId="626" priority="673">
      <formula>Z1669="error"</formula>
    </cfRule>
  </conditionalFormatting>
  <conditionalFormatting sqref="B1669:B1681">
    <cfRule type="expression" dxfId="625" priority="672">
      <formula>AA1671="error"</formula>
    </cfRule>
  </conditionalFormatting>
  <conditionalFormatting sqref="E1681">
    <cfRule type="expression" dxfId="624" priority="671">
      <formula>AND(OR(C1681="NO",C1681="REV T",C1681="DBL REV",C1681="TPL REV",C1681="QD REV"),E1681&gt;12)</formula>
    </cfRule>
  </conditionalFormatting>
  <conditionalFormatting sqref="E1652">
    <cfRule type="expression" dxfId="623" priority="668">
      <formula>AND(E1647="EUC",E1648&gt;48,E1652="Y")</formula>
    </cfRule>
    <cfRule type="expression" dxfId="622" priority="669">
      <formula>AND(E1647="RPX",E1648&gt;48,E1652="Y")</formula>
    </cfRule>
    <cfRule type="expression" dxfId="621" priority="670">
      <formula>AND(E1647="SS",E1648&gt;48,E1652="Y")</formula>
    </cfRule>
  </conditionalFormatting>
  <conditionalFormatting sqref="I1651">
    <cfRule type="expression" dxfId="620" priority="665">
      <formula>I1651=0</formula>
    </cfRule>
    <cfRule type="expression" dxfId="619" priority="666">
      <formula>MOD(I1651,2)=0</formula>
    </cfRule>
  </conditionalFormatting>
  <conditionalFormatting sqref="E1675:E1680">
    <cfRule type="expression" dxfId="618" priority="664">
      <formula>AND(OR(C1675="NO",C1675="REV T",C1675="DBL REV",C1675="TPL REV",C1675="QD REV"),E1675&gt;12)</formula>
    </cfRule>
  </conditionalFormatting>
  <conditionalFormatting sqref="C1675:C1681">
    <cfRule type="expression" dxfId="617" priority="663">
      <formula>AND(OR(C1676="FST",C1676="REV T",C1676="DBL REV",C1676="TPL REV",C1676="QD REV"),C1675="Field SPL")</formula>
    </cfRule>
  </conditionalFormatting>
  <conditionalFormatting sqref="I1646">
    <cfRule type="expression" dxfId="616" priority="662">
      <formula>AND(E1647="EUC",E1648=432,I1646&gt;204)</formula>
    </cfRule>
  </conditionalFormatting>
  <conditionalFormatting sqref="E1648">
    <cfRule type="expression" dxfId="615" priority="658">
      <formula>(AND(E1647="EUC",E1648=432))</formula>
    </cfRule>
    <cfRule type="expression" dxfId="614" priority="659">
      <formula>AND(E1647="SS",E1648&gt;216)</formula>
    </cfRule>
    <cfRule type="expression" dxfId="613" priority="660">
      <formula>(AND(E1647="EUC",E1648&gt;216))</formula>
    </cfRule>
    <cfRule type="expression" dxfId="612" priority="661">
      <formula>AND(E1647="RPX",E1648&gt;216)</formula>
    </cfRule>
  </conditionalFormatting>
  <conditionalFormatting sqref="E1657:E1674">
    <cfRule type="expression" dxfId="611" priority="657">
      <formula>AND(OR(C1657="NO",C1657="REV T",C1657="DBL REV",C1657="TPL REV",C1657="QD REV"),E1657&gt;12)</formula>
    </cfRule>
  </conditionalFormatting>
  <conditionalFormatting sqref="C1657:C1674">
    <cfRule type="expression" dxfId="610" priority="656">
      <formula>AND(OR(C1658="FST",C1658="REV T",C1658="DBL REV",C1658="TPL REV",C1658="QD REV"),C1657="Field SPL")</formula>
    </cfRule>
  </conditionalFormatting>
  <conditionalFormatting sqref="L1689">
    <cfRule type="cellIs" dxfId="609" priority="652" operator="lessThan">
      <formula>$L$7</formula>
    </cfRule>
  </conditionalFormatting>
  <conditionalFormatting sqref="I1688">
    <cfRule type="cellIs" dxfId="608" priority="651" operator="lessThan">
      <formula>0</formula>
    </cfRule>
  </conditionalFormatting>
  <conditionalFormatting sqref="H1698:I1722">
    <cfRule type="cellIs" dxfId="607" priority="650" operator="lessThan">
      <formula>0</formula>
    </cfRule>
  </conditionalFormatting>
  <conditionalFormatting sqref="E1722">
    <cfRule type="expression" dxfId="606" priority="649">
      <formula>AND(OR(C1722="NO",C1722="REV T",C1722="DBL REV",C1722="TPL REV",C1722="QD REV"),E1722&gt;12)</formula>
    </cfRule>
  </conditionalFormatting>
  <conditionalFormatting sqref="B1710:B1722">
    <cfRule type="expression" dxfId="605" priority="647">
      <formula>Z1710="error"</formula>
    </cfRule>
  </conditionalFormatting>
  <conditionalFormatting sqref="B1710:B1722">
    <cfRule type="expression" dxfId="604" priority="646">
      <formula>AA1712="error"</formula>
    </cfRule>
  </conditionalFormatting>
  <conditionalFormatting sqref="E1722">
    <cfRule type="expression" dxfId="603" priority="645">
      <formula>AND(OR(C1722="NO",C1722="REV T",C1722="DBL REV",C1722="TPL REV",C1722="QD REV"),E1722&gt;12)</formula>
    </cfRule>
  </conditionalFormatting>
  <conditionalFormatting sqref="E1693">
    <cfRule type="expression" dxfId="602" priority="642">
      <formula>AND(E1688="EUC",E1689&gt;48,E1693="Y")</formula>
    </cfRule>
    <cfRule type="expression" dxfId="601" priority="643">
      <formula>AND(E1688="RPX",E1689&gt;48,E1693="Y")</formula>
    </cfRule>
    <cfRule type="expression" dxfId="600" priority="644">
      <formula>AND(E1688="SS",E1689&gt;48,E1693="Y")</formula>
    </cfRule>
  </conditionalFormatting>
  <conditionalFormatting sqref="I1692">
    <cfRule type="expression" dxfId="599" priority="639">
      <formula>I1692=0</formula>
    </cfRule>
    <cfRule type="expression" dxfId="598" priority="640">
      <formula>MOD(I1692,2)=0</formula>
    </cfRule>
  </conditionalFormatting>
  <conditionalFormatting sqref="E1716:E1721">
    <cfRule type="expression" dxfId="597" priority="638">
      <formula>AND(OR(C1716="NO",C1716="REV T",C1716="DBL REV",C1716="TPL REV",C1716="QD REV"),E1716&gt;12)</formula>
    </cfRule>
  </conditionalFormatting>
  <conditionalFormatting sqref="C1716:C1722">
    <cfRule type="expression" dxfId="596" priority="637">
      <formula>AND(OR(C1717="FST",C1717="REV T",C1717="DBL REV",C1717="TPL REV",C1717="QD REV"),C1716="Field SPL")</formula>
    </cfRule>
  </conditionalFormatting>
  <conditionalFormatting sqref="I1687">
    <cfRule type="expression" dxfId="595" priority="636">
      <formula>AND(E1688="EUC",E1689=432,I1687&gt;204)</formula>
    </cfRule>
  </conditionalFormatting>
  <conditionalFormatting sqref="E1689">
    <cfRule type="expression" dxfId="594" priority="632">
      <formula>(AND(E1688="EUC",E1689=432))</formula>
    </cfRule>
    <cfRule type="expression" dxfId="593" priority="633">
      <formula>AND(E1688="SS",E1689&gt;216)</formula>
    </cfRule>
    <cfRule type="expression" dxfId="592" priority="634">
      <formula>(AND(E1688="EUC",E1689&gt;216))</formula>
    </cfRule>
    <cfRule type="expression" dxfId="591" priority="635">
      <formula>AND(E1688="RPX",E1689&gt;216)</formula>
    </cfRule>
  </conditionalFormatting>
  <conditionalFormatting sqref="E1698:E1715">
    <cfRule type="expression" dxfId="590" priority="631">
      <formula>AND(OR(C1698="NO",C1698="REV T",C1698="DBL REV",C1698="TPL REV",C1698="QD REV"),E1698&gt;12)</formula>
    </cfRule>
  </conditionalFormatting>
  <conditionalFormatting sqref="C1698:C1715">
    <cfRule type="expression" dxfId="589" priority="630">
      <formula>AND(OR(C1699="FST",C1699="REV T",C1699="DBL REV",C1699="TPL REV",C1699="QD REV"),C1698="Field SPL")</formula>
    </cfRule>
  </conditionalFormatting>
  <conditionalFormatting sqref="L1730">
    <cfRule type="cellIs" dxfId="588" priority="626" operator="lessThan">
      <formula>$L$7</formula>
    </cfRule>
  </conditionalFormatting>
  <conditionalFormatting sqref="I1729">
    <cfRule type="cellIs" dxfId="587" priority="625" operator="lessThan">
      <formula>0</formula>
    </cfRule>
  </conditionalFormatting>
  <conditionalFormatting sqref="H1739:I1763">
    <cfRule type="cellIs" dxfId="586" priority="624" operator="lessThan">
      <formula>0</formula>
    </cfRule>
  </conditionalFormatting>
  <conditionalFormatting sqref="E1763">
    <cfRule type="expression" dxfId="585" priority="623">
      <formula>AND(OR(C1763="NO",C1763="REV T",C1763="DBL REV",C1763="TPL REV",C1763="QD REV"),E1763&gt;12)</formula>
    </cfRule>
  </conditionalFormatting>
  <conditionalFormatting sqref="B1751:B1763">
    <cfRule type="expression" dxfId="584" priority="621">
      <formula>Z1751="error"</formula>
    </cfRule>
  </conditionalFormatting>
  <conditionalFormatting sqref="B1751:B1763">
    <cfRule type="expression" dxfId="583" priority="620">
      <formula>AA1753="error"</formula>
    </cfRule>
  </conditionalFormatting>
  <conditionalFormatting sqref="E1763">
    <cfRule type="expression" dxfId="582" priority="619">
      <formula>AND(OR(C1763="NO",C1763="REV T",C1763="DBL REV",C1763="TPL REV",C1763="QD REV"),E1763&gt;12)</formula>
    </cfRule>
  </conditionalFormatting>
  <conditionalFormatting sqref="E1734">
    <cfRule type="expression" dxfId="581" priority="616">
      <formula>AND(E1729="EUC",E1730&gt;48,E1734="Y")</formula>
    </cfRule>
    <cfRule type="expression" dxfId="580" priority="617">
      <formula>AND(E1729="RPX",E1730&gt;48,E1734="Y")</formula>
    </cfRule>
    <cfRule type="expression" dxfId="579" priority="618">
      <formula>AND(E1729="SS",E1730&gt;48,E1734="Y")</formula>
    </cfRule>
  </conditionalFormatting>
  <conditionalFormatting sqref="I1733">
    <cfRule type="expression" dxfId="578" priority="613">
      <formula>I1733=0</formula>
    </cfRule>
    <cfRule type="expression" dxfId="577" priority="614">
      <formula>MOD(I1733,2)=0</formula>
    </cfRule>
  </conditionalFormatting>
  <conditionalFormatting sqref="E1757:E1762">
    <cfRule type="expression" dxfId="576" priority="612">
      <formula>AND(OR(C1757="NO",C1757="REV T",C1757="DBL REV",C1757="TPL REV",C1757="QD REV"),E1757&gt;12)</formula>
    </cfRule>
  </conditionalFormatting>
  <conditionalFormatting sqref="C1757:C1763">
    <cfRule type="expression" dxfId="575" priority="611">
      <formula>AND(OR(C1758="FST",C1758="REV T",C1758="DBL REV",C1758="TPL REV",C1758="QD REV"),C1757="Field SPL")</formula>
    </cfRule>
  </conditionalFormatting>
  <conditionalFormatting sqref="I1728">
    <cfRule type="expression" dxfId="574" priority="610">
      <formula>AND(E1729="EUC",E1730=432,I1728&gt;204)</formula>
    </cfRule>
  </conditionalFormatting>
  <conditionalFormatting sqref="E1730">
    <cfRule type="expression" dxfId="573" priority="606">
      <formula>(AND(E1729="EUC",E1730=432))</formula>
    </cfRule>
    <cfRule type="expression" dxfId="572" priority="607">
      <formula>AND(E1729="SS",E1730&gt;216)</formula>
    </cfRule>
    <cfRule type="expression" dxfId="571" priority="608">
      <formula>(AND(E1729="EUC",E1730&gt;216))</formula>
    </cfRule>
    <cfRule type="expression" dxfId="570" priority="609">
      <formula>AND(E1729="RPX",E1730&gt;216)</formula>
    </cfRule>
  </conditionalFormatting>
  <conditionalFormatting sqref="E1739:E1756">
    <cfRule type="expression" dxfId="569" priority="605">
      <formula>AND(OR(C1739="NO",C1739="REV T",C1739="DBL REV",C1739="TPL REV",C1739="QD REV"),E1739&gt;12)</formula>
    </cfRule>
  </conditionalFormatting>
  <conditionalFormatting sqref="C1739:C1756">
    <cfRule type="expression" dxfId="568" priority="604">
      <formula>AND(OR(C1740="FST",C1740="REV T",C1740="DBL REV",C1740="TPL REV",C1740="QD REV"),C1739="Field SPL")</formula>
    </cfRule>
  </conditionalFormatting>
  <conditionalFormatting sqref="L1771">
    <cfRule type="cellIs" dxfId="567" priority="600" operator="lessThan">
      <formula>$L$7</formula>
    </cfRule>
  </conditionalFormatting>
  <conditionalFormatting sqref="I1770">
    <cfRule type="cellIs" dxfId="566" priority="599" operator="lessThan">
      <formula>0</formula>
    </cfRule>
  </conditionalFormatting>
  <conditionalFormatting sqref="H1780:I1804">
    <cfRule type="cellIs" dxfId="565" priority="598" operator="lessThan">
      <formula>0</formula>
    </cfRule>
  </conditionalFormatting>
  <conditionalFormatting sqref="E1804">
    <cfRule type="expression" dxfId="564" priority="597">
      <formula>AND(OR(C1804="NO",C1804="REV T",C1804="DBL REV",C1804="TPL REV",C1804="QD REV"),E1804&gt;12)</formula>
    </cfRule>
  </conditionalFormatting>
  <conditionalFormatting sqref="B1792:B1804">
    <cfRule type="expression" dxfId="563" priority="595">
      <formula>Z1792="error"</formula>
    </cfRule>
  </conditionalFormatting>
  <conditionalFormatting sqref="B1792:B1804">
    <cfRule type="expression" dxfId="562" priority="594">
      <formula>AA1794="error"</formula>
    </cfRule>
  </conditionalFormatting>
  <conditionalFormatting sqref="E1804">
    <cfRule type="expression" dxfId="561" priority="593">
      <formula>AND(OR(C1804="NO",C1804="REV T",C1804="DBL REV",C1804="TPL REV",C1804="QD REV"),E1804&gt;12)</formula>
    </cfRule>
  </conditionalFormatting>
  <conditionalFormatting sqref="E1775">
    <cfRule type="expression" dxfId="560" priority="590">
      <formula>AND(E1770="EUC",E1771&gt;48,E1775="Y")</formula>
    </cfRule>
    <cfRule type="expression" dxfId="559" priority="591">
      <formula>AND(E1770="RPX",E1771&gt;48,E1775="Y")</formula>
    </cfRule>
    <cfRule type="expression" dxfId="558" priority="592">
      <formula>AND(E1770="SS",E1771&gt;48,E1775="Y")</formula>
    </cfRule>
  </conditionalFormatting>
  <conditionalFormatting sqref="I1774">
    <cfRule type="expression" dxfId="557" priority="587">
      <formula>I1774=0</formula>
    </cfRule>
    <cfRule type="expression" dxfId="556" priority="588">
      <formula>MOD(I1774,2)=0</formula>
    </cfRule>
  </conditionalFormatting>
  <conditionalFormatting sqref="E1798:E1803">
    <cfRule type="expression" dxfId="555" priority="586">
      <formula>AND(OR(C1798="NO",C1798="REV T",C1798="DBL REV",C1798="TPL REV",C1798="QD REV"),E1798&gt;12)</formula>
    </cfRule>
  </conditionalFormatting>
  <conditionalFormatting sqref="C1798:C1804">
    <cfRule type="expression" dxfId="554" priority="585">
      <formula>AND(OR(C1799="FST",C1799="REV T",C1799="DBL REV",C1799="TPL REV",C1799="QD REV"),C1798="Field SPL")</formula>
    </cfRule>
  </conditionalFormatting>
  <conditionalFormatting sqref="I1769">
    <cfRule type="expression" dxfId="553" priority="584">
      <formula>AND(E1770="EUC",E1771=432,I1769&gt;204)</formula>
    </cfRule>
  </conditionalFormatting>
  <conditionalFormatting sqref="E1771">
    <cfRule type="expression" dxfId="552" priority="580">
      <formula>(AND(E1770="EUC",E1771=432))</formula>
    </cfRule>
    <cfRule type="expression" dxfId="551" priority="581">
      <formula>AND(E1770="SS",E1771&gt;216)</formula>
    </cfRule>
    <cfRule type="expression" dxfId="550" priority="582">
      <formula>(AND(E1770="EUC",E1771&gt;216))</formula>
    </cfRule>
    <cfRule type="expression" dxfId="549" priority="583">
      <formula>AND(E1770="RPX",E1771&gt;216)</formula>
    </cfRule>
  </conditionalFormatting>
  <conditionalFormatting sqref="E1780:E1797">
    <cfRule type="expression" dxfId="548" priority="579">
      <formula>AND(OR(C1780="NO",C1780="REV T",C1780="DBL REV",C1780="TPL REV",C1780="QD REV"),E1780&gt;12)</formula>
    </cfRule>
  </conditionalFormatting>
  <conditionalFormatting sqref="C1780:C1797">
    <cfRule type="expression" dxfId="547" priority="578">
      <formula>AND(OR(C1781="FST",C1781="REV T",C1781="DBL REV",C1781="TPL REV",C1781="QD REV"),C1780="Field SPL")</formula>
    </cfRule>
  </conditionalFormatting>
  <conditionalFormatting sqref="L1812">
    <cfRule type="cellIs" dxfId="546" priority="574" operator="lessThan">
      <formula>$L$7</formula>
    </cfRule>
  </conditionalFormatting>
  <conditionalFormatting sqref="I1811">
    <cfRule type="cellIs" dxfId="545" priority="573" operator="lessThan">
      <formula>0</formula>
    </cfRule>
  </conditionalFormatting>
  <conditionalFormatting sqref="H1821:I1845">
    <cfRule type="cellIs" dxfId="544" priority="572" operator="lessThan">
      <formula>0</formula>
    </cfRule>
  </conditionalFormatting>
  <conditionalFormatting sqref="E1845">
    <cfRule type="expression" dxfId="543" priority="571">
      <formula>AND(OR(C1845="NO",C1845="REV T",C1845="DBL REV",C1845="TPL REV",C1845="QD REV"),E1845&gt;12)</formula>
    </cfRule>
  </conditionalFormatting>
  <conditionalFormatting sqref="B1833:B1845">
    <cfRule type="expression" dxfId="542" priority="569">
      <formula>Z1833="error"</formula>
    </cfRule>
  </conditionalFormatting>
  <conditionalFormatting sqref="B1833:B1845">
    <cfRule type="expression" dxfId="541" priority="568">
      <formula>AA1835="error"</formula>
    </cfRule>
  </conditionalFormatting>
  <conditionalFormatting sqref="E1845">
    <cfRule type="expression" dxfId="540" priority="567">
      <formula>AND(OR(C1845="NO",C1845="REV T",C1845="DBL REV",C1845="TPL REV",C1845="QD REV"),E1845&gt;12)</formula>
    </cfRule>
  </conditionalFormatting>
  <conditionalFormatting sqref="E1816">
    <cfRule type="expression" dxfId="539" priority="564">
      <formula>AND(E1811="EUC",E1812&gt;48,E1816="Y")</formula>
    </cfRule>
    <cfRule type="expression" dxfId="538" priority="565">
      <formula>AND(E1811="RPX",E1812&gt;48,E1816="Y")</formula>
    </cfRule>
    <cfRule type="expression" dxfId="537" priority="566">
      <formula>AND(E1811="SS",E1812&gt;48,E1816="Y")</formula>
    </cfRule>
  </conditionalFormatting>
  <conditionalFormatting sqref="I1815">
    <cfRule type="expression" dxfId="536" priority="561">
      <formula>I1815=0</formula>
    </cfRule>
    <cfRule type="expression" dxfId="535" priority="562">
      <formula>MOD(I1815,2)=0</formula>
    </cfRule>
  </conditionalFormatting>
  <conditionalFormatting sqref="E1839:E1844">
    <cfRule type="expression" dxfId="534" priority="560">
      <formula>AND(OR(C1839="NO",C1839="REV T",C1839="DBL REV",C1839="TPL REV",C1839="QD REV"),E1839&gt;12)</formula>
    </cfRule>
  </conditionalFormatting>
  <conditionalFormatting sqref="C1839:C1845">
    <cfRule type="expression" dxfId="533" priority="559">
      <formula>AND(OR(C1840="FST",C1840="REV T",C1840="DBL REV",C1840="TPL REV",C1840="QD REV"),C1839="Field SPL")</formula>
    </cfRule>
  </conditionalFormatting>
  <conditionalFormatting sqref="I1810">
    <cfRule type="expression" dxfId="532" priority="558">
      <formula>AND(E1811="EUC",E1812=432,I1810&gt;204)</formula>
    </cfRule>
  </conditionalFormatting>
  <conditionalFormatting sqref="E1812">
    <cfRule type="expression" dxfId="531" priority="554">
      <formula>(AND(E1811="EUC",E1812=432))</formula>
    </cfRule>
    <cfRule type="expression" dxfId="530" priority="555">
      <formula>AND(E1811="SS",E1812&gt;216)</formula>
    </cfRule>
    <cfRule type="expression" dxfId="529" priority="556">
      <formula>(AND(E1811="EUC",E1812&gt;216))</formula>
    </cfRule>
    <cfRule type="expression" dxfId="528" priority="557">
      <formula>AND(E1811="RPX",E1812&gt;216)</formula>
    </cfRule>
  </conditionalFormatting>
  <conditionalFormatting sqref="E1821:E1838">
    <cfRule type="expression" dxfId="527" priority="553">
      <formula>AND(OR(C1821="NO",C1821="REV T",C1821="DBL REV",C1821="TPL REV",C1821="QD REV"),E1821&gt;12)</formula>
    </cfRule>
  </conditionalFormatting>
  <conditionalFormatting sqref="C1821:C1838">
    <cfRule type="expression" dxfId="526" priority="552">
      <formula>AND(OR(C1822="FST",C1822="REV T",C1822="DBL REV",C1822="TPL REV",C1822="QD REV"),C1821="Field SPL")</formula>
    </cfRule>
  </conditionalFormatting>
  <conditionalFormatting sqref="L1853">
    <cfRule type="cellIs" dxfId="525" priority="548" operator="lessThan">
      <formula>$L$7</formula>
    </cfRule>
  </conditionalFormatting>
  <conditionalFormatting sqref="I1852">
    <cfRule type="cellIs" dxfId="524" priority="547" operator="lessThan">
      <formula>0</formula>
    </cfRule>
  </conditionalFormatting>
  <conditionalFormatting sqref="H1862:I1886">
    <cfRule type="cellIs" dxfId="523" priority="546" operator="lessThan">
      <formula>0</formula>
    </cfRule>
  </conditionalFormatting>
  <conditionalFormatting sqref="E1886">
    <cfRule type="expression" dxfId="522" priority="545">
      <formula>AND(OR(C1886="NO",C1886="REV T",C1886="DBL REV",C1886="TPL REV",C1886="QD REV"),E1886&gt;12)</formula>
    </cfRule>
  </conditionalFormatting>
  <conditionalFormatting sqref="B1874:B1886">
    <cfRule type="expression" dxfId="521" priority="543">
      <formula>Z1874="error"</formula>
    </cfRule>
  </conditionalFormatting>
  <conditionalFormatting sqref="B1874:B1886">
    <cfRule type="expression" dxfId="520" priority="542">
      <formula>AA1876="error"</formula>
    </cfRule>
  </conditionalFormatting>
  <conditionalFormatting sqref="E1886">
    <cfRule type="expression" dxfId="519" priority="541">
      <formula>AND(OR(C1886="NO",C1886="REV T",C1886="DBL REV",C1886="TPL REV",C1886="QD REV"),E1886&gt;12)</formula>
    </cfRule>
  </conditionalFormatting>
  <conditionalFormatting sqref="E1857">
    <cfRule type="expression" dxfId="518" priority="538">
      <formula>AND(E1852="EUC",E1853&gt;48,E1857="Y")</formula>
    </cfRule>
    <cfRule type="expression" dxfId="517" priority="539">
      <formula>AND(E1852="RPX",E1853&gt;48,E1857="Y")</formula>
    </cfRule>
    <cfRule type="expression" dxfId="516" priority="540">
      <formula>AND(E1852="SS",E1853&gt;48,E1857="Y")</formula>
    </cfRule>
  </conditionalFormatting>
  <conditionalFormatting sqref="I1856">
    <cfRule type="expression" dxfId="515" priority="535">
      <formula>I1856=0</formula>
    </cfRule>
    <cfRule type="expression" dxfId="514" priority="536">
      <formula>MOD(I1856,2)=0</formula>
    </cfRule>
  </conditionalFormatting>
  <conditionalFormatting sqref="E1880:E1885">
    <cfRule type="expression" dxfId="513" priority="534">
      <formula>AND(OR(C1880="NO",C1880="REV T",C1880="DBL REV",C1880="TPL REV",C1880="QD REV"),E1880&gt;12)</formula>
    </cfRule>
  </conditionalFormatting>
  <conditionalFormatting sqref="C1880:C1886">
    <cfRule type="expression" dxfId="512" priority="533">
      <formula>AND(OR(C1881="FST",C1881="REV T",C1881="DBL REV",C1881="TPL REV",C1881="QD REV"),C1880="Field SPL")</formula>
    </cfRule>
  </conditionalFormatting>
  <conditionalFormatting sqref="I1851">
    <cfRule type="expression" dxfId="511" priority="532">
      <formula>AND(E1852="EUC",E1853=432,I1851&gt;204)</formula>
    </cfRule>
  </conditionalFormatting>
  <conditionalFormatting sqref="E1853">
    <cfRule type="expression" dxfId="510" priority="528">
      <formula>(AND(E1852="EUC",E1853=432))</formula>
    </cfRule>
    <cfRule type="expression" dxfId="509" priority="529">
      <formula>AND(E1852="SS",E1853&gt;216)</formula>
    </cfRule>
    <cfRule type="expression" dxfId="508" priority="530">
      <formula>(AND(E1852="EUC",E1853&gt;216))</formula>
    </cfRule>
    <cfRule type="expression" dxfId="507" priority="531">
      <formula>AND(E1852="RPX",E1853&gt;216)</formula>
    </cfRule>
  </conditionalFormatting>
  <conditionalFormatting sqref="E1862:E1879">
    <cfRule type="expression" dxfId="506" priority="527">
      <formula>AND(OR(C1862="NO",C1862="REV T",C1862="DBL REV",C1862="TPL REV",C1862="QD REV"),E1862&gt;12)</formula>
    </cfRule>
  </conditionalFormatting>
  <conditionalFormatting sqref="C1862:C1879">
    <cfRule type="expression" dxfId="505" priority="526">
      <formula>AND(OR(C1863="FST",C1863="REV T",C1863="DBL REV",C1863="TPL REV",C1863="QD REV"),C1862="Field SPL")</formula>
    </cfRule>
  </conditionalFormatting>
  <conditionalFormatting sqref="L1894">
    <cfRule type="cellIs" dxfId="504" priority="522" operator="lessThan">
      <formula>$L$7</formula>
    </cfRule>
  </conditionalFormatting>
  <conditionalFormatting sqref="I1893">
    <cfRule type="cellIs" dxfId="503" priority="521" operator="lessThan">
      <formula>0</formula>
    </cfRule>
  </conditionalFormatting>
  <conditionalFormatting sqref="H1903:I1927">
    <cfRule type="cellIs" dxfId="502" priority="520" operator="lessThan">
      <formula>0</formula>
    </cfRule>
  </conditionalFormatting>
  <conditionalFormatting sqref="E1927">
    <cfRule type="expression" dxfId="501" priority="519">
      <formula>AND(OR(C1927="NO",C1927="REV T",C1927="DBL REV",C1927="TPL REV",C1927="QD REV"),E1927&gt;12)</formula>
    </cfRule>
  </conditionalFormatting>
  <conditionalFormatting sqref="B1915:B1927">
    <cfRule type="expression" dxfId="500" priority="517">
      <formula>Z1915="error"</formula>
    </cfRule>
  </conditionalFormatting>
  <conditionalFormatting sqref="B1915:B1927">
    <cfRule type="expression" dxfId="499" priority="516">
      <formula>AA1917="error"</formula>
    </cfRule>
  </conditionalFormatting>
  <conditionalFormatting sqref="E1927">
    <cfRule type="expression" dxfId="498" priority="515">
      <formula>AND(OR(C1927="NO",C1927="REV T",C1927="DBL REV",C1927="TPL REV",C1927="QD REV"),E1927&gt;12)</formula>
    </cfRule>
  </conditionalFormatting>
  <conditionalFormatting sqref="E1898">
    <cfRule type="expression" dxfId="497" priority="512">
      <formula>AND(E1893="EUC",E1894&gt;48,E1898="Y")</formula>
    </cfRule>
    <cfRule type="expression" dxfId="496" priority="513">
      <formula>AND(E1893="RPX",E1894&gt;48,E1898="Y")</formula>
    </cfRule>
    <cfRule type="expression" dxfId="495" priority="514">
      <formula>AND(E1893="SS",E1894&gt;48,E1898="Y")</formula>
    </cfRule>
  </conditionalFormatting>
  <conditionalFormatting sqref="I1897">
    <cfRule type="expression" dxfId="494" priority="509">
      <formula>I1897=0</formula>
    </cfRule>
    <cfRule type="expression" dxfId="493" priority="510">
      <formula>MOD(I1897,2)=0</formula>
    </cfRule>
  </conditionalFormatting>
  <conditionalFormatting sqref="E1921:E1926">
    <cfRule type="expression" dxfId="492" priority="508">
      <formula>AND(OR(C1921="NO",C1921="REV T",C1921="DBL REV",C1921="TPL REV",C1921="QD REV"),E1921&gt;12)</formula>
    </cfRule>
  </conditionalFormatting>
  <conditionalFormatting sqref="C1921:C1927">
    <cfRule type="expression" dxfId="491" priority="507">
      <formula>AND(OR(C1922="FST",C1922="REV T",C1922="DBL REV",C1922="TPL REV",C1922="QD REV"),C1921="Field SPL")</formula>
    </cfRule>
  </conditionalFormatting>
  <conditionalFormatting sqref="I1892">
    <cfRule type="expression" dxfId="490" priority="506">
      <formula>AND(E1893="EUC",E1894=432,I1892&gt;204)</formula>
    </cfRule>
  </conditionalFormatting>
  <conditionalFormatting sqref="E1894">
    <cfRule type="expression" dxfId="489" priority="502">
      <formula>(AND(E1893="EUC",E1894=432))</formula>
    </cfRule>
    <cfRule type="expression" dxfId="488" priority="503">
      <formula>AND(E1893="SS",E1894&gt;216)</formula>
    </cfRule>
    <cfRule type="expression" dxfId="487" priority="504">
      <formula>(AND(E1893="EUC",E1894&gt;216))</formula>
    </cfRule>
    <cfRule type="expression" dxfId="486" priority="505">
      <formula>AND(E1893="RPX",E1894&gt;216)</formula>
    </cfRule>
  </conditionalFormatting>
  <conditionalFormatting sqref="E1903:E1920">
    <cfRule type="expression" dxfId="485" priority="501">
      <formula>AND(OR(C1903="NO",C1903="REV T",C1903="DBL REV",C1903="TPL REV",C1903="QD REV"),E1903&gt;12)</formula>
    </cfRule>
  </conditionalFormatting>
  <conditionalFormatting sqref="C1903:C1920">
    <cfRule type="expression" dxfId="484" priority="500">
      <formula>AND(OR(C1904="FST",C1904="REV T",C1904="DBL REV",C1904="TPL REV",C1904="QD REV"),C1903="Field SPL")</formula>
    </cfRule>
  </conditionalFormatting>
  <conditionalFormatting sqref="L1935">
    <cfRule type="cellIs" dxfId="483" priority="496" operator="lessThan">
      <formula>$L$7</formula>
    </cfRule>
  </conditionalFormatting>
  <conditionalFormatting sqref="I1934">
    <cfRule type="cellIs" dxfId="482" priority="495" operator="lessThan">
      <formula>0</formula>
    </cfRule>
  </conditionalFormatting>
  <conditionalFormatting sqref="H1944:I1968">
    <cfRule type="cellIs" dxfId="481" priority="494" operator="lessThan">
      <formula>0</formula>
    </cfRule>
  </conditionalFormatting>
  <conditionalFormatting sqref="E1968">
    <cfRule type="expression" dxfId="480" priority="493">
      <formula>AND(OR(C1968="NO",C1968="REV T",C1968="DBL REV",C1968="TPL REV",C1968="QD REV"),E1968&gt;12)</formula>
    </cfRule>
  </conditionalFormatting>
  <conditionalFormatting sqref="B1956:B1968">
    <cfRule type="expression" dxfId="479" priority="491">
      <formula>Z1956="error"</formula>
    </cfRule>
  </conditionalFormatting>
  <conditionalFormatting sqref="B1956:B1968">
    <cfRule type="expression" dxfId="478" priority="490">
      <formula>AA1958="error"</formula>
    </cfRule>
  </conditionalFormatting>
  <conditionalFormatting sqref="E1968">
    <cfRule type="expression" dxfId="477" priority="489">
      <formula>AND(OR(C1968="NO",C1968="REV T",C1968="DBL REV",C1968="TPL REV",C1968="QD REV"),E1968&gt;12)</formula>
    </cfRule>
  </conditionalFormatting>
  <conditionalFormatting sqref="E1939">
    <cfRule type="expression" dxfId="476" priority="486">
      <formula>AND(E1934="EUC",E1935&gt;48,E1939="Y")</formula>
    </cfRule>
    <cfRule type="expression" dxfId="475" priority="487">
      <formula>AND(E1934="RPX",E1935&gt;48,E1939="Y")</formula>
    </cfRule>
    <cfRule type="expression" dxfId="474" priority="488">
      <formula>AND(E1934="SS",E1935&gt;48,E1939="Y")</formula>
    </cfRule>
  </conditionalFormatting>
  <conditionalFormatting sqref="I1938">
    <cfRule type="expression" dxfId="473" priority="483">
      <formula>I1938=0</formula>
    </cfRule>
    <cfRule type="expression" dxfId="472" priority="484">
      <formula>MOD(I1938,2)=0</formula>
    </cfRule>
  </conditionalFormatting>
  <conditionalFormatting sqref="E1962:E1967">
    <cfRule type="expression" dxfId="471" priority="482">
      <formula>AND(OR(C1962="NO",C1962="REV T",C1962="DBL REV",C1962="TPL REV",C1962="QD REV"),E1962&gt;12)</formula>
    </cfRule>
  </conditionalFormatting>
  <conditionalFormatting sqref="C1962:C1968">
    <cfRule type="expression" dxfId="470" priority="481">
      <formula>AND(OR(C1963="FST",C1963="REV T",C1963="DBL REV",C1963="TPL REV",C1963="QD REV"),C1962="Field SPL")</formula>
    </cfRule>
  </conditionalFormatting>
  <conditionalFormatting sqref="I1933">
    <cfRule type="expression" dxfId="469" priority="480">
      <formula>AND(E1934="EUC",E1935=432,I1933&gt;204)</formula>
    </cfRule>
  </conditionalFormatting>
  <conditionalFormatting sqref="E1935">
    <cfRule type="expression" dxfId="468" priority="476">
      <formula>(AND(E1934="EUC",E1935=432))</formula>
    </cfRule>
    <cfRule type="expression" dxfId="467" priority="477">
      <formula>AND(E1934="SS",E1935&gt;216)</formula>
    </cfRule>
    <cfRule type="expression" dxfId="466" priority="478">
      <formula>(AND(E1934="EUC",E1935&gt;216))</formula>
    </cfRule>
    <cfRule type="expression" dxfId="465" priority="479">
      <formula>AND(E1934="RPX",E1935&gt;216)</formula>
    </cfRule>
  </conditionalFormatting>
  <conditionalFormatting sqref="E1944:E1961">
    <cfRule type="expression" dxfId="464" priority="475">
      <formula>AND(OR(C1944="NO",C1944="REV T",C1944="DBL REV",C1944="TPL REV",C1944="QD REV"),E1944&gt;12)</formula>
    </cfRule>
  </conditionalFormatting>
  <conditionalFormatting sqref="C1944:C1961">
    <cfRule type="expression" dxfId="463" priority="474">
      <formula>AND(OR(C1945="FST",C1945="REV T",C1945="DBL REV",C1945="TPL REV",C1945="QD REV"),C1944="Field SPL")</formula>
    </cfRule>
  </conditionalFormatting>
  <conditionalFormatting sqref="L1976">
    <cfRule type="cellIs" dxfId="462" priority="470" operator="lessThan">
      <formula>$L$7</formula>
    </cfRule>
  </conditionalFormatting>
  <conditionalFormatting sqref="I1975">
    <cfRule type="cellIs" dxfId="461" priority="469" operator="lessThan">
      <formula>0</formula>
    </cfRule>
  </conditionalFormatting>
  <conditionalFormatting sqref="H1985:I2009">
    <cfRule type="cellIs" dxfId="460" priority="468" operator="lessThan">
      <formula>0</formula>
    </cfRule>
  </conditionalFormatting>
  <conditionalFormatting sqref="E2009">
    <cfRule type="expression" dxfId="459" priority="467">
      <formula>AND(OR(C2009="NO",C2009="REV T",C2009="DBL REV",C2009="TPL REV",C2009="QD REV"),E2009&gt;12)</formula>
    </cfRule>
  </conditionalFormatting>
  <conditionalFormatting sqref="B1997:B2009">
    <cfRule type="expression" dxfId="458" priority="465">
      <formula>Z1997="error"</formula>
    </cfRule>
  </conditionalFormatting>
  <conditionalFormatting sqref="B1997:B2009">
    <cfRule type="expression" dxfId="457" priority="464">
      <formula>AA1999="error"</formula>
    </cfRule>
  </conditionalFormatting>
  <conditionalFormatting sqref="E2009">
    <cfRule type="expression" dxfId="456" priority="463">
      <formula>AND(OR(C2009="NO",C2009="REV T",C2009="DBL REV",C2009="TPL REV",C2009="QD REV"),E2009&gt;12)</formula>
    </cfRule>
  </conditionalFormatting>
  <conditionalFormatting sqref="E1980">
    <cfRule type="expression" dxfId="455" priority="460">
      <formula>AND(E1975="EUC",E1976&gt;48,E1980="Y")</formula>
    </cfRule>
    <cfRule type="expression" dxfId="454" priority="461">
      <formula>AND(E1975="RPX",E1976&gt;48,E1980="Y")</formula>
    </cfRule>
    <cfRule type="expression" dxfId="453" priority="462">
      <formula>AND(E1975="SS",E1976&gt;48,E1980="Y")</formula>
    </cfRule>
  </conditionalFormatting>
  <conditionalFormatting sqref="I1979">
    <cfRule type="expression" dxfId="452" priority="457">
      <formula>I1979=0</formula>
    </cfRule>
    <cfRule type="expression" dxfId="451" priority="458">
      <formula>MOD(I1979,2)=0</formula>
    </cfRule>
  </conditionalFormatting>
  <conditionalFormatting sqref="E2003:E2008">
    <cfRule type="expression" dxfId="450" priority="456">
      <formula>AND(OR(C2003="NO",C2003="REV T",C2003="DBL REV",C2003="TPL REV",C2003="QD REV"),E2003&gt;12)</formula>
    </cfRule>
  </conditionalFormatting>
  <conditionalFormatting sqref="C2003:C2009">
    <cfRule type="expression" dxfId="449" priority="455">
      <formula>AND(OR(C2004="FST",C2004="REV T",C2004="DBL REV",C2004="TPL REV",C2004="QD REV"),C2003="Field SPL")</formula>
    </cfRule>
  </conditionalFormatting>
  <conditionalFormatting sqref="I1974">
    <cfRule type="expression" dxfId="448" priority="454">
      <formula>AND(E1975="EUC",E1976=432,I1974&gt;204)</formula>
    </cfRule>
  </conditionalFormatting>
  <conditionalFormatting sqref="E1976">
    <cfRule type="expression" dxfId="447" priority="450">
      <formula>(AND(E1975="EUC",E1976=432))</formula>
    </cfRule>
    <cfRule type="expression" dxfId="446" priority="451">
      <formula>AND(E1975="SS",E1976&gt;216)</formula>
    </cfRule>
    <cfRule type="expression" dxfId="445" priority="452">
      <formula>(AND(E1975="EUC",E1976&gt;216))</formula>
    </cfRule>
    <cfRule type="expression" dxfId="444" priority="453">
      <formula>AND(E1975="RPX",E1976&gt;216)</formula>
    </cfRule>
  </conditionalFormatting>
  <conditionalFormatting sqref="E1985:E2002">
    <cfRule type="expression" dxfId="443" priority="449">
      <formula>AND(OR(C1985="NO",C1985="REV T",C1985="DBL REV",C1985="TPL REV",C1985="QD REV"),E1985&gt;12)</formula>
    </cfRule>
  </conditionalFormatting>
  <conditionalFormatting sqref="C1985:C2002">
    <cfRule type="expression" dxfId="442" priority="448">
      <formula>AND(OR(C1986="FST",C1986="REV T",C1986="DBL REV",C1986="TPL REV",C1986="QD REV"),C1985="Field SPL")</formula>
    </cfRule>
  </conditionalFormatting>
  <conditionalFormatting sqref="L2017">
    <cfRule type="cellIs" dxfId="441" priority="444" operator="lessThan">
      <formula>$L$7</formula>
    </cfRule>
  </conditionalFormatting>
  <conditionalFormatting sqref="I2016">
    <cfRule type="cellIs" dxfId="440" priority="443" operator="lessThan">
      <formula>0</formula>
    </cfRule>
  </conditionalFormatting>
  <conditionalFormatting sqref="H2026:I2050">
    <cfRule type="cellIs" dxfId="439" priority="442" operator="lessThan">
      <formula>0</formula>
    </cfRule>
  </conditionalFormatting>
  <conditionalFormatting sqref="E2050">
    <cfRule type="expression" dxfId="438" priority="441">
      <formula>AND(OR(C2050="NO",C2050="REV T",C2050="DBL REV",C2050="TPL REV",C2050="QD REV"),E2050&gt;12)</formula>
    </cfRule>
  </conditionalFormatting>
  <conditionalFormatting sqref="B2038:B2050">
    <cfRule type="expression" dxfId="437" priority="439">
      <formula>Z2038="error"</formula>
    </cfRule>
  </conditionalFormatting>
  <conditionalFormatting sqref="B2038:B2050">
    <cfRule type="expression" dxfId="436" priority="438">
      <formula>AA2040="error"</formula>
    </cfRule>
  </conditionalFormatting>
  <conditionalFormatting sqref="E2050">
    <cfRule type="expression" dxfId="435" priority="437">
      <formula>AND(OR(C2050="NO",C2050="REV T",C2050="DBL REV",C2050="TPL REV",C2050="QD REV"),E2050&gt;12)</formula>
    </cfRule>
  </conditionalFormatting>
  <conditionalFormatting sqref="E2021">
    <cfRule type="expression" dxfId="434" priority="434">
      <formula>AND(E2016="EUC",E2017&gt;48,E2021="Y")</formula>
    </cfRule>
    <cfRule type="expression" dxfId="433" priority="435">
      <formula>AND(E2016="RPX",E2017&gt;48,E2021="Y")</formula>
    </cfRule>
    <cfRule type="expression" dxfId="432" priority="436">
      <formula>AND(E2016="SS",E2017&gt;48,E2021="Y")</formula>
    </cfRule>
  </conditionalFormatting>
  <conditionalFormatting sqref="I2020">
    <cfRule type="expression" dxfId="431" priority="431">
      <formula>I2020=0</formula>
    </cfRule>
    <cfRule type="expression" dxfId="430" priority="432">
      <formula>MOD(I2020,2)=0</formula>
    </cfRule>
  </conditionalFormatting>
  <conditionalFormatting sqref="E2044:E2049">
    <cfRule type="expression" dxfId="429" priority="430">
      <formula>AND(OR(C2044="NO",C2044="REV T",C2044="DBL REV",C2044="TPL REV",C2044="QD REV"),E2044&gt;12)</formula>
    </cfRule>
  </conditionalFormatting>
  <conditionalFormatting sqref="C2044:C2050">
    <cfRule type="expression" dxfId="428" priority="429">
      <formula>AND(OR(C2045="FST",C2045="REV T",C2045="DBL REV",C2045="TPL REV",C2045="QD REV"),C2044="Field SPL")</formula>
    </cfRule>
  </conditionalFormatting>
  <conditionalFormatting sqref="I2015">
    <cfRule type="expression" dxfId="427" priority="428">
      <formula>AND(E2016="EUC",E2017=432,I2015&gt;204)</formula>
    </cfRule>
  </conditionalFormatting>
  <conditionalFormatting sqref="E2017">
    <cfRule type="expression" dxfId="426" priority="424">
      <formula>(AND(E2016="EUC",E2017=432))</formula>
    </cfRule>
    <cfRule type="expression" dxfId="425" priority="425">
      <formula>AND(E2016="SS",E2017&gt;216)</formula>
    </cfRule>
    <cfRule type="expression" dxfId="424" priority="426">
      <formula>(AND(E2016="EUC",E2017&gt;216))</formula>
    </cfRule>
    <cfRule type="expression" dxfId="423" priority="427">
      <formula>AND(E2016="RPX",E2017&gt;216)</formula>
    </cfRule>
  </conditionalFormatting>
  <conditionalFormatting sqref="E2026:E2043">
    <cfRule type="expression" dxfId="422" priority="423">
      <formula>AND(OR(C2026="NO",C2026="REV T",C2026="DBL REV",C2026="TPL REV",C2026="QD REV"),E2026&gt;12)</formula>
    </cfRule>
  </conditionalFormatting>
  <conditionalFormatting sqref="C2026:C2043">
    <cfRule type="expression" dxfId="421" priority="422">
      <formula>AND(OR(C2027="FST",C2027="REV T",C2027="DBL REV",C2027="TPL REV",C2027="QD REV"),C2026="Field SPL")</formula>
    </cfRule>
  </conditionalFormatting>
  <conditionalFormatting sqref="L15 L17:L18">
    <cfRule type="containsText" dxfId="420" priority="421" operator="containsText" text="error">
      <formula>NOT(ISERROR(SEARCH("error",L15)))</formula>
    </cfRule>
  </conditionalFormatting>
  <conditionalFormatting sqref="L19:L40">
    <cfRule type="containsText" dxfId="419" priority="420" operator="containsText" text="error">
      <formula>NOT(ISERROR(SEARCH("error",L19)))</formula>
    </cfRule>
  </conditionalFormatting>
  <conditionalFormatting sqref="L41">
    <cfRule type="containsText" dxfId="418" priority="419" operator="containsText" text="error">
      <formula>NOT(ISERROR(SEARCH("error",L41)))</formula>
    </cfRule>
  </conditionalFormatting>
  <conditionalFormatting sqref="K58:K59">
    <cfRule type="containsText" dxfId="417" priority="418" operator="containsText" text="error">
      <formula>NOT(ISERROR(SEARCH("error",K58)))</formula>
    </cfRule>
  </conditionalFormatting>
  <conditionalFormatting sqref="L56 L58:L59">
    <cfRule type="containsText" dxfId="416" priority="417" operator="containsText" text="error">
      <formula>NOT(ISERROR(SEARCH("error",L56)))</formula>
    </cfRule>
  </conditionalFormatting>
  <conditionalFormatting sqref="L60:L81">
    <cfRule type="containsText" dxfId="415" priority="416" operator="containsText" text="error">
      <formula>NOT(ISERROR(SEARCH("error",L60)))</formula>
    </cfRule>
  </conditionalFormatting>
  <conditionalFormatting sqref="L82">
    <cfRule type="containsText" dxfId="414" priority="415" operator="containsText" text="error">
      <formula>NOT(ISERROR(SEARCH("error",L82)))</formula>
    </cfRule>
  </conditionalFormatting>
  <conditionalFormatting sqref="K99:K100">
    <cfRule type="containsText" dxfId="413" priority="414" operator="containsText" text="error">
      <formula>NOT(ISERROR(SEARCH("error",K99)))</formula>
    </cfRule>
  </conditionalFormatting>
  <conditionalFormatting sqref="L97 L99:L100">
    <cfRule type="containsText" dxfId="412" priority="413" operator="containsText" text="error">
      <formula>NOT(ISERROR(SEARCH("error",L97)))</formula>
    </cfRule>
  </conditionalFormatting>
  <conditionalFormatting sqref="L101:L122">
    <cfRule type="containsText" dxfId="411" priority="412" operator="containsText" text="error">
      <formula>NOT(ISERROR(SEARCH("error",L101)))</formula>
    </cfRule>
  </conditionalFormatting>
  <conditionalFormatting sqref="L123">
    <cfRule type="containsText" dxfId="410" priority="411" operator="containsText" text="error">
      <formula>NOT(ISERROR(SEARCH("error",L123)))</formula>
    </cfRule>
  </conditionalFormatting>
  <conditionalFormatting sqref="K140:K141">
    <cfRule type="containsText" dxfId="409" priority="410" operator="containsText" text="error">
      <formula>NOT(ISERROR(SEARCH("error",K140)))</formula>
    </cfRule>
  </conditionalFormatting>
  <conditionalFormatting sqref="L138 L140:L141">
    <cfRule type="containsText" dxfId="408" priority="409" operator="containsText" text="error">
      <formula>NOT(ISERROR(SEARCH("error",L138)))</formula>
    </cfRule>
  </conditionalFormatting>
  <conditionalFormatting sqref="L142:L163">
    <cfRule type="containsText" dxfId="407" priority="408" operator="containsText" text="error">
      <formula>NOT(ISERROR(SEARCH("error",L142)))</formula>
    </cfRule>
  </conditionalFormatting>
  <conditionalFormatting sqref="L164">
    <cfRule type="containsText" dxfId="406" priority="407" operator="containsText" text="error">
      <formula>NOT(ISERROR(SEARCH("error",L164)))</formula>
    </cfRule>
  </conditionalFormatting>
  <conditionalFormatting sqref="K181:K182">
    <cfRule type="containsText" dxfId="405" priority="406" operator="containsText" text="error">
      <formula>NOT(ISERROR(SEARCH("error",K181)))</formula>
    </cfRule>
  </conditionalFormatting>
  <conditionalFormatting sqref="L179 L181:L182">
    <cfRule type="containsText" dxfId="404" priority="405" operator="containsText" text="error">
      <formula>NOT(ISERROR(SEARCH("error",L179)))</formula>
    </cfRule>
  </conditionalFormatting>
  <conditionalFormatting sqref="L183:L204">
    <cfRule type="containsText" dxfId="403" priority="404" operator="containsText" text="error">
      <formula>NOT(ISERROR(SEARCH("error",L183)))</formula>
    </cfRule>
  </conditionalFormatting>
  <conditionalFormatting sqref="L205">
    <cfRule type="containsText" dxfId="402" priority="403" operator="containsText" text="error">
      <formula>NOT(ISERROR(SEARCH("error",L205)))</formula>
    </cfRule>
  </conditionalFormatting>
  <conditionalFormatting sqref="K222:K223">
    <cfRule type="containsText" dxfId="401" priority="402" operator="containsText" text="error">
      <formula>NOT(ISERROR(SEARCH("error",K222)))</formula>
    </cfRule>
  </conditionalFormatting>
  <conditionalFormatting sqref="L220 L222:L223">
    <cfRule type="containsText" dxfId="400" priority="401" operator="containsText" text="error">
      <formula>NOT(ISERROR(SEARCH("error",L220)))</formula>
    </cfRule>
  </conditionalFormatting>
  <conditionalFormatting sqref="L224:L245">
    <cfRule type="containsText" dxfId="399" priority="400" operator="containsText" text="error">
      <formula>NOT(ISERROR(SEARCH("error",L224)))</formula>
    </cfRule>
  </conditionalFormatting>
  <conditionalFormatting sqref="L246">
    <cfRule type="containsText" dxfId="398" priority="399" operator="containsText" text="error">
      <formula>NOT(ISERROR(SEARCH("error",L246)))</formula>
    </cfRule>
  </conditionalFormatting>
  <conditionalFormatting sqref="K263:K264">
    <cfRule type="containsText" dxfId="397" priority="398" operator="containsText" text="error">
      <formula>NOT(ISERROR(SEARCH("error",K263)))</formula>
    </cfRule>
  </conditionalFormatting>
  <conditionalFormatting sqref="L261 L263:L264">
    <cfRule type="containsText" dxfId="396" priority="397" operator="containsText" text="error">
      <formula>NOT(ISERROR(SEARCH("error",L261)))</formula>
    </cfRule>
  </conditionalFormatting>
  <conditionalFormatting sqref="L265:L286">
    <cfRule type="containsText" dxfId="395" priority="396" operator="containsText" text="error">
      <formula>NOT(ISERROR(SEARCH("error",L265)))</formula>
    </cfRule>
  </conditionalFormatting>
  <conditionalFormatting sqref="L287">
    <cfRule type="containsText" dxfId="394" priority="395" operator="containsText" text="error">
      <formula>NOT(ISERROR(SEARCH("error",L287)))</formula>
    </cfRule>
  </conditionalFormatting>
  <conditionalFormatting sqref="K304:K305">
    <cfRule type="containsText" dxfId="393" priority="394" operator="containsText" text="error">
      <formula>NOT(ISERROR(SEARCH("error",K304)))</formula>
    </cfRule>
  </conditionalFormatting>
  <conditionalFormatting sqref="L302 L304:L305">
    <cfRule type="containsText" dxfId="392" priority="393" operator="containsText" text="error">
      <formula>NOT(ISERROR(SEARCH("error",L302)))</formula>
    </cfRule>
  </conditionalFormatting>
  <conditionalFormatting sqref="L306:L327">
    <cfRule type="containsText" dxfId="391" priority="392" operator="containsText" text="error">
      <formula>NOT(ISERROR(SEARCH("error",L306)))</formula>
    </cfRule>
  </conditionalFormatting>
  <conditionalFormatting sqref="L328">
    <cfRule type="containsText" dxfId="390" priority="391" operator="containsText" text="error">
      <formula>NOT(ISERROR(SEARCH("error",L328)))</formula>
    </cfRule>
  </conditionalFormatting>
  <conditionalFormatting sqref="K345:K346">
    <cfRule type="containsText" dxfId="389" priority="390" operator="containsText" text="error">
      <formula>NOT(ISERROR(SEARCH("error",K345)))</formula>
    </cfRule>
  </conditionalFormatting>
  <conditionalFormatting sqref="L343 L345:L346">
    <cfRule type="containsText" dxfId="388" priority="389" operator="containsText" text="error">
      <formula>NOT(ISERROR(SEARCH("error",L343)))</formula>
    </cfRule>
  </conditionalFormatting>
  <conditionalFormatting sqref="L347:L368">
    <cfRule type="containsText" dxfId="387" priority="388" operator="containsText" text="error">
      <formula>NOT(ISERROR(SEARCH("error",L347)))</formula>
    </cfRule>
  </conditionalFormatting>
  <conditionalFormatting sqref="L369">
    <cfRule type="containsText" dxfId="386" priority="387" operator="containsText" text="error">
      <formula>NOT(ISERROR(SEARCH("error",L369)))</formula>
    </cfRule>
  </conditionalFormatting>
  <conditionalFormatting sqref="K386:K387">
    <cfRule type="containsText" dxfId="385" priority="386" operator="containsText" text="error">
      <formula>NOT(ISERROR(SEARCH("error",K386)))</formula>
    </cfRule>
  </conditionalFormatting>
  <conditionalFormatting sqref="L384 L386:L387">
    <cfRule type="containsText" dxfId="384" priority="385" operator="containsText" text="error">
      <formula>NOT(ISERROR(SEARCH("error",L384)))</formula>
    </cfRule>
  </conditionalFormatting>
  <conditionalFormatting sqref="L388:L409">
    <cfRule type="containsText" dxfId="383" priority="384" operator="containsText" text="error">
      <formula>NOT(ISERROR(SEARCH("error",L388)))</formula>
    </cfRule>
  </conditionalFormatting>
  <conditionalFormatting sqref="L410">
    <cfRule type="containsText" dxfId="382" priority="383" operator="containsText" text="error">
      <formula>NOT(ISERROR(SEARCH("error",L410)))</formula>
    </cfRule>
  </conditionalFormatting>
  <conditionalFormatting sqref="K427:K428">
    <cfRule type="containsText" dxfId="381" priority="382" operator="containsText" text="error">
      <formula>NOT(ISERROR(SEARCH("error",K427)))</formula>
    </cfRule>
  </conditionalFormatting>
  <conditionalFormatting sqref="L425 L427:L428">
    <cfRule type="containsText" dxfId="380" priority="381" operator="containsText" text="error">
      <formula>NOT(ISERROR(SEARCH("error",L425)))</formula>
    </cfRule>
  </conditionalFormatting>
  <conditionalFormatting sqref="L429:L450">
    <cfRule type="containsText" dxfId="379" priority="380" operator="containsText" text="error">
      <formula>NOT(ISERROR(SEARCH("error",L429)))</formula>
    </cfRule>
  </conditionalFormatting>
  <conditionalFormatting sqref="L451">
    <cfRule type="containsText" dxfId="378" priority="379" operator="containsText" text="error">
      <formula>NOT(ISERROR(SEARCH("error",L451)))</formula>
    </cfRule>
  </conditionalFormatting>
  <conditionalFormatting sqref="K468:K469">
    <cfRule type="containsText" dxfId="377" priority="378" operator="containsText" text="error">
      <formula>NOT(ISERROR(SEARCH("error",K468)))</formula>
    </cfRule>
  </conditionalFormatting>
  <conditionalFormatting sqref="L466 L468:L469">
    <cfRule type="containsText" dxfId="376" priority="377" operator="containsText" text="error">
      <formula>NOT(ISERROR(SEARCH("error",L466)))</formula>
    </cfRule>
  </conditionalFormatting>
  <conditionalFormatting sqref="L470:L491">
    <cfRule type="containsText" dxfId="375" priority="376" operator="containsText" text="error">
      <formula>NOT(ISERROR(SEARCH("error",L470)))</formula>
    </cfRule>
  </conditionalFormatting>
  <conditionalFormatting sqref="L492">
    <cfRule type="containsText" dxfId="374" priority="375" operator="containsText" text="error">
      <formula>NOT(ISERROR(SEARCH("error",L492)))</formula>
    </cfRule>
  </conditionalFormatting>
  <conditionalFormatting sqref="K509:K510">
    <cfRule type="containsText" dxfId="373" priority="374" operator="containsText" text="error">
      <formula>NOT(ISERROR(SEARCH("error",K509)))</formula>
    </cfRule>
  </conditionalFormatting>
  <conditionalFormatting sqref="L507 L509:L510">
    <cfRule type="containsText" dxfId="372" priority="373" operator="containsText" text="error">
      <formula>NOT(ISERROR(SEARCH("error",L507)))</formula>
    </cfRule>
  </conditionalFormatting>
  <conditionalFormatting sqref="L511:L532">
    <cfRule type="containsText" dxfId="371" priority="372" operator="containsText" text="error">
      <formula>NOT(ISERROR(SEARCH("error",L511)))</formula>
    </cfRule>
  </conditionalFormatting>
  <conditionalFormatting sqref="L533">
    <cfRule type="containsText" dxfId="370" priority="371" operator="containsText" text="error">
      <formula>NOT(ISERROR(SEARCH("error",L533)))</formula>
    </cfRule>
  </conditionalFormatting>
  <conditionalFormatting sqref="K550:K551">
    <cfRule type="containsText" dxfId="369" priority="370" operator="containsText" text="error">
      <formula>NOT(ISERROR(SEARCH("error",K550)))</formula>
    </cfRule>
  </conditionalFormatting>
  <conditionalFormatting sqref="L548 L550:L551">
    <cfRule type="containsText" dxfId="368" priority="369" operator="containsText" text="error">
      <formula>NOT(ISERROR(SEARCH("error",L548)))</formula>
    </cfRule>
  </conditionalFormatting>
  <conditionalFormatting sqref="L552:L573">
    <cfRule type="containsText" dxfId="367" priority="368" operator="containsText" text="error">
      <formula>NOT(ISERROR(SEARCH("error",L552)))</formula>
    </cfRule>
  </conditionalFormatting>
  <conditionalFormatting sqref="L574">
    <cfRule type="containsText" dxfId="366" priority="367" operator="containsText" text="error">
      <formula>NOT(ISERROR(SEARCH("error",L574)))</formula>
    </cfRule>
  </conditionalFormatting>
  <conditionalFormatting sqref="K591:K592">
    <cfRule type="containsText" dxfId="365" priority="366" operator="containsText" text="error">
      <formula>NOT(ISERROR(SEARCH("error",K591)))</formula>
    </cfRule>
  </conditionalFormatting>
  <conditionalFormatting sqref="L589 L591:L592">
    <cfRule type="containsText" dxfId="364" priority="365" operator="containsText" text="error">
      <formula>NOT(ISERROR(SEARCH("error",L589)))</formula>
    </cfRule>
  </conditionalFormatting>
  <conditionalFormatting sqref="L593:L614">
    <cfRule type="containsText" dxfId="363" priority="364" operator="containsText" text="error">
      <formula>NOT(ISERROR(SEARCH("error",L593)))</formula>
    </cfRule>
  </conditionalFormatting>
  <conditionalFormatting sqref="L615">
    <cfRule type="containsText" dxfId="362" priority="363" operator="containsText" text="error">
      <formula>NOT(ISERROR(SEARCH("error",L615)))</formula>
    </cfRule>
  </conditionalFormatting>
  <conditionalFormatting sqref="K632:K633">
    <cfRule type="containsText" dxfId="361" priority="362" operator="containsText" text="error">
      <formula>NOT(ISERROR(SEARCH("error",K632)))</formula>
    </cfRule>
  </conditionalFormatting>
  <conditionalFormatting sqref="L630 L632:L633">
    <cfRule type="containsText" dxfId="360" priority="361" operator="containsText" text="error">
      <formula>NOT(ISERROR(SEARCH("error",L630)))</formula>
    </cfRule>
  </conditionalFormatting>
  <conditionalFormatting sqref="L634:L655">
    <cfRule type="containsText" dxfId="359" priority="360" operator="containsText" text="error">
      <formula>NOT(ISERROR(SEARCH("error",L634)))</formula>
    </cfRule>
  </conditionalFormatting>
  <conditionalFormatting sqref="L656">
    <cfRule type="containsText" dxfId="358" priority="359" operator="containsText" text="error">
      <formula>NOT(ISERROR(SEARCH("error",L656)))</formula>
    </cfRule>
  </conditionalFormatting>
  <conditionalFormatting sqref="K673:K674">
    <cfRule type="containsText" dxfId="357" priority="358" operator="containsText" text="error">
      <formula>NOT(ISERROR(SEARCH("error",K673)))</formula>
    </cfRule>
  </conditionalFormatting>
  <conditionalFormatting sqref="L671 L673:L674">
    <cfRule type="containsText" dxfId="356" priority="357" operator="containsText" text="error">
      <formula>NOT(ISERROR(SEARCH("error",L671)))</formula>
    </cfRule>
  </conditionalFormatting>
  <conditionalFormatting sqref="L675:L696">
    <cfRule type="containsText" dxfId="355" priority="356" operator="containsText" text="error">
      <formula>NOT(ISERROR(SEARCH("error",L675)))</formula>
    </cfRule>
  </conditionalFormatting>
  <conditionalFormatting sqref="L697">
    <cfRule type="containsText" dxfId="354" priority="355" operator="containsText" text="error">
      <formula>NOT(ISERROR(SEARCH("error",L697)))</formula>
    </cfRule>
  </conditionalFormatting>
  <conditionalFormatting sqref="K714:K715">
    <cfRule type="containsText" dxfId="353" priority="354" operator="containsText" text="error">
      <formula>NOT(ISERROR(SEARCH("error",K714)))</formula>
    </cfRule>
  </conditionalFormatting>
  <conditionalFormatting sqref="L712 L714:L715">
    <cfRule type="containsText" dxfId="352" priority="353" operator="containsText" text="error">
      <formula>NOT(ISERROR(SEARCH("error",L712)))</formula>
    </cfRule>
  </conditionalFormatting>
  <conditionalFormatting sqref="L716:L737">
    <cfRule type="containsText" dxfId="351" priority="352" operator="containsText" text="error">
      <formula>NOT(ISERROR(SEARCH("error",L716)))</formula>
    </cfRule>
  </conditionalFormatting>
  <conditionalFormatting sqref="L738">
    <cfRule type="containsText" dxfId="350" priority="351" operator="containsText" text="error">
      <formula>NOT(ISERROR(SEARCH("error",L738)))</formula>
    </cfRule>
  </conditionalFormatting>
  <conditionalFormatting sqref="K755:K756">
    <cfRule type="containsText" dxfId="349" priority="350" operator="containsText" text="error">
      <formula>NOT(ISERROR(SEARCH("error",K755)))</formula>
    </cfRule>
  </conditionalFormatting>
  <conditionalFormatting sqref="L753 L755:L756">
    <cfRule type="containsText" dxfId="348" priority="349" operator="containsText" text="error">
      <formula>NOT(ISERROR(SEARCH("error",L753)))</formula>
    </cfRule>
  </conditionalFormatting>
  <conditionalFormatting sqref="L757:L778">
    <cfRule type="containsText" dxfId="347" priority="348" operator="containsText" text="error">
      <formula>NOT(ISERROR(SEARCH("error",L757)))</formula>
    </cfRule>
  </conditionalFormatting>
  <conditionalFormatting sqref="L779">
    <cfRule type="containsText" dxfId="346" priority="347" operator="containsText" text="error">
      <formula>NOT(ISERROR(SEARCH("error",L779)))</formula>
    </cfRule>
  </conditionalFormatting>
  <conditionalFormatting sqref="K796:K797">
    <cfRule type="containsText" dxfId="345" priority="346" operator="containsText" text="error">
      <formula>NOT(ISERROR(SEARCH("error",K796)))</formula>
    </cfRule>
  </conditionalFormatting>
  <conditionalFormatting sqref="L794 L796:L797">
    <cfRule type="containsText" dxfId="344" priority="345" operator="containsText" text="error">
      <formula>NOT(ISERROR(SEARCH("error",L794)))</formula>
    </cfRule>
  </conditionalFormatting>
  <conditionalFormatting sqref="L798:L819">
    <cfRule type="containsText" dxfId="343" priority="344" operator="containsText" text="error">
      <formula>NOT(ISERROR(SEARCH("error",L798)))</formula>
    </cfRule>
  </conditionalFormatting>
  <conditionalFormatting sqref="L820">
    <cfRule type="containsText" dxfId="342" priority="343" operator="containsText" text="error">
      <formula>NOT(ISERROR(SEARCH("error",L820)))</formula>
    </cfRule>
  </conditionalFormatting>
  <conditionalFormatting sqref="K837:K838">
    <cfRule type="containsText" dxfId="341" priority="342" operator="containsText" text="error">
      <formula>NOT(ISERROR(SEARCH("error",K837)))</formula>
    </cfRule>
  </conditionalFormatting>
  <conditionalFormatting sqref="L835 L837:L838">
    <cfRule type="containsText" dxfId="340" priority="341" operator="containsText" text="error">
      <formula>NOT(ISERROR(SEARCH("error",L835)))</formula>
    </cfRule>
  </conditionalFormatting>
  <conditionalFormatting sqref="L839:L860">
    <cfRule type="containsText" dxfId="339" priority="340" operator="containsText" text="error">
      <formula>NOT(ISERROR(SEARCH("error",L839)))</formula>
    </cfRule>
  </conditionalFormatting>
  <conditionalFormatting sqref="L861">
    <cfRule type="containsText" dxfId="338" priority="339" operator="containsText" text="error">
      <formula>NOT(ISERROR(SEARCH("error",L861)))</formula>
    </cfRule>
  </conditionalFormatting>
  <conditionalFormatting sqref="K878:K879">
    <cfRule type="containsText" dxfId="337" priority="338" operator="containsText" text="error">
      <formula>NOT(ISERROR(SEARCH("error",K878)))</formula>
    </cfRule>
  </conditionalFormatting>
  <conditionalFormatting sqref="L876 L878:L879">
    <cfRule type="containsText" dxfId="336" priority="337" operator="containsText" text="error">
      <formula>NOT(ISERROR(SEARCH("error",L876)))</formula>
    </cfRule>
  </conditionalFormatting>
  <conditionalFormatting sqref="L880:L901">
    <cfRule type="containsText" dxfId="335" priority="336" operator="containsText" text="error">
      <formula>NOT(ISERROR(SEARCH("error",L880)))</formula>
    </cfRule>
  </conditionalFormatting>
  <conditionalFormatting sqref="L902">
    <cfRule type="containsText" dxfId="334" priority="335" operator="containsText" text="error">
      <formula>NOT(ISERROR(SEARCH("error",L902)))</formula>
    </cfRule>
  </conditionalFormatting>
  <conditionalFormatting sqref="K919:K920">
    <cfRule type="containsText" dxfId="333" priority="334" operator="containsText" text="error">
      <formula>NOT(ISERROR(SEARCH("error",K919)))</formula>
    </cfRule>
  </conditionalFormatting>
  <conditionalFormatting sqref="L917 L919:L920">
    <cfRule type="containsText" dxfId="332" priority="333" operator="containsText" text="error">
      <formula>NOT(ISERROR(SEARCH("error",L917)))</formula>
    </cfRule>
  </conditionalFormatting>
  <conditionalFormatting sqref="L921:L942">
    <cfRule type="containsText" dxfId="331" priority="332" operator="containsText" text="error">
      <formula>NOT(ISERROR(SEARCH("error",L921)))</formula>
    </cfRule>
  </conditionalFormatting>
  <conditionalFormatting sqref="L943">
    <cfRule type="containsText" dxfId="330" priority="331" operator="containsText" text="error">
      <formula>NOT(ISERROR(SEARCH("error",L943)))</formula>
    </cfRule>
  </conditionalFormatting>
  <conditionalFormatting sqref="K960:K961">
    <cfRule type="containsText" dxfId="329" priority="330" operator="containsText" text="error">
      <formula>NOT(ISERROR(SEARCH("error",K960)))</formula>
    </cfRule>
  </conditionalFormatting>
  <conditionalFormatting sqref="L958 L960:L961">
    <cfRule type="containsText" dxfId="328" priority="329" operator="containsText" text="error">
      <formula>NOT(ISERROR(SEARCH("error",L958)))</formula>
    </cfRule>
  </conditionalFormatting>
  <conditionalFormatting sqref="L962:L983">
    <cfRule type="containsText" dxfId="327" priority="328" operator="containsText" text="error">
      <formula>NOT(ISERROR(SEARCH("error",L962)))</formula>
    </cfRule>
  </conditionalFormatting>
  <conditionalFormatting sqref="L984">
    <cfRule type="containsText" dxfId="326" priority="327" operator="containsText" text="error">
      <formula>NOT(ISERROR(SEARCH("error",L984)))</formula>
    </cfRule>
  </conditionalFormatting>
  <conditionalFormatting sqref="K1001:K1002">
    <cfRule type="containsText" dxfId="325" priority="326" operator="containsText" text="error">
      <formula>NOT(ISERROR(SEARCH("error",K1001)))</formula>
    </cfRule>
  </conditionalFormatting>
  <conditionalFormatting sqref="L999 L1001:L1002">
    <cfRule type="containsText" dxfId="324" priority="325" operator="containsText" text="error">
      <formula>NOT(ISERROR(SEARCH("error",L999)))</formula>
    </cfRule>
  </conditionalFormatting>
  <conditionalFormatting sqref="L1003:L1024">
    <cfRule type="containsText" dxfId="323" priority="324" operator="containsText" text="error">
      <formula>NOT(ISERROR(SEARCH("error",L1003)))</formula>
    </cfRule>
  </conditionalFormatting>
  <conditionalFormatting sqref="L1025">
    <cfRule type="containsText" dxfId="322" priority="323" operator="containsText" text="error">
      <formula>NOT(ISERROR(SEARCH("error",L1025)))</formula>
    </cfRule>
  </conditionalFormatting>
  <conditionalFormatting sqref="K1042:K1043">
    <cfRule type="containsText" dxfId="321" priority="322" operator="containsText" text="error">
      <formula>NOT(ISERROR(SEARCH("error",K1042)))</formula>
    </cfRule>
  </conditionalFormatting>
  <conditionalFormatting sqref="L1040 L1042:L1043">
    <cfRule type="containsText" dxfId="320" priority="321" operator="containsText" text="error">
      <formula>NOT(ISERROR(SEARCH("error",L1040)))</formula>
    </cfRule>
  </conditionalFormatting>
  <conditionalFormatting sqref="L1044:L1065">
    <cfRule type="containsText" dxfId="319" priority="320" operator="containsText" text="error">
      <formula>NOT(ISERROR(SEARCH("error",L1044)))</formula>
    </cfRule>
  </conditionalFormatting>
  <conditionalFormatting sqref="L1066">
    <cfRule type="containsText" dxfId="318" priority="319" operator="containsText" text="error">
      <formula>NOT(ISERROR(SEARCH("error",L1066)))</formula>
    </cfRule>
  </conditionalFormatting>
  <conditionalFormatting sqref="K1083:K1084">
    <cfRule type="containsText" dxfId="317" priority="318" operator="containsText" text="error">
      <formula>NOT(ISERROR(SEARCH("error",K1083)))</formula>
    </cfRule>
  </conditionalFormatting>
  <conditionalFormatting sqref="L1081 L1083:L1084">
    <cfRule type="containsText" dxfId="316" priority="317" operator="containsText" text="error">
      <formula>NOT(ISERROR(SEARCH("error",L1081)))</formula>
    </cfRule>
  </conditionalFormatting>
  <conditionalFormatting sqref="L1085:L1106">
    <cfRule type="containsText" dxfId="315" priority="316" operator="containsText" text="error">
      <formula>NOT(ISERROR(SEARCH("error",L1085)))</formula>
    </cfRule>
  </conditionalFormatting>
  <conditionalFormatting sqref="L1107">
    <cfRule type="containsText" dxfId="314" priority="315" operator="containsText" text="error">
      <formula>NOT(ISERROR(SEARCH("error",L1107)))</formula>
    </cfRule>
  </conditionalFormatting>
  <conditionalFormatting sqref="K1124:K1125">
    <cfRule type="containsText" dxfId="313" priority="314" operator="containsText" text="error">
      <formula>NOT(ISERROR(SEARCH("error",K1124)))</formula>
    </cfRule>
  </conditionalFormatting>
  <conditionalFormatting sqref="L1122 L1124:L1125">
    <cfRule type="containsText" dxfId="312" priority="313" operator="containsText" text="error">
      <formula>NOT(ISERROR(SEARCH("error",L1122)))</formula>
    </cfRule>
  </conditionalFormatting>
  <conditionalFormatting sqref="L1126:L1147">
    <cfRule type="containsText" dxfId="311" priority="312" operator="containsText" text="error">
      <formula>NOT(ISERROR(SEARCH("error",L1126)))</formula>
    </cfRule>
  </conditionalFormatting>
  <conditionalFormatting sqref="L1148">
    <cfRule type="containsText" dxfId="310" priority="311" operator="containsText" text="error">
      <formula>NOT(ISERROR(SEARCH("error",L1148)))</formula>
    </cfRule>
  </conditionalFormatting>
  <conditionalFormatting sqref="K1165:K1166">
    <cfRule type="containsText" dxfId="309" priority="310" operator="containsText" text="error">
      <formula>NOT(ISERROR(SEARCH("error",K1165)))</formula>
    </cfRule>
  </conditionalFormatting>
  <conditionalFormatting sqref="L1163 L1165:L1166">
    <cfRule type="containsText" dxfId="308" priority="309" operator="containsText" text="error">
      <formula>NOT(ISERROR(SEARCH("error",L1163)))</formula>
    </cfRule>
  </conditionalFormatting>
  <conditionalFormatting sqref="L1167:L1188">
    <cfRule type="containsText" dxfId="307" priority="308" operator="containsText" text="error">
      <formula>NOT(ISERROR(SEARCH("error",L1167)))</formula>
    </cfRule>
  </conditionalFormatting>
  <conditionalFormatting sqref="L1189">
    <cfRule type="containsText" dxfId="306" priority="307" operator="containsText" text="error">
      <formula>NOT(ISERROR(SEARCH("error",L1189)))</formula>
    </cfRule>
  </conditionalFormatting>
  <conditionalFormatting sqref="K1206:K1207">
    <cfRule type="containsText" dxfId="305" priority="306" operator="containsText" text="error">
      <formula>NOT(ISERROR(SEARCH("error",K1206)))</formula>
    </cfRule>
  </conditionalFormatting>
  <conditionalFormatting sqref="L1204 L1206:L1207">
    <cfRule type="containsText" dxfId="304" priority="305" operator="containsText" text="error">
      <formula>NOT(ISERROR(SEARCH("error",L1204)))</formula>
    </cfRule>
  </conditionalFormatting>
  <conditionalFormatting sqref="L1208:L1229">
    <cfRule type="containsText" dxfId="303" priority="304" operator="containsText" text="error">
      <formula>NOT(ISERROR(SEARCH("error",L1208)))</formula>
    </cfRule>
  </conditionalFormatting>
  <conditionalFormatting sqref="L1230">
    <cfRule type="containsText" dxfId="302" priority="303" operator="containsText" text="error">
      <formula>NOT(ISERROR(SEARCH("error",L1230)))</formula>
    </cfRule>
  </conditionalFormatting>
  <conditionalFormatting sqref="K1247:K1248">
    <cfRule type="containsText" dxfId="301" priority="302" operator="containsText" text="error">
      <formula>NOT(ISERROR(SEARCH("error",K1247)))</formula>
    </cfRule>
  </conditionalFormatting>
  <conditionalFormatting sqref="L1245 L1247:L1248">
    <cfRule type="containsText" dxfId="300" priority="301" operator="containsText" text="error">
      <formula>NOT(ISERROR(SEARCH("error",L1245)))</formula>
    </cfRule>
  </conditionalFormatting>
  <conditionalFormatting sqref="L1249:L1270">
    <cfRule type="containsText" dxfId="299" priority="300" operator="containsText" text="error">
      <formula>NOT(ISERROR(SEARCH("error",L1249)))</formula>
    </cfRule>
  </conditionalFormatting>
  <conditionalFormatting sqref="L1271">
    <cfRule type="containsText" dxfId="298" priority="299" operator="containsText" text="error">
      <formula>NOT(ISERROR(SEARCH("error",L1271)))</formula>
    </cfRule>
  </conditionalFormatting>
  <conditionalFormatting sqref="K1288:K1289">
    <cfRule type="containsText" dxfId="297" priority="298" operator="containsText" text="error">
      <formula>NOT(ISERROR(SEARCH("error",K1288)))</formula>
    </cfRule>
  </conditionalFormatting>
  <conditionalFormatting sqref="L1286 L1288:L1289">
    <cfRule type="containsText" dxfId="296" priority="297" operator="containsText" text="error">
      <formula>NOT(ISERROR(SEARCH("error",L1286)))</formula>
    </cfRule>
  </conditionalFormatting>
  <conditionalFormatting sqref="L1290:L1311">
    <cfRule type="containsText" dxfId="295" priority="296" operator="containsText" text="error">
      <formula>NOT(ISERROR(SEARCH("error",L1290)))</formula>
    </cfRule>
  </conditionalFormatting>
  <conditionalFormatting sqref="L1312">
    <cfRule type="containsText" dxfId="294" priority="295" operator="containsText" text="error">
      <formula>NOT(ISERROR(SEARCH("error",L1312)))</formula>
    </cfRule>
  </conditionalFormatting>
  <conditionalFormatting sqref="K1329:K1330">
    <cfRule type="containsText" dxfId="293" priority="294" operator="containsText" text="error">
      <formula>NOT(ISERROR(SEARCH("error",K1329)))</formula>
    </cfRule>
  </conditionalFormatting>
  <conditionalFormatting sqref="L1327 L1329:L1330">
    <cfRule type="containsText" dxfId="292" priority="293" operator="containsText" text="error">
      <formula>NOT(ISERROR(SEARCH("error",L1327)))</formula>
    </cfRule>
  </conditionalFormatting>
  <conditionalFormatting sqref="L1331:L1352">
    <cfRule type="containsText" dxfId="291" priority="292" operator="containsText" text="error">
      <formula>NOT(ISERROR(SEARCH("error",L1331)))</formula>
    </cfRule>
  </conditionalFormatting>
  <conditionalFormatting sqref="L1353">
    <cfRule type="containsText" dxfId="290" priority="291" operator="containsText" text="error">
      <formula>NOT(ISERROR(SEARCH("error",L1353)))</formula>
    </cfRule>
  </conditionalFormatting>
  <conditionalFormatting sqref="K1370:K1371">
    <cfRule type="containsText" dxfId="289" priority="290" operator="containsText" text="error">
      <formula>NOT(ISERROR(SEARCH("error",K1370)))</formula>
    </cfRule>
  </conditionalFormatting>
  <conditionalFormatting sqref="L1368 L1370:L1371">
    <cfRule type="containsText" dxfId="288" priority="289" operator="containsText" text="error">
      <formula>NOT(ISERROR(SEARCH("error",L1368)))</formula>
    </cfRule>
  </conditionalFormatting>
  <conditionalFormatting sqref="L1372:L1393">
    <cfRule type="containsText" dxfId="287" priority="288" operator="containsText" text="error">
      <formula>NOT(ISERROR(SEARCH("error",L1372)))</formula>
    </cfRule>
  </conditionalFormatting>
  <conditionalFormatting sqref="L1394">
    <cfRule type="containsText" dxfId="286" priority="287" operator="containsText" text="error">
      <formula>NOT(ISERROR(SEARCH("error",L1394)))</formula>
    </cfRule>
  </conditionalFormatting>
  <conditionalFormatting sqref="K1411:K1412">
    <cfRule type="containsText" dxfId="285" priority="286" operator="containsText" text="error">
      <formula>NOT(ISERROR(SEARCH("error",K1411)))</formula>
    </cfRule>
  </conditionalFormatting>
  <conditionalFormatting sqref="L1409 L1411:L1412">
    <cfRule type="containsText" dxfId="284" priority="285" operator="containsText" text="error">
      <formula>NOT(ISERROR(SEARCH("error",L1409)))</formula>
    </cfRule>
  </conditionalFormatting>
  <conditionalFormatting sqref="L1413:L1434">
    <cfRule type="containsText" dxfId="283" priority="284" operator="containsText" text="error">
      <formula>NOT(ISERROR(SEARCH("error",L1413)))</formula>
    </cfRule>
  </conditionalFormatting>
  <conditionalFormatting sqref="L1435">
    <cfRule type="containsText" dxfId="282" priority="283" operator="containsText" text="error">
      <formula>NOT(ISERROR(SEARCH("error",L1435)))</formula>
    </cfRule>
  </conditionalFormatting>
  <conditionalFormatting sqref="K1452:K1453">
    <cfRule type="containsText" dxfId="281" priority="282" operator="containsText" text="error">
      <formula>NOT(ISERROR(SEARCH("error",K1452)))</formula>
    </cfRule>
  </conditionalFormatting>
  <conditionalFormatting sqref="L1450 L1452:L1453">
    <cfRule type="containsText" dxfId="280" priority="281" operator="containsText" text="error">
      <formula>NOT(ISERROR(SEARCH("error",L1450)))</formula>
    </cfRule>
  </conditionalFormatting>
  <conditionalFormatting sqref="L1454:L1475">
    <cfRule type="containsText" dxfId="279" priority="280" operator="containsText" text="error">
      <formula>NOT(ISERROR(SEARCH("error",L1454)))</formula>
    </cfRule>
  </conditionalFormatting>
  <conditionalFormatting sqref="L1476">
    <cfRule type="containsText" dxfId="278" priority="279" operator="containsText" text="error">
      <formula>NOT(ISERROR(SEARCH("error",L1476)))</formula>
    </cfRule>
  </conditionalFormatting>
  <conditionalFormatting sqref="K1493:K1494">
    <cfRule type="containsText" dxfId="277" priority="278" operator="containsText" text="error">
      <formula>NOT(ISERROR(SEARCH("error",K1493)))</formula>
    </cfRule>
  </conditionalFormatting>
  <conditionalFormatting sqref="L1491 L1493:L1494">
    <cfRule type="containsText" dxfId="276" priority="277" operator="containsText" text="error">
      <formula>NOT(ISERROR(SEARCH("error",L1491)))</formula>
    </cfRule>
  </conditionalFormatting>
  <conditionalFormatting sqref="L1495:L1516">
    <cfRule type="containsText" dxfId="275" priority="276" operator="containsText" text="error">
      <formula>NOT(ISERROR(SEARCH("error",L1495)))</formula>
    </cfRule>
  </conditionalFormatting>
  <conditionalFormatting sqref="L1517">
    <cfRule type="containsText" dxfId="274" priority="275" operator="containsText" text="error">
      <formula>NOT(ISERROR(SEARCH("error",L1517)))</formula>
    </cfRule>
  </conditionalFormatting>
  <conditionalFormatting sqref="K1534:K1535">
    <cfRule type="containsText" dxfId="273" priority="274" operator="containsText" text="error">
      <formula>NOT(ISERROR(SEARCH("error",K1534)))</formula>
    </cfRule>
  </conditionalFormatting>
  <conditionalFormatting sqref="L1532 L1534:L1535">
    <cfRule type="containsText" dxfId="272" priority="273" operator="containsText" text="error">
      <formula>NOT(ISERROR(SEARCH("error",L1532)))</formula>
    </cfRule>
  </conditionalFormatting>
  <conditionalFormatting sqref="L1536:L1557">
    <cfRule type="containsText" dxfId="271" priority="272" operator="containsText" text="error">
      <formula>NOT(ISERROR(SEARCH("error",L1536)))</formula>
    </cfRule>
  </conditionalFormatting>
  <conditionalFormatting sqref="L1558">
    <cfRule type="containsText" dxfId="270" priority="271" operator="containsText" text="error">
      <formula>NOT(ISERROR(SEARCH("error",L1558)))</formula>
    </cfRule>
  </conditionalFormatting>
  <conditionalFormatting sqref="K1575:K1576">
    <cfRule type="containsText" dxfId="269" priority="270" operator="containsText" text="error">
      <formula>NOT(ISERROR(SEARCH("error",K1575)))</formula>
    </cfRule>
  </conditionalFormatting>
  <conditionalFormatting sqref="L1573 L1575:L1576">
    <cfRule type="containsText" dxfId="268" priority="269" operator="containsText" text="error">
      <formula>NOT(ISERROR(SEARCH("error",L1573)))</formula>
    </cfRule>
  </conditionalFormatting>
  <conditionalFormatting sqref="L1577:L1598">
    <cfRule type="containsText" dxfId="267" priority="268" operator="containsText" text="error">
      <formula>NOT(ISERROR(SEARCH("error",L1577)))</formula>
    </cfRule>
  </conditionalFormatting>
  <conditionalFormatting sqref="L1599">
    <cfRule type="containsText" dxfId="266" priority="267" operator="containsText" text="error">
      <formula>NOT(ISERROR(SEARCH("error",L1599)))</formula>
    </cfRule>
  </conditionalFormatting>
  <conditionalFormatting sqref="K1616:K1617">
    <cfRule type="containsText" dxfId="265" priority="266" operator="containsText" text="error">
      <formula>NOT(ISERROR(SEARCH("error",K1616)))</formula>
    </cfRule>
  </conditionalFormatting>
  <conditionalFormatting sqref="L1614 L1616:L1617">
    <cfRule type="containsText" dxfId="264" priority="265" operator="containsText" text="error">
      <formula>NOT(ISERROR(SEARCH("error",L1614)))</formula>
    </cfRule>
  </conditionalFormatting>
  <conditionalFormatting sqref="L1618:L1639">
    <cfRule type="containsText" dxfId="263" priority="264" operator="containsText" text="error">
      <formula>NOT(ISERROR(SEARCH("error",L1618)))</formula>
    </cfRule>
  </conditionalFormatting>
  <conditionalFormatting sqref="L1640">
    <cfRule type="containsText" dxfId="262" priority="263" operator="containsText" text="error">
      <formula>NOT(ISERROR(SEARCH("error",L1640)))</formula>
    </cfRule>
  </conditionalFormatting>
  <conditionalFormatting sqref="K1657:K1658">
    <cfRule type="containsText" dxfId="261" priority="262" operator="containsText" text="error">
      <formula>NOT(ISERROR(SEARCH("error",K1657)))</formula>
    </cfRule>
  </conditionalFormatting>
  <conditionalFormatting sqref="L1655 L1657:L1658">
    <cfRule type="containsText" dxfId="260" priority="261" operator="containsText" text="error">
      <formula>NOT(ISERROR(SEARCH("error",L1655)))</formula>
    </cfRule>
  </conditionalFormatting>
  <conditionalFormatting sqref="L1659:L1680">
    <cfRule type="containsText" dxfId="259" priority="260" operator="containsText" text="error">
      <formula>NOT(ISERROR(SEARCH("error",L1659)))</formula>
    </cfRule>
  </conditionalFormatting>
  <conditionalFormatting sqref="L1681">
    <cfRule type="containsText" dxfId="258" priority="259" operator="containsText" text="error">
      <formula>NOT(ISERROR(SEARCH("error",L1681)))</formula>
    </cfRule>
  </conditionalFormatting>
  <conditionalFormatting sqref="K1698:K1699">
    <cfRule type="containsText" dxfId="257" priority="258" operator="containsText" text="error">
      <formula>NOT(ISERROR(SEARCH("error",K1698)))</formula>
    </cfRule>
  </conditionalFormatting>
  <conditionalFormatting sqref="L1696 L1698:L1699">
    <cfRule type="containsText" dxfId="256" priority="257" operator="containsText" text="error">
      <formula>NOT(ISERROR(SEARCH("error",L1696)))</formula>
    </cfRule>
  </conditionalFormatting>
  <conditionalFormatting sqref="L1700:L1721">
    <cfRule type="containsText" dxfId="255" priority="256" operator="containsText" text="error">
      <formula>NOT(ISERROR(SEARCH("error",L1700)))</formula>
    </cfRule>
  </conditionalFormatting>
  <conditionalFormatting sqref="L1722">
    <cfRule type="containsText" dxfId="254" priority="255" operator="containsText" text="error">
      <formula>NOT(ISERROR(SEARCH("error",L1722)))</formula>
    </cfRule>
  </conditionalFormatting>
  <conditionalFormatting sqref="K1739:K1740">
    <cfRule type="containsText" dxfId="253" priority="254" operator="containsText" text="error">
      <formula>NOT(ISERROR(SEARCH("error",K1739)))</formula>
    </cfRule>
  </conditionalFormatting>
  <conditionalFormatting sqref="L1737 L1739:L1740">
    <cfRule type="containsText" dxfId="252" priority="253" operator="containsText" text="error">
      <formula>NOT(ISERROR(SEARCH("error",L1737)))</formula>
    </cfRule>
  </conditionalFormatting>
  <conditionalFormatting sqref="L1741:L1762">
    <cfRule type="containsText" dxfId="251" priority="252" operator="containsText" text="error">
      <formula>NOT(ISERROR(SEARCH("error",L1741)))</formula>
    </cfRule>
  </conditionalFormatting>
  <conditionalFormatting sqref="L1763">
    <cfRule type="containsText" dxfId="250" priority="251" operator="containsText" text="error">
      <formula>NOT(ISERROR(SEARCH("error",L1763)))</formula>
    </cfRule>
  </conditionalFormatting>
  <conditionalFormatting sqref="K1780:K1781">
    <cfRule type="containsText" dxfId="249" priority="250" operator="containsText" text="error">
      <formula>NOT(ISERROR(SEARCH("error",K1780)))</formula>
    </cfRule>
  </conditionalFormatting>
  <conditionalFormatting sqref="L1778 L1780:L1781">
    <cfRule type="containsText" dxfId="248" priority="249" operator="containsText" text="error">
      <formula>NOT(ISERROR(SEARCH("error",L1778)))</formula>
    </cfRule>
  </conditionalFormatting>
  <conditionalFormatting sqref="L1782:L1803">
    <cfRule type="containsText" dxfId="247" priority="248" operator="containsText" text="error">
      <formula>NOT(ISERROR(SEARCH("error",L1782)))</formula>
    </cfRule>
  </conditionalFormatting>
  <conditionalFormatting sqref="L1804">
    <cfRule type="containsText" dxfId="246" priority="247" operator="containsText" text="error">
      <formula>NOT(ISERROR(SEARCH("error",L1804)))</formula>
    </cfRule>
  </conditionalFormatting>
  <conditionalFormatting sqref="K1821:K1822">
    <cfRule type="containsText" dxfId="245" priority="246" operator="containsText" text="error">
      <formula>NOT(ISERROR(SEARCH("error",K1821)))</formula>
    </cfRule>
  </conditionalFormatting>
  <conditionalFormatting sqref="L1819 L1821:L1822">
    <cfRule type="containsText" dxfId="244" priority="245" operator="containsText" text="error">
      <formula>NOT(ISERROR(SEARCH("error",L1819)))</formula>
    </cfRule>
  </conditionalFormatting>
  <conditionalFormatting sqref="L1823:L1844">
    <cfRule type="containsText" dxfId="243" priority="244" operator="containsText" text="error">
      <formula>NOT(ISERROR(SEARCH("error",L1823)))</formula>
    </cfRule>
  </conditionalFormatting>
  <conditionalFormatting sqref="L1845">
    <cfRule type="containsText" dxfId="242" priority="243" operator="containsText" text="error">
      <formula>NOT(ISERROR(SEARCH("error",L1845)))</formula>
    </cfRule>
  </conditionalFormatting>
  <conditionalFormatting sqref="K1862:K1863">
    <cfRule type="containsText" dxfId="241" priority="242" operator="containsText" text="error">
      <formula>NOT(ISERROR(SEARCH("error",K1862)))</formula>
    </cfRule>
  </conditionalFormatting>
  <conditionalFormatting sqref="L1860 L1862:L1863">
    <cfRule type="containsText" dxfId="240" priority="241" operator="containsText" text="error">
      <formula>NOT(ISERROR(SEARCH("error",L1860)))</formula>
    </cfRule>
  </conditionalFormatting>
  <conditionalFormatting sqref="L1864:L1885">
    <cfRule type="containsText" dxfId="239" priority="240" operator="containsText" text="error">
      <formula>NOT(ISERROR(SEARCH("error",L1864)))</formula>
    </cfRule>
  </conditionalFormatting>
  <conditionalFormatting sqref="L1886">
    <cfRule type="containsText" dxfId="238" priority="239" operator="containsText" text="error">
      <formula>NOT(ISERROR(SEARCH("error",L1886)))</formula>
    </cfRule>
  </conditionalFormatting>
  <conditionalFormatting sqref="K1903:K1904">
    <cfRule type="containsText" dxfId="237" priority="238" operator="containsText" text="error">
      <formula>NOT(ISERROR(SEARCH("error",K1903)))</formula>
    </cfRule>
  </conditionalFormatting>
  <conditionalFormatting sqref="L1901 L1903:L1904">
    <cfRule type="containsText" dxfId="236" priority="237" operator="containsText" text="error">
      <formula>NOT(ISERROR(SEARCH("error",L1901)))</formula>
    </cfRule>
  </conditionalFormatting>
  <conditionalFormatting sqref="L1905:L1926">
    <cfRule type="containsText" dxfId="235" priority="236" operator="containsText" text="error">
      <formula>NOT(ISERROR(SEARCH("error",L1905)))</formula>
    </cfRule>
  </conditionalFormatting>
  <conditionalFormatting sqref="L1927">
    <cfRule type="containsText" dxfId="234" priority="235" operator="containsText" text="error">
      <formula>NOT(ISERROR(SEARCH("error",L1927)))</formula>
    </cfRule>
  </conditionalFormatting>
  <conditionalFormatting sqref="K1944:K1945">
    <cfRule type="containsText" dxfId="233" priority="234" operator="containsText" text="error">
      <formula>NOT(ISERROR(SEARCH("error",K1944)))</formula>
    </cfRule>
  </conditionalFormatting>
  <conditionalFormatting sqref="L1942 L1944:L1945">
    <cfRule type="containsText" dxfId="232" priority="233" operator="containsText" text="error">
      <formula>NOT(ISERROR(SEARCH("error",L1942)))</formula>
    </cfRule>
  </conditionalFormatting>
  <conditionalFormatting sqref="L1946:L1967">
    <cfRule type="containsText" dxfId="231" priority="232" operator="containsText" text="error">
      <formula>NOT(ISERROR(SEARCH("error",L1946)))</formula>
    </cfRule>
  </conditionalFormatting>
  <conditionalFormatting sqref="L1968">
    <cfRule type="containsText" dxfId="230" priority="231" operator="containsText" text="error">
      <formula>NOT(ISERROR(SEARCH("error",L1968)))</formula>
    </cfRule>
  </conditionalFormatting>
  <conditionalFormatting sqref="K1985:K1986">
    <cfRule type="containsText" dxfId="229" priority="230" operator="containsText" text="error">
      <formula>NOT(ISERROR(SEARCH("error",K1985)))</formula>
    </cfRule>
  </conditionalFormatting>
  <conditionalFormatting sqref="L1983 L1985:L1986">
    <cfRule type="containsText" dxfId="228" priority="229" operator="containsText" text="error">
      <formula>NOT(ISERROR(SEARCH("error",L1983)))</formula>
    </cfRule>
  </conditionalFormatting>
  <conditionalFormatting sqref="L1987:L2008">
    <cfRule type="containsText" dxfId="227" priority="228" operator="containsText" text="error">
      <formula>NOT(ISERROR(SEARCH("error",L1987)))</formula>
    </cfRule>
  </conditionalFormatting>
  <conditionalFormatting sqref="L2009">
    <cfRule type="containsText" dxfId="226" priority="227" operator="containsText" text="error">
      <formula>NOT(ISERROR(SEARCH("error",L2009)))</formula>
    </cfRule>
  </conditionalFormatting>
  <conditionalFormatting sqref="K2026:K2027">
    <cfRule type="containsText" dxfId="225" priority="226" operator="containsText" text="error">
      <formula>NOT(ISERROR(SEARCH("error",K2026)))</formula>
    </cfRule>
  </conditionalFormatting>
  <conditionalFormatting sqref="L2024 L2026:L2027">
    <cfRule type="containsText" dxfId="224" priority="225" operator="containsText" text="error">
      <formula>NOT(ISERROR(SEARCH("error",L2024)))</formula>
    </cfRule>
  </conditionalFormatting>
  <conditionalFormatting sqref="L2028:L2049">
    <cfRule type="containsText" dxfId="223" priority="224" operator="containsText" text="error">
      <formula>NOT(ISERROR(SEARCH("error",L2028)))</formula>
    </cfRule>
  </conditionalFormatting>
  <conditionalFormatting sqref="L2050">
    <cfRule type="containsText" dxfId="222" priority="223" operator="containsText" text="error">
      <formula>NOT(ISERROR(SEARCH("error",L2050)))</formula>
    </cfRule>
  </conditionalFormatting>
  <conditionalFormatting sqref="J58:J82">
    <cfRule type="containsText" dxfId="221" priority="222" operator="containsText" text="error">
      <formula>NOT(ISERROR(SEARCH("error",J58)))</formula>
    </cfRule>
  </conditionalFormatting>
  <conditionalFormatting sqref="J58:J82">
    <cfRule type="cellIs" dxfId="220" priority="220" operator="lessThan">
      <formula>12</formula>
    </cfRule>
    <cfRule type="cellIs" dxfId="219" priority="221" operator="equal">
      <formula>"4,6,8"</formula>
    </cfRule>
  </conditionalFormatting>
  <conditionalFormatting sqref="J58">
    <cfRule type="expression" dxfId="218" priority="219">
      <formula>AND(C58="NO",E58&lt;12,C59="")</formula>
    </cfRule>
  </conditionalFormatting>
  <conditionalFormatting sqref="J99:J123">
    <cfRule type="containsText" dxfId="217" priority="218" operator="containsText" text="error">
      <formula>NOT(ISERROR(SEARCH("error",J99)))</formula>
    </cfRule>
  </conditionalFormatting>
  <conditionalFormatting sqref="J99:J123">
    <cfRule type="cellIs" dxfId="216" priority="216" operator="lessThan">
      <formula>12</formula>
    </cfRule>
    <cfRule type="cellIs" dxfId="215" priority="217" operator="equal">
      <formula>"4,6,8"</formula>
    </cfRule>
  </conditionalFormatting>
  <conditionalFormatting sqref="J99">
    <cfRule type="expression" dxfId="214" priority="215">
      <formula>AND(C99="NO",E99&lt;12,C100="")</formula>
    </cfRule>
  </conditionalFormatting>
  <conditionalFormatting sqref="J140:J164">
    <cfRule type="containsText" dxfId="213" priority="214" operator="containsText" text="error">
      <formula>NOT(ISERROR(SEARCH("error",J140)))</formula>
    </cfRule>
  </conditionalFormatting>
  <conditionalFormatting sqref="J140:J164">
    <cfRule type="cellIs" dxfId="212" priority="212" operator="lessThan">
      <formula>12</formula>
    </cfRule>
    <cfRule type="cellIs" dxfId="211" priority="213" operator="equal">
      <formula>"4,6,8"</formula>
    </cfRule>
  </conditionalFormatting>
  <conditionalFormatting sqref="J140">
    <cfRule type="expression" dxfId="210" priority="211">
      <formula>AND(C140="NO",E140&lt;12,C141="")</formula>
    </cfRule>
  </conditionalFormatting>
  <conditionalFormatting sqref="J181:J205">
    <cfRule type="containsText" dxfId="209" priority="210" operator="containsText" text="error">
      <formula>NOT(ISERROR(SEARCH("error",J181)))</formula>
    </cfRule>
  </conditionalFormatting>
  <conditionalFormatting sqref="J181:J205">
    <cfRule type="cellIs" dxfId="208" priority="208" operator="lessThan">
      <formula>12</formula>
    </cfRule>
    <cfRule type="cellIs" dxfId="207" priority="209" operator="equal">
      <formula>"4,6,8"</formula>
    </cfRule>
  </conditionalFormatting>
  <conditionalFormatting sqref="J181">
    <cfRule type="expression" dxfId="206" priority="207">
      <formula>AND(C181="NO",E181&lt;12,C182="")</formula>
    </cfRule>
  </conditionalFormatting>
  <conditionalFormatting sqref="J222:J246">
    <cfRule type="containsText" dxfId="205" priority="206" operator="containsText" text="error">
      <formula>NOT(ISERROR(SEARCH("error",J222)))</formula>
    </cfRule>
  </conditionalFormatting>
  <conditionalFormatting sqref="J222:J246">
    <cfRule type="cellIs" dxfId="204" priority="204" operator="lessThan">
      <formula>12</formula>
    </cfRule>
    <cfRule type="cellIs" dxfId="203" priority="205" operator="equal">
      <formula>"4,6,8"</formula>
    </cfRule>
  </conditionalFormatting>
  <conditionalFormatting sqref="J222">
    <cfRule type="expression" dxfId="202" priority="203">
      <formula>AND(C222="NO",E222&lt;12,C223="")</formula>
    </cfRule>
  </conditionalFormatting>
  <conditionalFormatting sqref="J263:J287">
    <cfRule type="containsText" dxfId="201" priority="202" operator="containsText" text="error">
      <formula>NOT(ISERROR(SEARCH("error",J263)))</formula>
    </cfRule>
  </conditionalFormatting>
  <conditionalFormatting sqref="J263:J287">
    <cfRule type="cellIs" dxfId="200" priority="200" operator="lessThan">
      <formula>12</formula>
    </cfRule>
    <cfRule type="cellIs" dxfId="199" priority="201" operator="equal">
      <formula>"4,6,8"</formula>
    </cfRule>
  </conditionalFormatting>
  <conditionalFormatting sqref="J263">
    <cfRule type="expression" dxfId="198" priority="199">
      <formula>AND(C263="NO",E263&lt;12,C264="")</formula>
    </cfRule>
  </conditionalFormatting>
  <conditionalFormatting sqref="J304:J328">
    <cfRule type="containsText" dxfId="197" priority="198" operator="containsText" text="error">
      <formula>NOT(ISERROR(SEARCH("error",J304)))</formula>
    </cfRule>
  </conditionalFormatting>
  <conditionalFormatting sqref="J304:J328">
    <cfRule type="cellIs" dxfId="196" priority="196" operator="lessThan">
      <formula>12</formula>
    </cfRule>
    <cfRule type="cellIs" dxfId="195" priority="197" operator="equal">
      <formula>"4,6,8"</formula>
    </cfRule>
  </conditionalFormatting>
  <conditionalFormatting sqref="J304">
    <cfRule type="expression" dxfId="194" priority="195">
      <formula>AND(C304="NO",E304&lt;12,C305="")</formula>
    </cfRule>
  </conditionalFormatting>
  <conditionalFormatting sqref="J345:J369">
    <cfRule type="containsText" dxfId="193" priority="194" operator="containsText" text="error">
      <formula>NOT(ISERROR(SEARCH("error",J345)))</formula>
    </cfRule>
  </conditionalFormatting>
  <conditionalFormatting sqref="J345:J369">
    <cfRule type="cellIs" dxfId="192" priority="192" operator="lessThan">
      <formula>12</formula>
    </cfRule>
    <cfRule type="cellIs" dxfId="191" priority="193" operator="equal">
      <formula>"4,6,8"</formula>
    </cfRule>
  </conditionalFormatting>
  <conditionalFormatting sqref="J345">
    <cfRule type="expression" dxfId="190" priority="191">
      <formula>AND(C345="NO",E345&lt;12,C346="")</formula>
    </cfRule>
  </conditionalFormatting>
  <conditionalFormatting sqref="J386:J410">
    <cfRule type="containsText" dxfId="189" priority="190" operator="containsText" text="error">
      <formula>NOT(ISERROR(SEARCH("error",J386)))</formula>
    </cfRule>
  </conditionalFormatting>
  <conditionalFormatting sqref="J386:J410">
    <cfRule type="cellIs" dxfId="188" priority="188" operator="lessThan">
      <formula>12</formula>
    </cfRule>
    <cfRule type="cellIs" dxfId="187" priority="189" operator="equal">
      <formula>"4,6,8"</formula>
    </cfRule>
  </conditionalFormatting>
  <conditionalFormatting sqref="J386">
    <cfRule type="expression" dxfId="186" priority="187">
      <formula>AND(C386="NO",E386&lt;12,C387="")</formula>
    </cfRule>
  </conditionalFormatting>
  <conditionalFormatting sqref="J427:J451">
    <cfRule type="containsText" dxfId="185" priority="186" operator="containsText" text="error">
      <formula>NOT(ISERROR(SEARCH("error",J427)))</formula>
    </cfRule>
  </conditionalFormatting>
  <conditionalFormatting sqref="J427:J451">
    <cfRule type="cellIs" dxfId="184" priority="184" operator="lessThan">
      <formula>12</formula>
    </cfRule>
    <cfRule type="cellIs" dxfId="183" priority="185" operator="equal">
      <formula>"4,6,8"</formula>
    </cfRule>
  </conditionalFormatting>
  <conditionalFormatting sqref="J427">
    <cfRule type="expression" dxfId="182" priority="183">
      <formula>AND(C427="NO",E427&lt;12,C428="")</formula>
    </cfRule>
  </conditionalFormatting>
  <conditionalFormatting sqref="J468:J492">
    <cfRule type="containsText" dxfId="181" priority="182" operator="containsText" text="error">
      <formula>NOT(ISERROR(SEARCH("error",J468)))</formula>
    </cfRule>
  </conditionalFormatting>
  <conditionalFormatting sqref="J468:J492">
    <cfRule type="cellIs" dxfId="180" priority="180" operator="lessThan">
      <formula>12</formula>
    </cfRule>
    <cfRule type="cellIs" dxfId="179" priority="181" operator="equal">
      <formula>"4,6,8"</formula>
    </cfRule>
  </conditionalFormatting>
  <conditionalFormatting sqref="J468">
    <cfRule type="expression" dxfId="178" priority="179">
      <formula>AND(C468="NO",E468&lt;12,C469="")</formula>
    </cfRule>
  </conditionalFormatting>
  <conditionalFormatting sqref="J509:J533">
    <cfRule type="containsText" dxfId="177" priority="178" operator="containsText" text="error">
      <formula>NOT(ISERROR(SEARCH("error",J509)))</formula>
    </cfRule>
  </conditionalFormatting>
  <conditionalFormatting sqref="J509:J533">
    <cfRule type="cellIs" dxfId="176" priority="176" operator="lessThan">
      <formula>12</formula>
    </cfRule>
    <cfRule type="cellIs" dxfId="175" priority="177" operator="equal">
      <formula>"4,6,8"</formula>
    </cfRule>
  </conditionalFormatting>
  <conditionalFormatting sqref="J509">
    <cfRule type="expression" dxfId="174" priority="175">
      <formula>AND(C509="NO",E509&lt;12,C510="")</formula>
    </cfRule>
  </conditionalFormatting>
  <conditionalFormatting sqref="J550:J574">
    <cfRule type="containsText" dxfId="173" priority="174" operator="containsText" text="error">
      <formula>NOT(ISERROR(SEARCH("error",J550)))</formula>
    </cfRule>
  </conditionalFormatting>
  <conditionalFormatting sqref="J550:J574">
    <cfRule type="cellIs" dxfId="172" priority="172" operator="lessThan">
      <formula>12</formula>
    </cfRule>
    <cfRule type="cellIs" dxfId="171" priority="173" operator="equal">
      <formula>"4,6,8"</formula>
    </cfRule>
  </conditionalFormatting>
  <conditionalFormatting sqref="J550">
    <cfRule type="expression" dxfId="170" priority="171">
      <formula>AND(C550="NO",E550&lt;12,C551="")</formula>
    </cfRule>
  </conditionalFormatting>
  <conditionalFormatting sqref="J591:J615">
    <cfRule type="containsText" dxfId="169" priority="170" operator="containsText" text="error">
      <formula>NOT(ISERROR(SEARCH("error",J591)))</formula>
    </cfRule>
  </conditionalFormatting>
  <conditionalFormatting sqref="J591:J615">
    <cfRule type="cellIs" dxfId="168" priority="168" operator="lessThan">
      <formula>12</formula>
    </cfRule>
    <cfRule type="cellIs" dxfId="167" priority="169" operator="equal">
      <formula>"4,6,8"</formula>
    </cfRule>
  </conditionalFormatting>
  <conditionalFormatting sqref="J591">
    <cfRule type="expression" dxfId="166" priority="167">
      <formula>AND(C591="NO",E591&lt;12,C592="")</formula>
    </cfRule>
  </conditionalFormatting>
  <conditionalFormatting sqref="J632:J656">
    <cfRule type="containsText" dxfId="165" priority="166" operator="containsText" text="error">
      <formula>NOT(ISERROR(SEARCH("error",J632)))</formula>
    </cfRule>
  </conditionalFormatting>
  <conditionalFormatting sqref="J632:J656">
    <cfRule type="cellIs" dxfId="164" priority="164" operator="lessThan">
      <formula>12</formula>
    </cfRule>
    <cfRule type="cellIs" dxfId="163" priority="165" operator="equal">
      <formula>"4,6,8"</formula>
    </cfRule>
  </conditionalFormatting>
  <conditionalFormatting sqref="J632">
    <cfRule type="expression" dxfId="162" priority="163">
      <formula>AND(C632="NO",E632&lt;12,C633="")</formula>
    </cfRule>
  </conditionalFormatting>
  <conditionalFormatting sqref="J673:J697">
    <cfRule type="containsText" dxfId="161" priority="162" operator="containsText" text="error">
      <formula>NOT(ISERROR(SEARCH("error",J673)))</formula>
    </cfRule>
  </conditionalFormatting>
  <conditionalFormatting sqref="J673:J697">
    <cfRule type="cellIs" dxfId="160" priority="160" operator="lessThan">
      <formula>12</formula>
    </cfRule>
    <cfRule type="cellIs" dxfId="159" priority="161" operator="equal">
      <formula>"4,6,8"</formula>
    </cfRule>
  </conditionalFormatting>
  <conditionalFormatting sqref="J673">
    <cfRule type="expression" dxfId="158" priority="159">
      <formula>AND(C673="NO",E673&lt;12,C674="")</formula>
    </cfRule>
  </conditionalFormatting>
  <conditionalFormatting sqref="J714:J738">
    <cfRule type="containsText" dxfId="157" priority="158" operator="containsText" text="error">
      <formula>NOT(ISERROR(SEARCH("error",J714)))</formula>
    </cfRule>
  </conditionalFormatting>
  <conditionalFormatting sqref="J714:J738">
    <cfRule type="cellIs" dxfId="156" priority="156" operator="lessThan">
      <formula>12</formula>
    </cfRule>
    <cfRule type="cellIs" dxfId="155" priority="157" operator="equal">
      <formula>"4,6,8"</formula>
    </cfRule>
  </conditionalFormatting>
  <conditionalFormatting sqref="J714">
    <cfRule type="expression" dxfId="154" priority="155">
      <formula>AND(C714="NO",E714&lt;12,C715="")</formula>
    </cfRule>
  </conditionalFormatting>
  <conditionalFormatting sqref="J755:J779">
    <cfRule type="containsText" dxfId="153" priority="154" operator="containsText" text="error">
      <formula>NOT(ISERROR(SEARCH("error",J755)))</formula>
    </cfRule>
  </conditionalFormatting>
  <conditionalFormatting sqref="J755:J779">
    <cfRule type="cellIs" dxfId="152" priority="152" operator="lessThan">
      <formula>12</formula>
    </cfRule>
    <cfRule type="cellIs" dxfId="151" priority="153" operator="equal">
      <formula>"4,6,8"</formula>
    </cfRule>
  </conditionalFormatting>
  <conditionalFormatting sqref="J755">
    <cfRule type="expression" dxfId="150" priority="151">
      <formula>AND(C755="NO",E755&lt;12,C756="")</formula>
    </cfRule>
  </conditionalFormatting>
  <conditionalFormatting sqref="J796:J820">
    <cfRule type="containsText" dxfId="149" priority="150" operator="containsText" text="error">
      <formula>NOT(ISERROR(SEARCH("error",J796)))</formula>
    </cfRule>
  </conditionalFormatting>
  <conditionalFormatting sqref="J796:J820">
    <cfRule type="cellIs" dxfId="148" priority="148" operator="lessThan">
      <formula>12</formula>
    </cfRule>
    <cfRule type="cellIs" dxfId="147" priority="149" operator="equal">
      <formula>"4,6,8"</formula>
    </cfRule>
  </conditionalFormatting>
  <conditionalFormatting sqref="J796">
    <cfRule type="expression" dxfId="146" priority="147">
      <formula>AND(C796="NO",E796&lt;12,C797="")</formula>
    </cfRule>
  </conditionalFormatting>
  <conditionalFormatting sqref="J837:J861">
    <cfRule type="containsText" dxfId="145" priority="146" operator="containsText" text="error">
      <formula>NOT(ISERROR(SEARCH("error",J837)))</formula>
    </cfRule>
  </conditionalFormatting>
  <conditionalFormatting sqref="J837:J861">
    <cfRule type="cellIs" dxfId="144" priority="144" operator="lessThan">
      <formula>12</formula>
    </cfRule>
    <cfRule type="cellIs" dxfId="143" priority="145" operator="equal">
      <formula>"4,6,8"</formula>
    </cfRule>
  </conditionalFormatting>
  <conditionalFormatting sqref="J837">
    <cfRule type="expression" dxfId="142" priority="143">
      <formula>AND(C837="NO",E837&lt;12,C838="")</formula>
    </cfRule>
  </conditionalFormatting>
  <conditionalFormatting sqref="J878:J902">
    <cfRule type="containsText" dxfId="141" priority="142" operator="containsText" text="error">
      <formula>NOT(ISERROR(SEARCH("error",J878)))</formula>
    </cfRule>
  </conditionalFormatting>
  <conditionalFormatting sqref="J878:J902">
    <cfRule type="cellIs" dxfId="140" priority="140" operator="lessThan">
      <formula>12</formula>
    </cfRule>
    <cfRule type="cellIs" dxfId="139" priority="141" operator="equal">
      <formula>"4,6,8"</formula>
    </cfRule>
  </conditionalFormatting>
  <conditionalFormatting sqref="J878">
    <cfRule type="expression" dxfId="138" priority="139">
      <formula>AND(C878="NO",E878&lt;12,C879="")</formula>
    </cfRule>
  </conditionalFormatting>
  <conditionalFormatting sqref="J919:J943">
    <cfRule type="containsText" dxfId="137" priority="138" operator="containsText" text="error">
      <formula>NOT(ISERROR(SEARCH("error",J919)))</formula>
    </cfRule>
  </conditionalFormatting>
  <conditionalFormatting sqref="J919:J943">
    <cfRule type="cellIs" dxfId="136" priority="136" operator="lessThan">
      <formula>12</formula>
    </cfRule>
    <cfRule type="cellIs" dxfId="135" priority="137" operator="equal">
      <formula>"4,6,8"</formula>
    </cfRule>
  </conditionalFormatting>
  <conditionalFormatting sqref="J919">
    <cfRule type="expression" dxfId="134" priority="135">
      <formula>AND(C919="NO",E919&lt;12,C920="")</formula>
    </cfRule>
  </conditionalFormatting>
  <conditionalFormatting sqref="J960:J984">
    <cfRule type="containsText" dxfId="133" priority="134" operator="containsText" text="error">
      <formula>NOT(ISERROR(SEARCH("error",J960)))</formula>
    </cfRule>
  </conditionalFormatting>
  <conditionalFormatting sqref="J960:J984">
    <cfRule type="cellIs" dxfId="132" priority="132" operator="lessThan">
      <formula>12</formula>
    </cfRule>
    <cfRule type="cellIs" dxfId="131" priority="133" operator="equal">
      <formula>"4,6,8"</formula>
    </cfRule>
  </conditionalFormatting>
  <conditionalFormatting sqref="J960">
    <cfRule type="expression" dxfId="130" priority="131">
      <formula>AND(C960="NO",E960&lt;12,C961="")</formula>
    </cfRule>
  </conditionalFormatting>
  <conditionalFormatting sqref="J1001:J1025">
    <cfRule type="containsText" dxfId="129" priority="130" operator="containsText" text="error">
      <formula>NOT(ISERROR(SEARCH("error",J1001)))</formula>
    </cfRule>
  </conditionalFormatting>
  <conditionalFormatting sqref="J1001:J1025">
    <cfRule type="cellIs" dxfId="128" priority="128" operator="lessThan">
      <formula>12</formula>
    </cfRule>
    <cfRule type="cellIs" dxfId="127" priority="129" operator="equal">
      <formula>"4,6,8"</formula>
    </cfRule>
  </conditionalFormatting>
  <conditionalFormatting sqref="J1001">
    <cfRule type="expression" dxfId="126" priority="127">
      <formula>AND(C1001="NO",E1001&lt;12,C1002="")</formula>
    </cfRule>
  </conditionalFormatting>
  <conditionalFormatting sqref="J1042:J1066">
    <cfRule type="containsText" dxfId="125" priority="126" operator="containsText" text="error">
      <formula>NOT(ISERROR(SEARCH("error",J1042)))</formula>
    </cfRule>
  </conditionalFormatting>
  <conditionalFormatting sqref="J1042:J1066">
    <cfRule type="cellIs" dxfId="124" priority="124" operator="lessThan">
      <formula>12</formula>
    </cfRule>
    <cfRule type="cellIs" dxfId="123" priority="125" operator="equal">
      <formula>"4,6,8"</formula>
    </cfRule>
  </conditionalFormatting>
  <conditionalFormatting sqref="J1042">
    <cfRule type="expression" dxfId="122" priority="123">
      <formula>AND(C1042="NO",E1042&lt;12,C1043="")</formula>
    </cfRule>
  </conditionalFormatting>
  <conditionalFormatting sqref="J1083:J1107">
    <cfRule type="containsText" dxfId="121" priority="122" operator="containsText" text="error">
      <formula>NOT(ISERROR(SEARCH("error",J1083)))</formula>
    </cfRule>
  </conditionalFormatting>
  <conditionalFormatting sqref="J1083:J1107">
    <cfRule type="cellIs" dxfId="120" priority="120" operator="lessThan">
      <formula>12</formula>
    </cfRule>
    <cfRule type="cellIs" dxfId="119" priority="121" operator="equal">
      <formula>"4,6,8"</formula>
    </cfRule>
  </conditionalFormatting>
  <conditionalFormatting sqref="J1083">
    <cfRule type="expression" dxfId="118" priority="119">
      <formula>AND(C1083="NO",E1083&lt;12,C1084="")</formula>
    </cfRule>
  </conditionalFormatting>
  <conditionalFormatting sqref="J1124:J1148">
    <cfRule type="containsText" dxfId="117" priority="118" operator="containsText" text="error">
      <formula>NOT(ISERROR(SEARCH("error",J1124)))</formula>
    </cfRule>
  </conditionalFormatting>
  <conditionalFormatting sqref="J1124:J1148">
    <cfRule type="cellIs" dxfId="116" priority="116" operator="lessThan">
      <formula>12</formula>
    </cfRule>
    <cfRule type="cellIs" dxfId="115" priority="117" operator="equal">
      <formula>"4,6,8"</formula>
    </cfRule>
  </conditionalFormatting>
  <conditionalFormatting sqref="J1124">
    <cfRule type="expression" dxfId="114" priority="115">
      <formula>AND(C1124="NO",E1124&lt;12,C1125="")</formula>
    </cfRule>
  </conditionalFormatting>
  <conditionalFormatting sqref="J1165:J1189">
    <cfRule type="containsText" dxfId="113" priority="114" operator="containsText" text="error">
      <formula>NOT(ISERROR(SEARCH("error",J1165)))</formula>
    </cfRule>
  </conditionalFormatting>
  <conditionalFormatting sqref="J1165:J1189">
    <cfRule type="cellIs" dxfId="112" priority="112" operator="lessThan">
      <formula>12</formula>
    </cfRule>
    <cfRule type="cellIs" dxfId="111" priority="113" operator="equal">
      <formula>"4,6,8"</formula>
    </cfRule>
  </conditionalFormatting>
  <conditionalFormatting sqref="J1165">
    <cfRule type="expression" dxfId="110" priority="111">
      <formula>AND(C1165="NO",E1165&lt;12,C1166="")</formula>
    </cfRule>
  </conditionalFormatting>
  <conditionalFormatting sqref="J1206:J1230">
    <cfRule type="containsText" dxfId="109" priority="110" operator="containsText" text="error">
      <formula>NOT(ISERROR(SEARCH("error",J1206)))</formula>
    </cfRule>
  </conditionalFormatting>
  <conditionalFormatting sqref="J1206:J1230">
    <cfRule type="cellIs" dxfId="108" priority="108" operator="lessThan">
      <formula>12</formula>
    </cfRule>
    <cfRule type="cellIs" dxfId="107" priority="109" operator="equal">
      <formula>"4,6,8"</formula>
    </cfRule>
  </conditionalFormatting>
  <conditionalFormatting sqref="J1206">
    <cfRule type="expression" dxfId="106" priority="107">
      <formula>AND(C1206="NO",E1206&lt;12,C1207="")</formula>
    </cfRule>
  </conditionalFormatting>
  <conditionalFormatting sqref="J1247:J1271">
    <cfRule type="containsText" dxfId="105" priority="106" operator="containsText" text="error">
      <formula>NOT(ISERROR(SEARCH("error",J1247)))</formula>
    </cfRule>
  </conditionalFormatting>
  <conditionalFormatting sqref="J1247:J1271">
    <cfRule type="cellIs" dxfId="104" priority="104" operator="lessThan">
      <formula>12</formula>
    </cfRule>
    <cfRule type="cellIs" dxfId="103" priority="105" operator="equal">
      <formula>"4,6,8"</formula>
    </cfRule>
  </conditionalFormatting>
  <conditionalFormatting sqref="J1247">
    <cfRule type="expression" dxfId="102" priority="103">
      <formula>AND(C1247="NO",E1247&lt;12,C1248="")</formula>
    </cfRule>
  </conditionalFormatting>
  <conditionalFormatting sqref="J1288:J1312">
    <cfRule type="containsText" dxfId="101" priority="102" operator="containsText" text="error">
      <formula>NOT(ISERROR(SEARCH("error",J1288)))</formula>
    </cfRule>
  </conditionalFormatting>
  <conditionalFormatting sqref="J1288:J1312">
    <cfRule type="cellIs" dxfId="100" priority="100" operator="lessThan">
      <formula>12</formula>
    </cfRule>
    <cfRule type="cellIs" dxfId="99" priority="101" operator="equal">
      <formula>"4,6,8"</formula>
    </cfRule>
  </conditionalFormatting>
  <conditionalFormatting sqref="J1288">
    <cfRule type="expression" dxfId="98" priority="99">
      <formula>AND(C1288="NO",E1288&lt;12,C1289="")</formula>
    </cfRule>
  </conditionalFormatting>
  <conditionalFormatting sqref="J1329:J1353">
    <cfRule type="containsText" dxfId="97" priority="98" operator="containsText" text="error">
      <formula>NOT(ISERROR(SEARCH("error",J1329)))</formula>
    </cfRule>
  </conditionalFormatting>
  <conditionalFormatting sqref="J1329:J1353">
    <cfRule type="cellIs" dxfId="96" priority="96" operator="lessThan">
      <formula>12</formula>
    </cfRule>
    <cfRule type="cellIs" dxfId="95" priority="97" operator="equal">
      <formula>"4,6,8"</formula>
    </cfRule>
  </conditionalFormatting>
  <conditionalFormatting sqref="J1329">
    <cfRule type="expression" dxfId="94" priority="95">
      <formula>AND(C1329="NO",E1329&lt;12,C1330="")</formula>
    </cfRule>
  </conditionalFormatting>
  <conditionalFormatting sqref="J1370:J1394">
    <cfRule type="containsText" dxfId="93" priority="94" operator="containsText" text="error">
      <formula>NOT(ISERROR(SEARCH("error",J1370)))</formula>
    </cfRule>
  </conditionalFormatting>
  <conditionalFormatting sqref="J1370:J1394">
    <cfRule type="cellIs" dxfId="92" priority="92" operator="lessThan">
      <formula>12</formula>
    </cfRule>
    <cfRule type="cellIs" dxfId="91" priority="93" operator="equal">
      <formula>"4,6,8"</formula>
    </cfRule>
  </conditionalFormatting>
  <conditionalFormatting sqref="J1370">
    <cfRule type="expression" dxfId="90" priority="91">
      <formula>AND(C1370="NO",E1370&lt;12,C1371="")</formula>
    </cfRule>
  </conditionalFormatting>
  <conditionalFormatting sqref="J1411:J1435">
    <cfRule type="containsText" dxfId="89" priority="90" operator="containsText" text="error">
      <formula>NOT(ISERROR(SEARCH("error",J1411)))</formula>
    </cfRule>
  </conditionalFormatting>
  <conditionalFormatting sqref="J1411:J1435">
    <cfRule type="cellIs" dxfId="88" priority="88" operator="lessThan">
      <formula>12</formula>
    </cfRule>
    <cfRule type="cellIs" dxfId="87" priority="89" operator="equal">
      <formula>"4,6,8"</formula>
    </cfRule>
  </conditionalFormatting>
  <conditionalFormatting sqref="J1411">
    <cfRule type="expression" dxfId="86" priority="87">
      <formula>AND(C1411="NO",E1411&lt;12,C1412="")</formula>
    </cfRule>
  </conditionalFormatting>
  <conditionalFormatting sqref="J1452:J1476">
    <cfRule type="containsText" dxfId="85" priority="86" operator="containsText" text="error">
      <formula>NOT(ISERROR(SEARCH("error",J1452)))</formula>
    </cfRule>
  </conditionalFormatting>
  <conditionalFormatting sqref="J1452:J1476">
    <cfRule type="cellIs" dxfId="84" priority="84" operator="lessThan">
      <formula>12</formula>
    </cfRule>
    <cfRule type="cellIs" dxfId="83" priority="85" operator="equal">
      <formula>"4,6,8"</formula>
    </cfRule>
  </conditionalFormatting>
  <conditionalFormatting sqref="J1452">
    <cfRule type="expression" dxfId="82" priority="83">
      <formula>AND(C1452="NO",E1452&lt;12,C1453="")</formula>
    </cfRule>
  </conditionalFormatting>
  <conditionalFormatting sqref="J1493:J1517">
    <cfRule type="containsText" dxfId="81" priority="82" operator="containsText" text="error">
      <formula>NOT(ISERROR(SEARCH("error",J1493)))</formula>
    </cfRule>
  </conditionalFormatting>
  <conditionalFormatting sqref="J1493:J1517">
    <cfRule type="cellIs" dxfId="80" priority="80" operator="lessThan">
      <formula>12</formula>
    </cfRule>
    <cfRule type="cellIs" dxfId="79" priority="81" operator="equal">
      <formula>"4,6,8"</formula>
    </cfRule>
  </conditionalFormatting>
  <conditionalFormatting sqref="J1493">
    <cfRule type="expression" dxfId="78" priority="79">
      <formula>AND(C1493="NO",E1493&lt;12,C1494="")</formula>
    </cfRule>
  </conditionalFormatting>
  <conditionalFormatting sqref="J1534:J1558">
    <cfRule type="containsText" dxfId="77" priority="78" operator="containsText" text="error">
      <formula>NOT(ISERROR(SEARCH("error",J1534)))</formula>
    </cfRule>
  </conditionalFormatting>
  <conditionalFormatting sqref="J1534:J1558">
    <cfRule type="cellIs" dxfId="76" priority="76" operator="lessThan">
      <formula>12</formula>
    </cfRule>
    <cfRule type="cellIs" dxfId="75" priority="77" operator="equal">
      <formula>"4,6,8"</formula>
    </cfRule>
  </conditionalFormatting>
  <conditionalFormatting sqref="J1534">
    <cfRule type="expression" dxfId="74" priority="75">
      <formula>AND(C1534="NO",E1534&lt;12,C1535="")</formula>
    </cfRule>
  </conditionalFormatting>
  <conditionalFormatting sqref="J1575:J1599">
    <cfRule type="containsText" dxfId="73" priority="74" operator="containsText" text="error">
      <formula>NOT(ISERROR(SEARCH("error",J1575)))</formula>
    </cfRule>
  </conditionalFormatting>
  <conditionalFormatting sqref="J1575:J1599">
    <cfRule type="cellIs" dxfId="72" priority="72" operator="lessThan">
      <formula>12</formula>
    </cfRule>
    <cfRule type="cellIs" dxfId="71" priority="73" operator="equal">
      <formula>"4,6,8"</formula>
    </cfRule>
  </conditionalFormatting>
  <conditionalFormatting sqref="J1575">
    <cfRule type="expression" dxfId="70" priority="71">
      <formula>AND(C1575="NO",E1575&lt;12,C1576="")</formula>
    </cfRule>
  </conditionalFormatting>
  <conditionalFormatting sqref="J1616:J1640">
    <cfRule type="containsText" dxfId="69" priority="70" operator="containsText" text="error">
      <formula>NOT(ISERROR(SEARCH("error",J1616)))</formula>
    </cfRule>
  </conditionalFormatting>
  <conditionalFormatting sqref="J1616:J1640">
    <cfRule type="cellIs" dxfId="68" priority="68" operator="lessThan">
      <formula>12</formula>
    </cfRule>
    <cfRule type="cellIs" dxfId="67" priority="69" operator="equal">
      <formula>"4,6,8"</formula>
    </cfRule>
  </conditionalFormatting>
  <conditionalFormatting sqref="J1616">
    <cfRule type="expression" dxfId="66" priority="67">
      <formula>AND(C1616="NO",E1616&lt;12,C1617="")</formula>
    </cfRule>
  </conditionalFormatting>
  <conditionalFormatting sqref="J1657:J1681">
    <cfRule type="containsText" dxfId="65" priority="66" operator="containsText" text="error">
      <formula>NOT(ISERROR(SEARCH("error",J1657)))</formula>
    </cfRule>
  </conditionalFormatting>
  <conditionalFormatting sqref="J1657:J1681">
    <cfRule type="cellIs" dxfId="64" priority="64" operator="lessThan">
      <formula>12</formula>
    </cfRule>
    <cfRule type="cellIs" dxfId="63" priority="65" operator="equal">
      <formula>"4,6,8"</formula>
    </cfRule>
  </conditionalFormatting>
  <conditionalFormatting sqref="J1657">
    <cfRule type="expression" dxfId="62" priority="63">
      <formula>AND(C1657="NO",E1657&lt;12,C1658="")</formula>
    </cfRule>
  </conditionalFormatting>
  <conditionalFormatting sqref="J1698:J1722">
    <cfRule type="containsText" dxfId="61" priority="62" operator="containsText" text="error">
      <formula>NOT(ISERROR(SEARCH("error",J1698)))</formula>
    </cfRule>
  </conditionalFormatting>
  <conditionalFormatting sqref="J1698:J1722">
    <cfRule type="cellIs" dxfId="60" priority="60" operator="lessThan">
      <formula>12</formula>
    </cfRule>
    <cfRule type="cellIs" dxfId="59" priority="61" operator="equal">
      <formula>"4,6,8"</formula>
    </cfRule>
  </conditionalFormatting>
  <conditionalFormatting sqref="J1698">
    <cfRule type="expression" dxfId="58" priority="59">
      <formula>AND(C1698="NO",E1698&lt;12,C1699="")</formula>
    </cfRule>
  </conditionalFormatting>
  <conditionalFormatting sqref="J1739:J1763">
    <cfRule type="containsText" dxfId="57" priority="58" operator="containsText" text="error">
      <formula>NOT(ISERROR(SEARCH("error",J1739)))</formula>
    </cfRule>
  </conditionalFormatting>
  <conditionalFormatting sqref="J1739:J1763">
    <cfRule type="cellIs" dxfId="56" priority="56" operator="lessThan">
      <formula>12</formula>
    </cfRule>
    <cfRule type="cellIs" dxfId="55" priority="57" operator="equal">
      <formula>"4,6,8"</formula>
    </cfRule>
  </conditionalFormatting>
  <conditionalFormatting sqref="J1739">
    <cfRule type="expression" dxfId="54" priority="55">
      <formula>AND(C1739="NO",E1739&lt;12,C1740="")</formula>
    </cfRule>
  </conditionalFormatting>
  <conditionalFormatting sqref="J1780:J1804">
    <cfRule type="containsText" dxfId="53" priority="54" operator="containsText" text="error">
      <formula>NOT(ISERROR(SEARCH("error",J1780)))</formula>
    </cfRule>
  </conditionalFormatting>
  <conditionalFormatting sqref="J1780:J1804">
    <cfRule type="cellIs" dxfId="52" priority="52" operator="lessThan">
      <formula>12</formula>
    </cfRule>
    <cfRule type="cellIs" dxfId="51" priority="53" operator="equal">
      <formula>"4,6,8"</formula>
    </cfRule>
  </conditionalFormatting>
  <conditionalFormatting sqref="J1780">
    <cfRule type="expression" dxfId="50" priority="51">
      <formula>AND(C1780="NO",E1780&lt;12,C1781="")</formula>
    </cfRule>
  </conditionalFormatting>
  <conditionalFormatting sqref="J1821:J1845">
    <cfRule type="containsText" dxfId="49" priority="50" operator="containsText" text="error">
      <formula>NOT(ISERROR(SEARCH("error",J1821)))</formula>
    </cfRule>
  </conditionalFormatting>
  <conditionalFormatting sqref="J1821:J1845">
    <cfRule type="cellIs" dxfId="48" priority="48" operator="lessThan">
      <formula>12</formula>
    </cfRule>
    <cfRule type="cellIs" dxfId="47" priority="49" operator="equal">
      <formula>"4,6,8"</formula>
    </cfRule>
  </conditionalFormatting>
  <conditionalFormatting sqref="J1821">
    <cfRule type="expression" dxfId="46" priority="47">
      <formula>AND(C1821="NO",E1821&lt;12,C1822="")</formula>
    </cfRule>
  </conditionalFormatting>
  <conditionalFormatting sqref="J1862:J1886">
    <cfRule type="containsText" dxfId="45" priority="46" operator="containsText" text="error">
      <formula>NOT(ISERROR(SEARCH("error",J1862)))</formula>
    </cfRule>
  </conditionalFormatting>
  <conditionalFormatting sqref="J1862:J1886">
    <cfRule type="cellIs" dxfId="44" priority="44" operator="lessThan">
      <formula>12</formula>
    </cfRule>
    <cfRule type="cellIs" dxfId="43" priority="45" operator="equal">
      <formula>"4,6,8"</formula>
    </cfRule>
  </conditionalFormatting>
  <conditionalFormatting sqref="J1862">
    <cfRule type="expression" dxfId="42" priority="43">
      <formula>AND(C1862="NO",E1862&lt;12,C1863="")</formula>
    </cfRule>
  </conditionalFormatting>
  <conditionalFormatting sqref="J1903:J1927">
    <cfRule type="containsText" dxfId="41" priority="42" operator="containsText" text="error">
      <formula>NOT(ISERROR(SEARCH("error",J1903)))</formula>
    </cfRule>
  </conditionalFormatting>
  <conditionalFormatting sqref="J1903:J1927">
    <cfRule type="cellIs" dxfId="40" priority="40" operator="lessThan">
      <formula>12</formula>
    </cfRule>
    <cfRule type="cellIs" dxfId="39" priority="41" operator="equal">
      <formula>"4,6,8"</formula>
    </cfRule>
  </conditionalFormatting>
  <conditionalFormatting sqref="J1903">
    <cfRule type="expression" dxfId="38" priority="39">
      <formula>AND(C1903="NO",E1903&lt;12,C1904="")</formula>
    </cfRule>
  </conditionalFormatting>
  <conditionalFormatting sqref="J1944:J1968">
    <cfRule type="containsText" dxfId="37" priority="38" operator="containsText" text="error">
      <formula>NOT(ISERROR(SEARCH("error",J1944)))</formula>
    </cfRule>
  </conditionalFormatting>
  <conditionalFormatting sqref="J1944:J1968">
    <cfRule type="cellIs" dxfId="36" priority="36" operator="lessThan">
      <formula>12</formula>
    </cfRule>
    <cfRule type="cellIs" dxfId="35" priority="37" operator="equal">
      <formula>"4,6,8"</formula>
    </cfRule>
  </conditionalFormatting>
  <conditionalFormatting sqref="J1944">
    <cfRule type="expression" dxfId="34" priority="35">
      <formula>AND(C1944="NO",E1944&lt;12,C1945="")</formula>
    </cfRule>
  </conditionalFormatting>
  <conditionalFormatting sqref="J1985:J2009">
    <cfRule type="containsText" dxfId="33" priority="34" operator="containsText" text="error">
      <formula>NOT(ISERROR(SEARCH("error",J1985)))</formula>
    </cfRule>
  </conditionalFormatting>
  <conditionalFormatting sqref="J1985:J2009">
    <cfRule type="cellIs" dxfId="32" priority="32" operator="lessThan">
      <formula>12</formula>
    </cfRule>
    <cfRule type="cellIs" dxfId="31" priority="33" operator="equal">
      <formula>"4,6,8"</formula>
    </cfRule>
  </conditionalFormatting>
  <conditionalFormatting sqref="J1985">
    <cfRule type="expression" dxfId="30" priority="31">
      <formula>AND(C1985="NO",E1985&lt;12,C1986="")</formula>
    </cfRule>
  </conditionalFormatting>
  <conditionalFormatting sqref="J2026:J2050">
    <cfRule type="containsText" dxfId="29" priority="30" operator="containsText" text="error">
      <formula>NOT(ISERROR(SEARCH("error",J2026)))</formula>
    </cfRule>
  </conditionalFormatting>
  <conditionalFormatting sqref="J2026:J2050">
    <cfRule type="cellIs" dxfId="28" priority="28" operator="lessThan">
      <formula>12</formula>
    </cfRule>
    <cfRule type="cellIs" dxfId="27" priority="29" operator="equal">
      <formula>"4,6,8"</formula>
    </cfRule>
  </conditionalFormatting>
  <conditionalFormatting sqref="J2026">
    <cfRule type="expression" dxfId="26" priority="27">
      <formula>AND(C2026="NO",E2026&lt;12,C2027="")</formula>
    </cfRule>
  </conditionalFormatting>
  <conditionalFormatting sqref="E468">
    <cfRule type="expression" dxfId="25" priority="26">
      <formula>AND(OR(C468="NO",C468="REV T",C468="DBL REV",C468="TPL REV",C468="QD REV"),E468&gt;12)</formula>
    </cfRule>
  </conditionalFormatting>
  <conditionalFormatting sqref="C468">
    <cfRule type="expression" dxfId="24" priority="25">
      <formula>AND(OR(C469="FST",C469="REV T",C469="DBL REV",C469="TPL REV",C469="QD REV"),C468="Field SPL")</formula>
    </cfRule>
  </conditionalFormatting>
  <conditionalFormatting sqref="E632:E634">
    <cfRule type="expression" dxfId="23" priority="24">
      <formula>AND(OR(C632="NO",C632="REV T",C632="DBL REV",C632="TPL REV",C632="QD REV"),E632&gt;12)</formula>
    </cfRule>
  </conditionalFormatting>
  <conditionalFormatting sqref="C632:C634">
    <cfRule type="expression" dxfId="22" priority="23">
      <formula>AND(OR(C633="FST",C633="REV T",C633="DBL REV",C633="TPL REV",C633="QD REV"),C632="Field SPL")</formula>
    </cfRule>
  </conditionalFormatting>
  <conditionalFormatting sqref="E673:E675">
    <cfRule type="expression" dxfId="21" priority="22">
      <formula>AND(OR(C673="NO",C673="REV T",C673="DBL REV",C673="TPL REV",C673="QD REV"),E673&gt;12)</formula>
    </cfRule>
  </conditionalFormatting>
  <conditionalFormatting sqref="C673:C675">
    <cfRule type="expression" dxfId="20" priority="21">
      <formula>AND(OR(C674="FST",C674="REV T",C674="DBL REV",C674="TPL REV",C674="QD REV"),C673="Field SPL")</formula>
    </cfRule>
  </conditionalFormatting>
  <conditionalFormatting sqref="E799:E805">
    <cfRule type="expression" dxfId="19" priority="18">
      <formula>AND(OR(C799="NO",C799="REV T",C799="DBL REV",C799="TPL REV",C799="QD REV"),E799&gt;12)</formula>
    </cfRule>
  </conditionalFormatting>
  <conditionalFormatting sqref="C799:C805">
    <cfRule type="expression" dxfId="18" priority="17">
      <formula>AND(OR(C800="FST",C800="REV T",C800="DBL REV",C800="TPL REV",C800="QD REV"),C799="Field SPL")</formula>
    </cfRule>
  </conditionalFormatting>
  <conditionalFormatting sqref="E714:E723">
    <cfRule type="expression" dxfId="17" priority="16">
      <formula>AND(OR(C714="NO",C714="REV T",C714="DBL REV",C714="TPL REV",C714="QD REV"),E714&gt;12)</formula>
    </cfRule>
  </conditionalFormatting>
  <conditionalFormatting sqref="C714:C723">
    <cfRule type="expression" dxfId="16" priority="15">
      <formula>AND(OR(C715="FST",C715="REV T",C715="DBL REV",C715="TPL REV",C715="QD REV"),C714="Field SPL")</formula>
    </cfRule>
  </conditionalFormatting>
  <conditionalFormatting sqref="E227">
    <cfRule type="expression" dxfId="15" priority="14">
      <formula>AND(OR(C227="NO",C227="REV T",C227="DBL REV",C227="TPL REV",C227="QD REV"),E227&gt;12)</formula>
    </cfRule>
  </conditionalFormatting>
  <conditionalFormatting sqref="C227">
    <cfRule type="expression" dxfId="14" priority="13">
      <formula>AND(OR(C228="FST",C228="REV T",C228="DBL REV",C228="TPL REV",C228="QD REV"),C227="Field SPL")</formula>
    </cfRule>
  </conditionalFormatting>
  <conditionalFormatting sqref="E796:E798">
    <cfRule type="expression" dxfId="13" priority="12">
      <formula>AND(OR(C796="NO",C796="REV T",C796="DBL REV",C796="TPL REV",C796="QD REV"),E796&gt;12)</formula>
    </cfRule>
  </conditionalFormatting>
  <conditionalFormatting sqref="C796:C798">
    <cfRule type="expression" dxfId="12" priority="11">
      <formula>AND(OR(C797="FST",C797="REV T",C797="DBL REV",C797="TPL REV",C797="QD REV"),C796="Field SPL")</formula>
    </cfRule>
  </conditionalFormatting>
  <conditionalFormatting sqref="E267">
    <cfRule type="expression" dxfId="11" priority="8">
      <formula>AND(OR(C267="NO",C267="REV T",C267="DBL REV",C267="TPL REV",C267="QD REV"),E267&gt;12)</formula>
    </cfRule>
  </conditionalFormatting>
  <conditionalFormatting sqref="C267">
    <cfRule type="expression" dxfId="10" priority="7">
      <formula>AND(OR(C268="FST",C268="REV T",C268="DBL REV",C268="TPL REV",C268="QD REV"),C267="Field SPL")</formula>
    </cfRule>
  </conditionalFormatting>
  <conditionalFormatting sqref="E308">
    <cfRule type="expression" dxfId="9" priority="6">
      <formula>AND(OR(C308="NO",C308="REV T",C308="DBL REV",C308="TPL REV",C308="QD REV"),E308&gt;12)</formula>
    </cfRule>
  </conditionalFormatting>
  <conditionalFormatting sqref="C308">
    <cfRule type="expression" dxfId="8" priority="5">
      <formula>AND(OR(C309="FST",C309="REV T",C309="DBL REV",C309="TPL REV",C309="QD REV"),C308="Field SPL")</formula>
    </cfRule>
  </conditionalFormatting>
  <conditionalFormatting sqref="E568:E569">
    <cfRule type="expression" dxfId="7" priority="4">
      <formula>AND(OR(C568="NO",C568="REV T",C568="DBL REV",C568="TPL REV",C568="QD REV"),E568&gt;12)</formula>
    </cfRule>
  </conditionalFormatting>
  <conditionalFormatting sqref="C568:C569">
    <cfRule type="expression" dxfId="6" priority="3">
      <formula>AND(OR(C569="FST",C569="REV T",C569="DBL REV",C569="TPL REV",C569="QD REV"),C568="Field SPL")</formula>
    </cfRule>
  </conditionalFormatting>
  <conditionalFormatting sqref="E564:E567">
    <cfRule type="expression" dxfId="5" priority="2">
      <formula>AND(OR(C564="NO",C564="REV T",C564="DBL REV",C564="TPL REV",C564="QD REV"),E564&gt;12)</formula>
    </cfRule>
  </conditionalFormatting>
  <conditionalFormatting sqref="C564:C567">
    <cfRule type="expression" dxfId="4" priority="1">
      <formula>AND(OR(C565="FST",C565="REV T",C565="DBL REV",C565="TPL REV",C565="QD REV"),C564="Field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G31" sqref="G31"/>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20532.52</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21430.25</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879.11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60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67</v>
      </c>
      <c r="F2" s="186">
        <f>PRODUCT(D2:E2)</f>
        <v>7514.05</v>
      </c>
      <c r="G2" s="181">
        <f>COUNTIFS('Assignment Tool'!$E$17:$E$2050, "2", 'Assignment Tool'!$F$17:$F$2050, "POLE", 'Assignment Tool'!$C$17:$C$2050, "FST",'Assignment Tool'!$K$17:$K$2050,"")</f>
        <v>1</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45</v>
      </c>
      <c r="K2" s="180">
        <f>COUNTIFS('Assignment Tool'!$E$17:$E$2050, "4",'Assignment Tool'!$F$17:$F$2050,"PED", 'Assignment Tool'!$C$17:$C$2050, "FST",'Assignment Tool'!$K$17:$K$2050,"")</f>
        <v>0</v>
      </c>
      <c r="L2" s="180">
        <f>COUNTIFS('Assignment Tool'!$E$17:$E$2050, "4",'Assignment Tool'!$F$17:$F$2050,"HH", 'Assignment Tool'!$C$17:$C$2050, "FST",'Assignment Tool'!$K$17:$K$2050,"")</f>
        <v>17</v>
      </c>
      <c r="N2" s="181">
        <f>PRODUCT(SUM(G2,J2),D2)</f>
        <v>5158.9000000000005</v>
      </c>
      <c r="O2" s="180">
        <f>PRODUCT(SUM(H2:I2,K2:L2),D2)</f>
        <v>2355.15</v>
      </c>
      <c r="P2" s="183">
        <f>SUM(N2:N5,F11:F16,F27:F36,F43:F46,F51:F54,N88:N135)</f>
        <v>21430.25</v>
      </c>
      <c r="Q2" s="182">
        <f>SUM(O2:O5,F17:F26,F37:F42,F47:F50,F55:F58,F60:F67,O88:O135)</f>
        <v>20532.52</v>
      </c>
      <c r="R2" s="126">
        <f>SUM(F69:F71)</f>
        <v>879.11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2</v>
      </c>
      <c r="F3" s="186">
        <f>PRODUCT(D3:E3)</f>
        <v>278.83999999999997</v>
      </c>
      <c r="G3" s="181">
        <f>COUNTIFS('Assignment Tool'!$E$17:$E$2050, "6", 'Assignment Tool'!$F$17:$F$2050, "POLE", 'Assignment Tool'!$C$17:$C$2050, "FST",'Assignment Tool'!$K$17:$K$2050,"")</f>
        <v>2</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278.83999999999997</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7</v>
      </c>
      <c r="F4" s="186">
        <f>PRODUCT(D4:E4)</f>
        <v>1188.3900000000001</v>
      </c>
      <c r="G4" s="181">
        <f>COUNTIFS('Assignment Tool'!$E$17:$E$2050, "8", 'Assignment Tool'!$F$17:$F$2050, "POLE", 'Assignment Tool'!$C$17:$C$2050, "FST",'Assignment Tool'!$K$17:$K$2050,"")</f>
        <v>6</v>
      </c>
      <c r="H4" s="180">
        <f>COUNTIFS('Assignment Tool'!$E$17:$E$2050, "8", 'Assignment Tool'!$F$17:$F$2050, "PED", 'Assignment Tool'!$C$17:$C$2050, "FST",'Assignment Tool'!$K$17:$K$2050,"")</f>
        <v>0</v>
      </c>
      <c r="I4" s="180">
        <f>COUNTIFS('Assignment Tool'!$E$17:$E$2050, "8", 'Assignment Tool'!$F$17:$F$2050, "HH", 'Assignment Tool'!$C$17:$C$2050, "FST",'Assignment Tool'!$K$17:$K$2050,"")</f>
        <v>1</v>
      </c>
      <c r="N4" s="181">
        <f>PRODUCT(G4,D4)</f>
        <v>1018.6200000000001</v>
      </c>
      <c r="O4" s="180">
        <f>PRODUCT(SUM(H4:I4),D4)</f>
        <v>169.77</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11</v>
      </c>
      <c r="F5" s="186">
        <f>PRODUCT(D5:E5)</f>
        <v>2507.4499999999998</v>
      </c>
      <c r="G5" s="181">
        <f>COUNTIFS('Assignment Tool'!$E$17:$E$2050, "12", 'Assignment Tool'!$F$17:$F$2050, "POLE", 'Assignment Tool'!$C$17:$C$2050, "FST",'Assignment Tool'!$K$17:$K$2050,"")</f>
        <v>7</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1595.6499999999999</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9</v>
      </c>
      <c r="F11" s="181">
        <f>E11*D11</f>
        <v>2224.62</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6</v>
      </c>
      <c r="F12" s="181">
        <f t="shared" ref="F12:F58" si="1">E12*D12</f>
        <v>1290.9000000000001</v>
      </c>
      <c r="Q12" s="21"/>
      <c r="R12" s="21"/>
      <c r="Y12" s="1">
        <v>72</v>
      </c>
      <c r="AA12" s="1">
        <f t="shared" si="0"/>
        <v>132</v>
      </c>
      <c r="AC12" s="1">
        <v>900</v>
      </c>
    </row>
    <row r="13" spans="1:29" x14ac:dyDescent="0.25">
      <c r="A13" s="181">
        <v>100083493</v>
      </c>
      <c r="B13" s="181"/>
      <c r="C13" s="181" t="s">
        <v>505</v>
      </c>
      <c r="D13" s="1">
        <v>183.1</v>
      </c>
      <c r="E13" s="162">
        <f>'Construction Exempt Material'!B19</f>
        <v>39</v>
      </c>
      <c r="F13" s="181">
        <f t="shared" si="1"/>
        <v>7140.9</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13</v>
      </c>
      <c r="F17" s="180">
        <f t="shared" si="1"/>
        <v>3468.0099999999998</v>
      </c>
      <c r="Q17" s="21"/>
      <c r="Y17" s="1">
        <v>132</v>
      </c>
      <c r="AA17" s="1">
        <f t="shared" si="0"/>
        <v>192</v>
      </c>
    </row>
    <row r="18" spans="1:27" x14ac:dyDescent="0.25">
      <c r="A18" s="180">
        <v>100083594</v>
      </c>
      <c r="B18" s="180"/>
      <c r="C18" s="180" t="s">
        <v>510</v>
      </c>
      <c r="D18" s="1">
        <v>233.96</v>
      </c>
      <c r="E18" s="162">
        <f>'Construction Exempt Material'!B24</f>
        <v>1</v>
      </c>
      <c r="F18" s="180">
        <f t="shared" si="1"/>
        <v>233.96</v>
      </c>
      <c r="Q18" s="21"/>
      <c r="Y18" s="1">
        <v>144</v>
      </c>
      <c r="AA18" s="1">
        <f t="shared" si="0"/>
        <v>204</v>
      </c>
    </row>
    <row r="19" spans="1:27" x14ac:dyDescent="0.25">
      <c r="A19" s="180">
        <v>100083593</v>
      </c>
      <c r="B19" s="180"/>
      <c r="C19" s="180" t="s">
        <v>511</v>
      </c>
      <c r="D19" s="1">
        <v>226.44</v>
      </c>
      <c r="E19" s="162">
        <f>'Construction Exempt Material'!B25</f>
        <v>3</v>
      </c>
      <c r="F19" s="180">
        <f t="shared" si="1"/>
        <v>679.31999999999994</v>
      </c>
      <c r="Y19" s="1">
        <v>216</v>
      </c>
      <c r="AA19" s="1">
        <f t="shared" si="0"/>
        <v>216</v>
      </c>
    </row>
    <row r="20" spans="1:27" x14ac:dyDescent="0.25">
      <c r="A20" s="180">
        <v>100083592</v>
      </c>
      <c r="B20" s="180"/>
      <c r="C20" s="180" t="s">
        <v>512</v>
      </c>
      <c r="D20" s="1">
        <v>199.86</v>
      </c>
      <c r="E20" s="162">
        <f>'Construction Exempt Material'!B26</f>
        <v>23</v>
      </c>
      <c r="F20" s="180">
        <f t="shared" si="1"/>
        <v>4596.7800000000007</v>
      </c>
      <c r="AA20" s="1">
        <f t="shared" si="0"/>
        <v>228</v>
      </c>
    </row>
    <row r="21" spans="1:27" x14ac:dyDescent="0.25">
      <c r="A21" s="180">
        <v>200008456</v>
      </c>
      <c r="B21" s="180"/>
      <c r="C21" s="180" t="s">
        <v>513</v>
      </c>
      <c r="D21" s="1">
        <v>201.13</v>
      </c>
      <c r="E21" s="162">
        <f>'Construction Exempt Material'!B27</f>
        <v>5</v>
      </c>
      <c r="F21" s="180">
        <f t="shared" si="1"/>
        <v>1005.65</v>
      </c>
      <c r="AA21" s="1">
        <f t="shared" si="0"/>
        <v>240</v>
      </c>
    </row>
    <row r="22" spans="1:27" x14ac:dyDescent="0.25">
      <c r="A22" s="180">
        <v>100089396</v>
      </c>
      <c r="B22" s="180"/>
      <c r="C22" s="180" t="s">
        <v>514</v>
      </c>
      <c r="D22" s="1">
        <v>266.77</v>
      </c>
      <c r="E22" s="162">
        <f>'Construction Exempt Material'!B28</f>
        <v>4</v>
      </c>
      <c r="F22" s="180">
        <f t="shared" si="1"/>
        <v>1067.08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4</v>
      </c>
      <c r="F43" s="181">
        <f t="shared" si="1"/>
        <v>989.76</v>
      </c>
    </row>
    <row r="44" spans="1:6" x14ac:dyDescent="0.25">
      <c r="A44" s="181">
        <v>100088380</v>
      </c>
      <c r="B44" s="181"/>
      <c r="C44" s="181" t="s">
        <v>536</v>
      </c>
      <c r="D44" s="1">
        <v>494.87</v>
      </c>
      <c r="E44" s="162">
        <f>'Construction Exempt Material'!B50</f>
        <v>2</v>
      </c>
      <c r="F44" s="181">
        <f t="shared" si="1"/>
        <v>989.74</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1</v>
      </c>
      <c r="F47" s="180">
        <f t="shared" si="1"/>
        <v>266.77</v>
      </c>
    </row>
    <row r="48" spans="1:6" x14ac:dyDescent="0.25">
      <c r="A48" s="180">
        <v>100089547</v>
      </c>
      <c r="B48" s="180"/>
      <c r="C48" s="180" t="s">
        <v>540</v>
      </c>
      <c r="D48" s="1">
        <v>533.53</v>
      </c>
      <c r="E48" s="162">
        <f>'Construction Exempt Material'!B54</f>
        <v>0</v>
      </c>
      <c r="F48" s="180">
        <f t="shared" si="1"/>
        <v>0</v>
      </c>
    </row>
    <row r="49" spans="1:10" x14ac:dyDescent="0.25">
      <c r="A49" s="180">
        <v>200002565</v>
      </c>
      <c r="B49" s="180"/>
      <c r="C49" s="180" t="s">
        <v>541</v>
      </c>
      <c r="D49" s="1">
        <v>804.41</v>
      </c>
      <c r="E49" s="162">
        <f>'Construction Exempt Material'!B55</f>
        <v>1</v>
      </c>
      <c r="F49" s="180">
        <f t="shared" si="1"/>
        <v>804.41</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22</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19</v>
      </c>
      <c r="F62" s="180">
        <f t="shared" si="2"/>
        <v>2734.86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4</v>
      </c>
      <c r="F63" s="180">
        <f t="shared" si="2"/>
        <v>1975.08</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E65*D65</f>
        <v>0</v>
      </c>
    </row>
    <row r="66" spans="1:16" x14ac:dyDescent="0.25">
      <c r="A66" s="180">
        <v>100006155</v>
      </c>
      <c r="B66" s="180"/>
      <c r="C66" s="180" t="s">
        <v>562</v>
      </c>
      <c r="D66" s="1">
        <v>87.96</v>
      </c>
      <c r="E66" s="1">
        <f>'Construction Exempt Material'!B12</f>
        <v>3</v>
      </c>
      <c r="F66" s="180">
        <f t="shared" si="2"/>
        <v>263.88</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11</v>
      </c>
      <c r="F69" s="126">
        <f>E69*D69</f>
        <v>249.26</v>
      </c>
    </row>
    <row r="70" spans="1:16" x14ac:dyDescent="0.25">
      <c r="A70" s="1">
        <v>100069989</v>
      </c>
      <c r="B70" s="1" t="s">
        <v>565</v>
      </c>
      <c r="C70" s="1" t="s">
        <v>566</v>
      </c>
      <c r="D70" s="1">
        <v>0.65</v>
      </c>
      <c r="E70" s="1">
        <f>'Construction Exempt Material'!B69</f>
        <v>969</v>
      </c>
      <c r="F70" s="126">
        <f>E70*D70</f>
        <v>629.85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E15" sqref="E15"/>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760</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67</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2</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7</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11</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3</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4</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9</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6</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39</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13</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3</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23</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4</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2</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969</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11</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2024-05-23T18:21:17Z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