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emn\Desktop\result_2501\"/>
    </mc:Choice>
  </mc:AlternateContent>
  <xr:revisionPtr revIDLastSave="0" documentId="13_ncr:1_{DF1D4241-FECF-41DF-BBB1-317D33190874}" xr6:coauthVersionLast="47" xr6:coauthVersionMax="47" xr10:uidLastSave="{00000000-0000-0000-0000-000000000000}"/>
  <bookViews>
    <workbookView xWindow="-98" yWindow="-98" windowWidth="21795" windowHeight="12975" activeTab="5" xr2:uid="{5419E41C-0827-4D77-860F-80538A9E05C1}"/>
  </bookViews>
  <sheets>
    <sheet name="data" sheetId="1" r:id="rId1"/>
    <sheet name="dehydro-hydro" sheetId="6" r:id="rId2"/>
    <sheet name="carbon no.2" sheetId="3" r:id="rId3"/>
    <sheet name="terminal carbon" sheetId="2" r:id="rId4"/>
    <sheet name="middle carbon" sheetId="4" r:id="rId5"/>
    <sheet name="alkene" sheetId="5" r:id="rId6"/>
  </sheets>
  <externalReferences>
    <externalReference r:id="rId7"/>
  </externalReference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'terminal carbon'!$H$8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4" l="1"/>
  <c r="D36" i="4"/>
  <c r="D32" i="5" l="1"/>
  <c r="D31" i="5"/>
  <c r="D27" i="5"/>
  <c r="D26" i="5"/>
  <c r="C19" i="5"/>
  <c r="C20" i="5"/>
  <c r="C21" i="5"/>
  <c r="C22" i="5"/>
  <c r="C18" i="5"/>
  <c r="E14" i="5"/>
  <c r="E22" i="5" s="1"/>
  <c r="F14" i="5"/>
  <c r="F22" i="5" s="1"/>
  <c r="G14" i="5"/>
  <c r="G22" i="5" s="1"/>
  <c r="H14" i="5"/>
  <c r="H22" i="5" s="1"/>
  <c r="I14" i="5"/>
  <c r="I22" i="5" s="1"/>
  <c r="E13" i="5"/>
  <c r="E21" i="5" s="1"/>
  <c r="F13" i="5"/>
  <c r="F21" i="5" s="1"/>
  <c r="G13" i="5"/>
  <c r="G21" i="5" s="1"/>
  <c r="H13" i="5"/>
  <c r="H21" i="5" s="1"/>
  <c r="I13" i="5"/>
  <c r="I21" i="5" s="1"/>
  <c r="D14" i="5"/>
  <c r="D22" i="5" s="1"/>
  <c r="D13" i="5"/>
  <c r="D21" i="5" s="1"/>
  <c r="E12" i="5"/>
  <c r="E20" i="5" s="1"/>
  <c r="F12" i="5"/>
  <c r="F20" i="5" s="1"/>
  <c r="G12" i="5"/>
  <c r="G20" i="5" s="1"/>
  <c r="H12" i="5"/>
  <c r="H20" i="5" s="1"/>
  <c r="I12" i="5"/>
  <c r="I20" i="5" s="1"/>
  <c r="D12" i="5"/>
  <c r="D20" i="5" s="1"/>
  <c r="E11" i="5"/>
  <c r="E19" i="5" s="1"/>
  <c r="F11" i="5"/>
  <c r="F19" i="5" s="1"/>
  <c r="G11" i="5"/>
  <c r="G19" i="5" s="1"/>
  <c r="H11" i="5"/>
  <c r="H19" i="5" s="1"/>
  <c r="I11" i="5"/>
  <c r="I19" i="5" s="1"/>
  <c r="D11" i="5"/>
  <c r="D19" i="5" s="1"/>
  <c r="E10" i="5"/>
  <c r="E18" i="5" s="1"/>
  <c r="F10" i="5"/>
  <c r="F18" i="5" s="1"/>
  <c r="G10" i="5"/>
  <c r="G18" i="5" s="1"/>
  <c r="H10" i="5"/>
  <c r="H18" i="5" s="1"/>
  <c r="I10" i="5"/>
  <c r="I18" i="5" s="1"/>
  <c r="D10" i="5"/>
  <c r="D18" i="5" s="1"/>
  <c r="D78" i="4"/>
  <c r="D77" i="4"/>
  <c r="D73" i="4"/>
  <c r="D72" i="4"/>
  <c r="K64" i="4"/>
  <c r="K65" i="4"/>
  <c r="K66" i="4"/>
  <c r="K67" i="4"/>
  <c r="K63" i="4"/>
  <c r="F67" i="4"/>
  <c r="G67" i="4"/>
  <c r="H67" i="4"/>
  <c r="I67" i="4"/>
  <c r="J67" i="4"/>
  <c r="E67" i="4"/>
  <c r="F66" i="4"/>
  <c r="G66" i="4"/>
  <c r="H66" i="4"/>
  <c r="I66" i="4"/>
  <c r="J66" i="4"/>
  <c r="F65" i="4"/>
  <c r="G65" i="4"/>
  <c r="H65" i="4"/>
  <c r="I65" i="4"/>
  <c r="J65" i="4"/>
  <c r="E66" i="4"/>
  <c r="E65" i="4"/>
  <c r="F64" i="4"/>
  <c r="G64" i="4"/>
  <c r="H64" i="4"/>
  <c r="I64" i="4"/>
  <c r="J64" i="4"/>
  <c r="E64" i="4"/>
  <c r="F63" i="4"/>
  <c r="G63" i="4"/>
  <c r="H63" i="4"/>
  <c r="I63" i="4"/>
  <c r="J63" i="4"/>
  <c r="E63" i="4"/>
  <c r="J26" i="4"/>
  <c r="I26" i="4"/>
  <c r="I25" i="4"/>
  <c r="J25" i="4"/>
  <c r="I24" i="4"/>
  <c r="J24" i="4"/>
  <c r="J23" i="4"/>
  <c r="I23" i="4"/>
  <c r="J22" i="4"/>
  <c r="D30" i="4"/>
  <c r="D29" i="4"/>
  <c r="K23" i="4"/>
  <c r="K24" i="4"/>
  <c r="K25" i="4"/>
  <c r="K26" i="4"/>
  <c r="K22" i="4"/>
  <c r="F26" i="4"/>
  <c r="G26" i="4"/>
  <c r="H26" i="4"/>
  <c r="F25" i="4"/>
  <c r="G25" i="4"/>
  <c r="H25" i="4"/>
  <c r="F24" i="4"/>
  <c r="G24" i="4"/>
  <c r="H24" i="4"/>
  <c r="F23" i="4"/>
  <c r="G23" i="4"/>
  <c r="H23" i="4"/>
  <c r="E26" i="4"/>
  <c r="E25" i="4"/>
  <c r="E24" i="4"/>
  <c r="E23" i="4"/>
  <c r="F22" i="4"/>
  <c r="G22" i="4"/>
  <c r="H22" i="4"/>
  <c r="I22" i="4"/>
  <c r="E22" i="4"/>
  <c r="D39" i="2"/>
  <c r="D38" i="2"/>
  <c r="D34" i="2"/>
  <c r="D33" i="2"/>
  <c r="E29" i="2"/>
  <c r="E26" i="2"/>
  <c r="C27" i="2"/>
  <c r="C28" i="2"/>
  <c r="C29" i="2"/>
  <c r="B30" i="2"/>
  <c r="B26" i="2"/>
  <c r="A27" i="2"/>
  <c r="A28" i="2"/>
  <c r="A29" i="2"/>
  <c r="A30" i="2"/>
  <c r="A26" i="2"/>
  <c r="F22" i="2"/>
  <c r="C30" i="2" s="1"/>
  <c r="G22" i="2"/>
  <c r="D30" i="2" s="1"/>
  <c r="H22" i="2"/>
  <c r="E30" i="2" s="1"/>
  <c r="I22" i="2"/>
  <c r="F30" i="2" s="1"/>
  <c r="F21" i="2"/>
  <c r="G21" i="2"/>
  <c r="D29" i="2" s="1"/>
  <c r="H21" i="2"/>
  <c r="I21" i="2"/>
  <c r="F29" i="2" s="1"/>
  <c r="F20" i="2"/>
  <c r="G20" i="2"/>
  <c r="D28" i="2" s="1"/>
  <c r="H20" i="2"/>
  <c r="E28" i="2" s="1"/>
  <c r="I20" i="2"/>
  <c r="F28" i="2" s="1"/>
  <c r="E22" i="2"/>
  <c r="E21" i="2"/>
  <c r="B29" i="2" s="1"/>
  <c r="E20" i="2"/>
  <c r="B28" i="2" s="1"/>
  <c r="F19" i="2"/>
  <c r="G19" i="2"/>
  <c r="D27" i="2" s="1"/>
  <c r="H19" i="2"/>
  <c r="E27" i="2" s="1"/>
  <c r="I19" i="2"/>
  <c r="F27" i="2" s="1"/>
  <c r="E19" i="2"/>
  <c r="B27" i="2" s="1"/>
  <c r="E18" i="2"/>
  <c r="G18" i="2"/>
  <c r="D26" i="2" s="1"/>
  <c r="H18" i="2"/>
  <c r="I18" i="2"/>
  <c r="F26" i="2" s="1"/>
  <c r="F18" i="2"/>
  <c r="C26" i="2" s="1"/>
  <c r="N43" i="6"/>
  <c r="N42" i="6"/>
  <c r="O33" i="6"/>
  <c r="N39" i="6"/>
  <c r="N38" i="6"/>
  <c r="N32" i="6"/>
  <c r="M33" i="6"/>
  <c r="M34" i="6"/>
  <c r="M35" i="6"/>
  <c r="M36" i="6"/>
  <c r="M32" i="6"/>
  <c r="Q27" i="6"/>
  <c r="O36" i="6" s="1"/>
  <c r="R27" i="6"/>
  <c r="S27" i="6"/>
  <c r="T27" i="6"/>
  <c r="Q26" i="6"/>
  <c r="O35" i="6" s="1"/>
  <c r="R26" i="6"/>
  <c r="S26" i="6"/>
  <c r="T26" i="6"/>
  <c r="Q23" i="6"/>
  <c r="O32" i="6" s="1"/>
  <c r="R23" i="6"/>
  <c r="S23" i="6"/>
  <c r="T23" i="6"/>
  <c r="P23" i="6"/>
  <c r="Q25" i="6"/>
  <c r="O34" i="6" s="1"/>
  <c r="R25" i="6"/>
  <c r="S25" i="6"/>
  <c r="T25" i="6"/>
  <c r="P27" i="6"/>
  <c r="N36" i="6" s="1"/>
  <c r="P26" i="6"/>
  <c r="N35" i="6" s="1"/>
  <c r="P25" i="6"/>
  <c r="N34" i="6" s="1"/>
  <c r="Q24" i="6"/>
  <c r="R24" i="6"/>
  <c r="S24" i="6"/>
  <c r="T24" i="6"/>
  <c r="P24" i="6"/>
  <c r="N33" i="6" s="1"/>
  <c r="O9" i="6"/>
  <c r="P9" i="6"/>
  <c r="Q9" i="6"/>
  <c r="O11" i="6"/>
  <c r="P11" i="6"/>
  <c r="Q11" i="6"/>
  <c r="O13" i="6"/>
  <c r="P13" i="6"/>
  <c r="Q13" i="6"/>
  <c r="O15" i="6"/>
  <c r="P15" i="6"/>
  <c r="Q15" i="6"/>
  <c r="O17" i="6"/>
  <c r="P17" i="6"/>
  <c r="Q17" i="6"/>
  <c r="P7" i="6"/>
  <c r="Q7" i="6"/>
  <c r="I11" i="6" l="1"/>
  <c r="J11" i="6"/>
  <c r="K11" i="6"/>
  <c r="L11" i="6"/>
  <c r="M11" i="6"/>
  <c r="N11" i="6"/>
  <c r="I9" i="6"/>
  <c r="I13" i="6"/>
  <c r="I15" i="6"/>
  <c r="I17" i="6"/>
  <c r="J9" i="6"/>
  <c r="K9" i="6"/>
  <c r="L9" i="6"/>
  <c r="M9" i="6"/>
  <c r="N9" i="6"/>
  <c r="J13" i="6"/>
  <c r="K13" i="6"/>
  <c r="L13" i="6"/>
  <c r="M13" i="6"/>
  <c r="N13" i="6"/>
  <c r="J15" i="6"/>
  <c r="K15" i="6"/>
  <c r="L15" i="6"/>
  <c r="M15" i="6"/>
  <c r="N15" i="6"/>
  <c r="J17" i="6"/>
  <c r="K17" i="6"/>
  <c r="L17" i="6"/>
  <c r="M17" i="6"/>
  <c r="N17" i="6"/>
  <c r="O7" i="6"/>
  <c r="N7" i="6"/>
  <c r="M7" i="6"/>
  <c r="L7" i="6"/>
  <c r="K7" i="6"/>
  <c r="J7" i="6"/>
  <c r="I7" i="6"/>
  <c r="G95" i="4" l="1"/>
  <c r="G93" i="4"/>
  <c r="M41" i="5" l="1"/>
  <c r="M50" i="5" s="1"/>
  <c r="L41" i="5"/>
  <c r="L50" i="5" s="1"/>
  <c r="K41" i="5"/>
  <c r="K50" i="5" s="1"/>
  <c r="J41" i="5"/>
  <c r="J50" i="5" s="1"/>
  <c r="I41" i="5"/>
  <c r="I50" i="5" s="1"/>
  <c r="M40" i="5"/>
  <c r="M49" i="5" s="1"/>
  <c r="L40" i="5"/>
  <c r="L49" i="5" s="1"/>
  <c r="K40" i="5"/>
  <c r="K49" i="5" s="1"/>
  <c r="J40" i="5"/>
  <c r="J49" i="5" s="1"/>
  <c r="I40" i="5"/>
  <c r="I49" i="5" s="1"/>
  <c r="E95" i="4"/>
  <c r="E93" i="4"/>
  <c r="I65" i="1" l="1"/>
  <c r="I66" i="1"/>
  <c r="I67" i="1"/>
  <c r="I68" i="1"/>
  <c r="I64" i="1"/>
  <c r="I38" i="5" l="1"/>
  <c r="I47" i="5" s="1"/>
  <c r="J38" i="5"/>
  <c r="J47" i="5" s="1"/>
  <c r="K38" i="5"/>
  <c r="K47" i="5" s="1"/>
  <c r="L38" i="5"/>
  <c r="L47" i="5" s="1"/>
  <c r="M38" i="5"/>
  <c r="M47" i="5" s="1"/>
  <c r="I39" i="5"/>
  <c r="I48" i="5" s="1"/>
  <c r="J39" i="5"/>
  <c r="J48" i="5" s="1"/>
  <c r="K39" i="5"/>
  <c r="K48" i="5" s="1"/>
  <c r="L39" i="5"/>
  <c r="L48" i="5" s="1"/>
  <c r="M39" i="5"/>
  <c r="M48" i="5" s="1"/>
  <c r="J37" i="5"/>
  <c r="J46" i="5" s="1"/>
  <c r="K37" i="5"/>
  <c r="K46" i="5" s="1"/>
  <c r="L37" i="5"/>
  <c r="L46" i="5" s="1"/>
  <c r="M37" i="5"/>
  <c r="M46" i="5" s="1"/>
  <c r="I37" i="5"/>
  <c r="I46" i="5" s="1"/>
  <c r="I4" i="5"/>
  <c r="J4" i="5"/>
  <c r="K4" i="5"/>
  <c r="L4" i="5"/>
  <c r="M4" i="5"/>
  <c r="I5" i="5"/>
  <c r="J5" i="5"/>
  <c r="K5" i="5"/>
  <c r="L5" i="5"/>
  <c r="M5" i="5"/>
  <c r="I6" i="5"/>
  <c r="J6" i="5"/>
  <c r="K6" i="5"/>
  <c r="L6" i="5"/>
  <c r="M6" i="5"/>
  <c r="I7" i="5"/>
  <c r="J7" i="5"/>
  <c r="K7" i="5"/>
  <c r="L7" i="5"/>
  <c r="M7" i="5"/>
  <c r="J3" i="5"/>
  <c r="K3" i="5"/>
  <c r="L3" i="5"/>
  <c r="M3" i="5"/>
  <c r="I3" i="5"/>
  <c r="J65" i="1"/>
  <c r="J66" i="1"/>
  <c r="J67" i="1"/>
  <c r="J68" i="1"/>
  <c r="J64" i="1"/>
  <c r="I52" i="4"/>
  <c r="C59" i="4" s="1"/>
  <c r="J52" i="4"/>
  <c r="D59" i="4" s="1"/>
  <c r="K52" i="4"/>
  <c r="E59" i="4" s="1"/>
  <c r="L52" i="4"/>
  <c r="F59" i="4" s="1"/>
  <c r="M52" i="4"/>
  <c r="G59" i="4" s="1"/>
  <c r="I53" i="4"/>
  <c r="C60" i="4" s="1"/>
  <c r="J53" i="4"/>
  <c r="D60" i="4" s="1"/>
  <c r="K53" i="4"/>
  <c r="E60" i="4" s="1"/>
  <c r="L53" i="4"/>
  <c r="F60" i="4" s="1"/>
  <c r="M53" i="4"/>
  <c r="G60" i="4" s="1"/>
  <c r="M51" i="4"/>
  <c r="G58" i="4" s="1"/>
  <c r="L51" i="4"/>
  <c r="F58" i="4" s="1"/>
  <c r="K51" i="4"/>
  <c r="E58" i="4" s="1"/>
  <c r="J51" i="4"/>
  <c r="D58" i="4" s="1"/>
  <c r="I51" i="4"/>
  <c r="C58" i="4" s="1"/>
  <c r="I7" i="4"/>
  <c r="B16" i="4" s="1"/>
  <c r="J7" i="4"/>
  <c r="C16" i="4" s="1"/>
  <c r="K7" i="4"/>
  <c r="D16" i="4" s="1"/>
  <c r="L7" i="4"/>
  <c r="E16" i="4" s="1"/>
  <c r="M7" i="4"/>
  <c r="F16" i="4" s="1"/>
  <c r="I8" i="4"/>
  <c r="B17" i="4" s="1"/>
  <c r="J8" i="4"/>
  <c r="C17" i="4" s="1"/>
  <c r="K8" i="4"/>
  <c r="D17" i="4" s="1"/>
  <c r="L8" i="4"/>
  <c r="E17" i="4" s="1"/>
  <c r="M8" i="4"/>
  <c r="F17" i="4" s="1"/>
  <c r="I9" i="4"/>
  <c r="B18" i="4" s="1"/>
  <c r="J9" i="4"/>
  <c r="C18" i="4" s="1"/>
  <c r="K9" i="4"/>
  <c r="D18" i="4" s="1"/>
  <c r="L9" i="4"/>
  <c r="E18" i="4" s="1"/>
  <c r="M9" i="4"/>
  <c r="F18" i="4" s="1"/>
  <c r="I10" i="4"/>
  <c r="B19" i="4" s="1"/>
  <c r="J10" i="4"/>
  <c r="C19" i="4" s="1"/>
  <c r="K10" i="4"/>
  <c r="D19" i="4" s="1"/>
  <c r="L10" i="4"/>
  <c r="E19" i="4" s="1"/>
  <c r="M10" i="4"/>
  <c r="F19" i="4" s="1"/>
  <c r="J6" i="4"/>
  <c r="C15" i="4" s="1"/>
  <c r="K6" i="4"/>
  <c r="D15" i="4" s="1"/>
  <c r="L6" i="4"/>
  <c r="E15" i="4" s="1"/>
  <c r="M6" i="4"/>
  <c r="F15" i="4" s="1"/>
  <c r="I6" i="4"/>
  <c r="B15" i="4" s="1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J25" i="3"/>
  <c r="K25" i="3"/>
  <c r="L25" i="3"/>
  <c r="M25" i="3"/>
  <c r="N25" i="3"/>
  <c r="I25" i="3"/>
  <c r="I13" i="3"/>
  <c r="J13" i="3"/>
  <c r="K13" i="3"/>
  <c r="L13" i="3"/>
  <c r="M13" i="3"/>
  <c r="N13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J9" i="3"/>
  <c r="K9" i="3"/>
  <c r="L9" i="3"/>
  <c r="M9" i="3"/>
  <c r="N9" i="3"/>
  <c r="I9" i="3"/>
  <c r="I10" i="2" l="1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J9" i="2"/>
  <c r="K9" i="2"/>
  <c r="L9" i="2"/>
  <c r="M9" i="2"/>
  <c r="I9" i="2"/>
  <c r="J57" i="1" l="1"/>
  <c r="I57" i="1"/>
  <c r="J56" i="1"/>
  <c r="I56" i="1"/>
  <c r="J52" i="1"/>
  <c r="I52" i="1"/>
  <c r="J47" i="1"/>
  <c r="I47" i="1"/>
  <c r="J46" i="1"/>
  <c r="I46" i="1"/>
  <c r="J45" i="1"/>
  <c r="I45" i="1"/>
  <c r="J44" i="1"/>
  <c r="I44" i="1"/>
  <c r="J43" i="1"/>
  <c r="I43" i="1"/>
  <c r="J36" i="1"/>
  <c r="I36" i="1"/>
  <c r="J35" i="1"/>
  <c r="I35" i="1"/>
  <c r="J34" i="1"/>
  <c r="I34" i="1"/>
  <c r="J33" i="1"/>
  <c r="I33" i="1"/>
  <c r="J32" i="1"/>
  <c r="I32" i="1"/>
  <c r="J25" i="1"/>
  <c r="I25" i="1"/>
  <c r="J24" i="1"/>
  <c r="I24" i="1"/>
  <c r="J23" i="1"/>
  <c r="I23" i="1"/>
  <c r="J22" i="1"/>
  <c r="I22" i="1"/>
  <c r="J14" i="1"/>
  <c r="I14" i="1"/>
  <c r="J13" i="1"/>
  <c r="I13" i="1"/>
  <c r="J12" i="1"/>
  <c r="I12" i="1"/>
  <c r="J11" i="1"/>
  <c r="I11" i="1"/>
  <c r="J10" i="1"/>
  <c r="I10" i="1"/>
</calcChain>
</file>

<file path=xl/sharedStrings.xml><?xml version="1.0" encoding="utf-8"?>
<sst xmlns="http://schemas.openxmlformats.org/spreadsheetml/2006/main" count="197" uniqueCount="88">
  <si>
    <t>Alkane cracking at terminal carbon</t>
  </si>
  <si>
    <t>dataset used:</t>
  </si>
  <si>
    <t>4,6,8</t>
  </si>
  <si>
    <t>OFV</t>
  </si>
  <si>
    <t>k</t>
  </si>
  <si>
    <t>R</t>
  </si>
  <si>
    <t>s.no</t>
  </si>
  <si>
    <t>Rxn No.</t>
  </si>
  <si>
    <t>Reaction</t>
  </si>
  <si>
    <r>
      <t>A (s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or  *kmol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</si>
  <si>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E kJ/mol</t>
  </si>
  <si>
    <t>n</t>
  </si>
  <si>
    <t>k@773</t>
  </si>
  <si>
    <t>k@873</t>
  </si>
  <si>
    <t>new rxn scheme</t>
  </si>
  <si>
    <t xml:space="preserve">alkane cracking at carbon 2 ( lower alkane+ higher alkene) </t>
  </si>
  <si>
    <t xml:space="preserve">alkane cracking at carbon 2 (lower alkene+ higher alkane)   </t>
  </si>
  <si>
    <t xml:space="preserve">Alkane cracking at middle of the chain </t>
  </si>
  <si>
    <t>Alkene Cracking</t>
  </si>
  <si>
    <t>7a</t>
  </si>
  <si>
    <t>1/T</t>
  </si>
  <si>
    <t>ko</t>
  </si>
  <si>
    <t>E</t>
  </si>
  <si>
    <t xml:space="preserve">Assuming same values of C7 </t>
  </si>
  <si>
    <t>Assuming same value of C7 for C8</t>
  </si>
  <si>
    <t>alkene</t>
  </si>
  <si>
    <t>T</t>
  </si>
  <si>
    <t>lnK</t>
  </si>
  <si>
    <t>Ko</t>
  </si>
  <si>
    <t>Assumung C8 values same as as C7</t>
  </si>
  <si>
    <t>poly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</si>
  <si>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</si>
  <si>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</si>
  <si>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</si>
  <si>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</si>
  <si>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</si>
  <si>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</si>
  <si>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</si>
  <si>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</si>
  <si>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</si>
  <si>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</si>
  <si>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</si>
  <si>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</si>
  <si>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6,8</t>
  </si>
  <si>
    <t>Carbon Number</t>
  </si>
  <si>
    <t>N</t>
  </si>
  <si>
    <t>temperature in kelvin</t>
  </si>
  <si>
    <r>
      <t>y = 1980.7e</t>
    </r>
    <r>
      <rPr>
        <vertAlign val="superscript"/>
        <sz val="11"/>
        <color theme="1"/>
        <rFont val="Calibri"/>
        <family val="2"/>
        <scheme val="minor"/>
      </rPr>
      <t>-1.56x</t>
    </r>
  </si>
  <si>
    <r>
      <t>y = 24418e</t>
    </r>
    <r>
      <rPr>
        <vertAlign val="superscript"/>
        <sz val="11"/>
        <color theme="1"/>
        <rFont val="Calibri"/>
        <family val="2"/>
        <scheme val="minor"/>
      </rPr>
      <t>-1.598x</t>
    </r>
  </si>
  <si>
    <r>
      <t>y = 225754e</t>
    </r>
    <r>
      <rPr>
        <vertAlign val="superscript"/>
        <sz val="11"/>
        <color theme="1"/>
        <rFont val="Calibri"/>
        <family val="2"/>
        <scheme val="minor"/>
      </rPr>
      <t>-1.631x</t>
    </r>
  </si>
  <si>
    <r>
      <t>y = 2E+06e</t>
    </r>
    <r>
      <rPr>
        <vertAlign val="superscript"/>
        <sz val="11"/>
        <color theme="1"/>
        <rFont val="Calibri"/>
        <family val="2"/>
        <scheme val="minor"/>
      </rPr>
      <t>-1.66x</t>
    </r>
  </si>
  <si>
    <r>
      <t>y = 1E+07e</t>
    </r>
    <r>
      <rPr>
        <vertAlign val="superscript"/>
        <sz val="11"/>
        <color theme="1"/>
        <rFont val="Calibri"/>
        <family val="2"/>
        <scheme val="minor"/>
      </rPr>
      <t>-1.686x</t>
    </r>
  </si>
  <si>
    <t>n=</t>
  </si>
  <si>
    <t>N=8</t>
  </si>
  <si>
    <t>y = -28565x + 32.051</t>
  </si>
  <si>
    <t>N =8</t>
  </si>
  <si>
    <t>N=9</t>
  </si>
  <si>
    <t>y = -28091x + 29.878</t>
  </si>
  <si>
    <r>
      <t>y = 2E+09x</t>
    </r>
    <r>
      <rPr>
        <vertAlign val="superscript"/>
        <sz val="11"/>
        <color theme="1"/>
        <rFont val="Calibri"/>
        <family val="2"/>
        <scheme val="minor"/>
      </rPr>
      <t>-14.03</t>
    </r>
  </si>
  <si>
    <r>
      <t>y = 4E+10x</t>
    </r>
    <r>
      <rPr>
        <vertAlign val="superscript"/>
        <sz val="11"/>
        <color theme="1"/>
        <rFont val="Calibri"/>
        <family val="2"/>
        <scheme val="minor"/>
      </rPr>
      <t>-13.32</t>
    </r>
  </si>
  <si>
    <r>
      <t>y = 5E+11x</t>
    </r>
    <r>
      <rPr>
        <vertAlign val="superscript"/>
        <sz val="11"/>
        <color theme="1"/>
        <rFont val="Calibri"/>
        <family val="2"/>
        <scheme val="minor"/>
      </rPr>
      <t>-12.76</t>
    </r>
  </si>
  <si>
    <r>
      <t>y = 9E+09x</t>
    </r>
    <r>
      <rPr>
        <vertAlign val="superscript"/>
        <sz val="11"/>
        <color theme="1"/>
        <rFont val="Calibri"/>
        <family val="2"/>
        <scheme val="minor"/>
      </rPr>
      <t>-13.65</t>
    </r>
  </si>
  <si>
    <r>
      <t>y = 2E+11x</t>
    </r>
    <r>
      <rPr>
        <vertAlign val="superscript"/>
        <sz val="11"/>
        <color theme="1"/>
        <rFont val="Calibri"/>
        <family val="2"/>
        <scheme val="minor"/>
      </rPr>
      <t>-13.03</t>
    </r>
  </si>
  <si>
    <t>y = -31212x + 32.555</t>
  </si>
  <si>
    <t>y = -31774x + 31.628</t>
  </si>
  <si>
    <r>
      <t>y = -0.8752x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+ 4.1088x + 3.2294</t>
    </r>
  </si>
  <si>
    <r>
      <t>y = -1.0083x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+ 5.6091x + 5.4772</t>
    </r>
  </si>
  <si>
    <r>
      <t>y = -0.9249x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+ 4.6697x + 4.0697</t>
    </r>
  </si>
  <si>
    <r>
      <t>y = -0.969x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+ 5.1663x + 4.8138</t>
    </r>
  </si>
  <si>
    <r>
      <t>y = -1.0435x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+ 6.0065x + 6.0725</t>
    </r>
  </si>
  <si>
    <t>ln K for different N</t>
  </si>
  <si>
    <t>y = -27269x + 15.365</t>
  </si>
  <si>
    <t>y = -23644x - 0.0943</t>
  </si>
  <si>
    <r>
      <t>y = -3.431x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+ 48.953x - 174.08</t>
    </r>
  </si>
  <si>
    <r>
      <t>y = -3.095x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+ 44.906x - 157.67</t>
    </r>
  </si>
  <si>
    <r>
      <t>y = -2.9543x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+ 43.212x - 150.8</t>
    </r>
  </si>
  <si>
    <r>
      <t>y = -2.8281x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+ 41.691x - 144.63</t>
    </r>
  </si>
  <si>
    <r>
      <t>y = -3.2528x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+ 46.807x - 165.38</t>
    </r>
  </si>
  <si>
    <t>y = -37384x + 46.322</t>
  </si>
  <si>
    <t>y = -48619x + 51.483</t>
  </si>
  <si>
    <r>
      <t>y = 4E-06e</t>
    </r>
    <r>
      <rPr>
        <vertAlign val="superscript"/>
        <sz val="11"/>
        <color theme="1"/>
        <rFont val="Calibri"/>
        <family val="2"/>
        <scheme val="minor"/>
      </rPr>
      <t>3.5905x</t>
    </r>
  </si>
  <si>
    <r>
      <t>y = 4E-05e</t>
    </r>
    <r>
      <rPr>
        <vertAlign val="superscript"/>
        <sz val="11"/>
        <color theme="1"/>
        <rFont val="Calibri"/>
        <family val="2"/>
        <scheme val="minor"/>
      </rPr>
      <t>3.5687x</t>
    </r>
  </si>
  <si>
    <r>
      <t>y = 0.0004e</t>
    </r>
    <r>
      <rPr>
        <vertAlign val="superscript"/>
        <sz val="11"/>
        <color theme="1"/>
        <rFont val="Calibri"/>
        <family val="2"/>
        <scheme val="minor"/>
      </rPr>
      <t>3.5495x</t>
    </r>
  </si>
  <si>
    <r>
      <t>y = 0.0023e</t>
    </r>
    <r>
      <rPr>
        <vertAlign val="superscript"/>
        <sz val="11"/>
        <color theme="1"/>
        <rFont val="Calibri"/>
        <family val="2"/>
        <scheme val="minor"/>
      </rPr>
      <t>3.5323</t>
    </r>
  </si>
  <si>
    <r>
      <t>y = 0.0125e</t>
    </r>
    <r>
      <rPr>
        <vertAlign val="superscript"/>
        <sz val="11"/>
        <color theme="1"/>
        <rFont val="Calibri"/>
        <family val="2"/>
        <scheme val="minor"/>
      </rPr>
      <t>3.5169x</t>
    </r>
  </si>
  <si>
    <t>y = -28163x + 52.72</t>
  </si>
  <si>
    <t>y = -27887x + 55.952</t>
  </si>
  <si>
    <t xml:space="preserve"> K for diff Carbon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</si>
</sst>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3" fillId="0" borderId="0" xfId="0" applyFont="1" applyAlignment="1">
      <alignment horizontal="center" vertical="center" readingOrder="1"/>
    </xf>
    <xf numFmtId="0" fontId="0" fillId="0" borderId="4" xfId="0" applyBorder="1"/>
    <xf numFmtId="0" fontId="0" fillId="0" borderId="5" xfId="0" applyBorder="1"/>
    <xf numFmtId="0" fontId="1" fillId="2" borderId="5" xfId="0" applyFont="1" applyFill="1" applyBorder="1" applyAlignment="1">
      <alignment vertical="top" wrapText="1"/>
    </xf>
    <xf numFmtId="0" fontId="0" fillId="3" borderId="0" xfId="0" applyFill="1" applyAlignment="1">
      <alignment horizontal="right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11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3" borderId="1" xfId="0" applyFill="1" applyBorder="1"/>
    <xf numFmtId="0" fontId="1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vertical="top" wrapText="1"/>
    </xf>
    <xf numFmtId="0" fontId="2" fillId="3" borderId="2" xfId="1" applyFill="1" applyBorder="1"/>
    <xf numFmtId="0" fontId="2" fillId="3" borderId="3" xfId="1" applyFill="1" applyBorder="1"/>
    <xf numFmtId="0" fontId="0" fillId="3" borderId="6" xfId="0" applyFill="1" applyBorder="1"/>
    <xf numFmtId="0" fontId="1" fillId="3" borderId="5" xfId="0" applyFont="1" applyFill="1" applyBorder="1" applyAlignment="1">
      <alignment vertical="top" wrapText="1"/>
    </xf>
    <xf numFmtId="0" fontId="1" fillId="3" borderId="5" xfId="0" applyFont="1" applyFill="1" applyBorder="1" applyAlignment="1">
      <alignment horizontal="center" vertical="top" wrapText="1"/>
    </xf>
    <xf numFmtId="0" fontId="0" fillId="3" borderId="5" xfId="0" applyFill="1" applyBorder="1"/>
    <xf numFmtId="11" fontId="0" fillId="3" borderId="5" xfId="0" applyNumberFormat="1" applyFill="1" applyBorder="1"/>
    <xf numFmtId="11" fontId="0" fillId="3" borderId="7" xfId="0" applyNumberFormat="1" applyFill="1" applyBorder="1"/>
    <xf numFmtId="0" fontId="0" fillId="3" borderId="5" xfId="0" applyFill="1" applyBorder="1" applyAlignment="1">
      <alignment horizontal="center" vertical="top" wrapText="1"/>
    </xf>
    <xf numFmtId="0" fontId="0" fillId="3" borderId="8" xfId="0" applyFill="1" applyBorder="1"/>
    <xf numFmtId="0" fontId="1" fillId="3" borderId="9" xfId="0" applyFont="1" applyFill="1" applyBorder="1"/>
    <xf numFmtId="11" fontId="0" fillId="3" borderId="9" xfId="0" applyNumberFormat="1" applyFill="1" applyBorder="1"/>
    <xf numFmtId="0" fontId="0" fillId="3" borderId="9" xfId="0" applyFill="1" applyBorder="1"/>
    <xf numFmtId="11" fontId="0" fillId="3" borderId="10" xfId="0" applyNumberFormat="1" applyFill="1" applyBorder="1"/>
    <xf numFmtId="2" fontId="0" fillId="3" borderId="0" xfId="0" applyNumberFormat="1" applyFill="1"/>
    <xf numFmtId="0" fontId="0" fillId="2" borderId="5" xfId="0" applyFill="1" applyBorder="1"/>
    <xf numFmtId="11" fontId="0" fillId="0" borderId="0" xfId="0" applyNumberFormat="1"/>
    <xf numFmtId="11" fontId="0" fillId="2" borderId="5" xfId="0" applyNumberFormat="1" applyFill="1" applyBorder="1"/>
    <xf numFmtId="11" fontId="0" fillId="3" borderId="2" xfId="0" applyNumberFormat="1" applyFill="1" applyBorder="1"/>
    <xf numFmtId="0" fontId="0" fillId="3" borderId="2" xfId="0" applyFill="1" applyBorder="1"/>
    <xf numFmtId="11" fontId="0" fillId="3" borderId="3" xfId="0" applyNumberFormat="1" applyFill="1" applyBorder="1"/>
    <xf numFmtId="0" fontId="0" fillId="3" borderId="6" xfId="0" applyFill="1" applyBorder="1" applyAlignment="1">
      <alignment horizontal="left"/>
    </xf>
    <xf numFmtId="0" fontId="1" fillId="3" borderId="9" xfId="0" applyFont="1" applyFill="1" applyBorder="1" applyAlignment="1">
      <alignment vertical="top" wrapText="1"/>
    </xf>
    <xf numFmtId="0" fontId="5" fillId="0" borderId="0" xfId="0" applyFont="1"/>
    <xf numFmtId="0" fontId="0" fillId="2" borderId="0" xfId="0" applyFill="1"/>
    <xf numFmtId="2" fontId="0" fillId="0" borderId="0" xfId="0" applyNumberFormat="1"/>
    <xf numFmtId="0" fontId="0" fillId="3" borderId="6" xfId="0" applyFill="1" applyBorder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/>
    </xf>
    <xf numFmtId="11" fontId="0" fillId="2" borderId="0" xfId="0" applyNumberFormat="1" applyFill="1"/>
    <xf numFmtId="2" fontId="0" fillId="2" borderId="0" xfId="0" applyNumberFormat="1" applyFill="1"/>
    <xf numFmtId="0" fontId="1" fillId="3" borderId="5" xfId="0" applyFont="1" applyFill="1" applyBorder="1"/>
    <xf numFmtId="0" fontId="1" fillId="2" borderId="5" xfId="0" applyFont="1" applyFill="1" applyBorder="1" applyAlignment="1">
      <alignment horizontal="center" vertical="top" wrapText="1"/>
    </xf>
    <xf numFmtId="11" fontId="0" fillId="3" borderId="12" xfId="0" applyNumberFormat="1" applyFill="1" applyBorder="1"/>
    <xf numFmtId="0" fontId="1" fillId="3" borderId="2" xfId="0" applyFont="1" applyFill="1" applyBorder="1"/>
    <xf numFmtId="0" fontId="1" fillId="3" borderId="9" xfId="0" applyFont="1" applyFill="1" applyBorder="1" applyAlignment="1">
      <alignment horizontal="right" vertical="top" wrapText="1"/>
    </xf>
    <xf numFmtId="0" fontId="0" fillId="0" borderId="13" xfId="0" applyBorder="1"/>
    <xf numFmtId="0" fontId="0" fillId="0" borderId="12" xfId="0" applyBorder="1"/>
    <xf numFmtId="0" fontId="0" fillId="3" borderId="15" xfId="0" applyFill="1" applyBorder="1"/>
    <xf numFmtId="0" fontId="6" fillId="0" borderId="0" xfId="0" applyFont="1" applyAlignment="1">
      <alignment horizontal="center" vertical="center" readingOrder="1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2" xfId="0" applyFill="1" applyBorder="1"/>
    <xf numFmtId="3" fontId="0" fillId="0" borderId="0" xfId="0" applyNumberFormat="1"/>
    <xf numFmtId="0" fontId="0" fillId="2" borderId="1" xfId="0" applyFill="1" applyBorder="1"/>
    <xf numFmtId="0" fontId="1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0" borderId="20" xfId="0" applyBorder="1"/>
    <xf numFmtId="0" fontId="0" fillId="0" borderId="17" xfId="0" applyBorder="1"/>
    <xf numFmtId="0" fontId="0" fillId="0" borderId="0" xfId="0" applyAlignment="1">
      <alignment wrapText="1"/>
    </xf>
    <xf numFmtId="0" fontId="2" fillId="0" borderId="0" xfId="1"/>
    <xf numFmtId="0" fontId="0" fillId="2" borderId="6" xfId="0" applyFill="1" applyBorder="1"/>
    <xf numFmtId="0" fontId="0" fillId="0" borderId="21" xfId="0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/>
    <xf numFmtId="0" fontId="0" fillId="2" borderId="8" xfId="0" applyFill="1" applyBorder="1"/>
    <xf numFmtId="0" fontId="1" fillId="2" borderId="9" xfId="0" applyFont="1" applyFill="1" applyBorder="1" applyAlignment="1">
      <alignment vertical="top" wrapText="1"/>
    </xf>
    <xf numFmtId="11" fontId="0" fillId="0" borderId="9" xfId="0" applyNumberFormat="1" applyBorder="1"/>
    <xf numFmtId="2" fontId="0" fillId="0" borderId="9" xfId="0" applyNumberFormat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11" fontId="0" fillId="4" borderId="0" xfId="0" applyNumberFormat="1" applyFill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30" xfId="0" applyBorder="1"/>
    <xf numFmtId="11" fontId="0" fillId="0" borderId="13" xfId="0" applyNumberFormat="1" applyBorder="1"/>
    <xf numFmtId="0" fontId="0" fillId="2" borderId="28" xfId="0" applyFill="1" applyBorder="1"/>
    <xf numFmtId="11" fontId="0" fillId="2" borderId="0" xfId="0" applyNumberFormat="1" applyFill="1" applyBorder="1"/>
    <xf numFmtId="0" fontId="0" fillId="3" borderId="11" xfId="0" applyFill="1" applyBorder="1"/>
    <xf numFmtId="0" fontId="0" fillId="3" borderId="34" xfId="0" applyFill="1" applyBorder="1"/>
    <xf numFmtId="0" fontId="1" fillId="3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4" xfId="0" applyFont="1" applyFill="1" applyBorder="1" applyAlignment="1">
      <alignment horizontal="center" vertical="top" wrapText="1"/>
    </xf>
    <xf numFmtId="0" fontId="1" fillId="3" borderId="35" xfId="0" applyFont="1" applyFill="1" applyBorder="1" applyAlignment="1">
      <alignment horizontal="center" vertical="top" wrapText="1"/>
    </xf>
    <xf numFmtId="0" fontId="1" fillId="3" borderId="36" xfId="0" applyFont="1" applyFill="1" applyBorder="1" applyAlignment="1">
      <alignment horizontal="center" vertical="top" wrapText="1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alkane cracking at terminal</a:t>
            </a:r>
            <a:r>
              <a:rPr lang="en-US" baseline="0"/>
              <a:t> carbon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6,8,10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data!$H$10:$H$14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data!$I$10:$I$14</c:f>
              <c:numCache>
                <c:formatCode>0.00E+00</c:formatCode>
                <c:ptCount val="5"/>
                <c:pt idx="0">
                  <c:v>4.6218441507856157E-3</c:v>
                </c:pt>
                <c:pt idx="1">
                  <c:v>4.6351881571720696E-2</c:v>
                </c:pt>
                <c:pt idx="2">
                  <c:v>8.5758017717709412E-2</c:v>
                </c:pt>
                <c:pt idx="3">
                  <c:v>0.58209455919306974</c:v>
                </c:pt>
                <c:pt idx="4">
                  <c:v>1948.2721247361283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B-4918-B814-9D031BC1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17759"/>
        <c:axId val="619918591"/>
      </c:scatterChart>
      <c:valAx>
        <c:axId val="619917759"/>
        <c:scaling>
          <c:logBase val="10"/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</a:t>
                </a:r>
                <a:r>
                  <a:rPr lang="en-US" baseline="0"/>
                  <a:t> Number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9918591"/>
        <c:crosses val="autoZero"/>
        <c:crossBetween val="midCat"/>
      </c:valAx>
      <c:valAx>
        <c:axId val="619918591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rate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1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 vs carbon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'carbon no.2'!$I$24</c:f>
              <c:strCache>
                <c:ptCount val="1"/>
                <c:pt idx="0">
                  <c:v>573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'carbon no.2'!$H$25:$H$29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'carbon no.2'!$I$25:$I$29</c:f>
              <c:numCache>
                <c:formatCode>0.00E+00</c:formatCode>
                <c:ptCount val="5"/>
                <c:pt idx="0" formatCode="General">
                  <c:v>7.4349017176627257E-15</c:v>
                </c:pt>
                <c:pt idx="1">
                  <c:v>8.0966468933367405E-15</c:v>
                </c:pt>
                <c:pt idx="2">
                  <c:v>2.4601350181491315E-13</c:v>
                </c:pt>
                <c:pt idx="3">
                  <c:v>3.0779564504745483E-4</c:v>
                </c:pt>
                <c:pt idx="4">
                  <c:v>1.9783852996901972E-2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D6-4964-AF96-396544DA8CD8}"/>
            </c:ext>
          </c:extLst>
        </c:ser>
        <c:ser>
          <c:idx val="1"/>
          <c:order val="1"/>
          <c:tx>
            <c:strRef>
              <c:f>'carbon no.2'!$J$24</c:f>
              <c:strCache>
                <c:ptCount val="1"/>
                <c:pt idx="0">
                  <c:v>673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'carbon no.2'!$H$25:$H$29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'carbon no.2'!$J$25:$J$29</c:f>
              <c:numCache>
                <c:formatCode>0.00E+00</c:formatCode>
                <c:ptCount val="5"/>
                <c:pt idx="0" formatCode="General">
                  <c:v>2.2309079876322472E-11</c:v>
                </c:pt>
                <c:pt idx="1">
                  <c:v>2.4294704776623588E-11</c:v>
                </c:pt>
                <c:pt idx="2">
                  <c:v>7.3818526068802453E-10</c:v>
                </c:pt>
                <c:pt idx="3">
                  <c:v>0.92356804322447672</c:v>
                </c:pt>
                <c:pt idx="4">
                  <c:v>14.586677423350968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D6-4964-AF96-396544DA8CD8}"/>
            </c:ext>
          </c:extLst>
        </c:ser>
        <c:ser>
          <c:idx val="2"/>
          <c:order val="2"/>
          <c:tx>
            <c:strRef>
              <c:f>'carbon no.2'!$K$24</c:f>
              <c:strCache>
                <c:ptCount val="1"/>
                <c:pt idx="0">
                  <c:v>773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'carbon no.2'!$H$25:$H$29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'carbon no.2'!$K$25:$K$29</c:f>
              <c:numCache>
                <c:formatCode>0.00E+00</c:formatCode>
                <c:ptCount val="5"/>
                <c:pt idx="0" formatCode="General">
                  <c:v>8.4337898281994263E-9</c:v>
                </c:pt>
                <c:pt idx="1">
                  <c:v>9.1844412750371166E-9</c:v>
                </c:pt>
                <c:pt idx="2">
                  <c:v>2.7906571572792608E-7</c:v>
                </c:pt>
                <c:pt idx="3">
                  <c:v>349.14836522970074</c:v>
                </c:pt>
                <c:pt idx="4">
                  <c:v>1948.2721247361283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D6-4964-AF96-396544DA8CD8}"/>
            </c:ext>
          </c:extLst>
        </c:ser>
        <c:ser>
          <c:idx val="3"/>
          <c:order val="3"/>
          <c:tx>
            <c:strRef>
              <c:f>'carbon no.2'!$L$24</c:f>
              <c:strCache>
                <c:ptCount val="1"/>
                <c:pt idx="0">
                  <c:v>873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'carbon no.2'!$H$25:$H$29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'carbon no.2'!$L$25:$L$29</c:f>
              <c:numCache>
                <c:formatCode>0.00E+00</c:formatCode>
                <c:ptCount val="5"/>
                <c:pt idx="0" formatCode="General">
                  <c:v>8.1858148231356031E-7</c:v>
                </c:pt>
                <c:pt idx="1">
                  <c:v>8.9143951963370552E-7</c:v>
                </c:pt>
                <c:pt idx="2">
                  <c:v>2.7086046948863889E-5</c:v>
                </c:pt>
                <c:pt idx="3">
                  <c:v>33888.250973656184</c:v>
                </c:pt>
                <c:pt idx="4">
                  <c:v>84792.414889784981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D6-4964-AF96-396544DA8CD8}"/>
            </c:ext>
          </c:extLst>
        </c:ser>
        <c:ser>
          <c:idx val="4"/>
          <c:order val="4"/>
          <c:tx>
            <c:strRef>
              <c:f>'carbon no.2'!$M$24</c:f>
              <c:strCache>
                <c:ptCount val="1"/>
                <c:pt idx="0">
                  <c:v>973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'carbon no.2'!$H$25:$H$29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'carbon no.2'!$M$25:$M$29</c:f>
              <c:numCache>
                <c:formatCode>0.00E+00</c:formatCode>
                <c:ptCount val="5"/>
                <c:pt idx="0" formatCode="General">
                  <c:v>3.1021691063929409E-5</c:v>
                </c:pt>
                <c:pt idx="1">
                  <c:v>3.3782783971726231E-5</c:v>
                </c:pt>
                <c:pt idx="2">
                  <c:v>1.0264768978354201E-3</c:v>
                </c:pt>
                <c:pt idx="3">
                  <c:v>1284259.2644906493</c:v>
                </c:pt>
                <c:pt idx="4">
                  <c:v>1699136.7792197093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D6-4964-AF96-396544DA8CD8}"/>
            </c:ext>
          </c:extLst>
        </c:ser>
        <c:ser>
          <c:idx val="5"/>
          <c:order val="5"/>
          <c:tx>
            <c:strRef>
              <c:f>'carbon no.2'!$N$24</c:f>
              <c:strCache>
                <c:ptCount val="1"/>
                <c:pt idx="0">
                  <c:v>1073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'carbon no.2'!$H$25:$H$29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'carbon no.2'!$N$25:$N$29</c:f>
              <c:numCache>
                <c:formatCode>0.00E+00</c:formatCode>
                <c:ptCount val="5"/>
                <c:pt idx="0" formatCode="General">
                  <c:v>5.9707365852991836E-4</c:v>
                </c:pt>
                <c:pt idx="1">
                  <c:v>6.5021633990734165E-4</c:v>
                </c:pt>
                <c:pt idx="2">
                  <c:v>1.9756573409360875E-2</c:v>
                </c:pt>
                <c:pt idx="3">
                  <c:v>24718103.728457972</c:v>
                </c:pt>
                <c:pt idx="4">
                  <c:v>19473301.850521896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D6-4964-AF96-396544DA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846064"/>
        <c:axId val="1279846480"/>
      </c:scatterChart>
      <c:valAx>
        <c:axId val="127984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6480"/>
        <c:crosses val="autoZero"/>
        <c:crossBetween val="midCat"/>
      </c:valAx>
      <c:valAx>
        <c:axId val="127984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carbon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'terminal carbon'!$I$8</c:f>
              <c:strCache>
                <c:ptCount val="1"/>
                <c:pt idx="0">
                  <c:v>773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091622922134733"/>
                  <c:y val="-2.32870370370370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'terminal carbon'!$H$9:$H$13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'terminal carbon'!$I$9:$I$13</c:f>
              <c:numCache>
                <c:formatCode>0.00E+00</c:formatCode>
                <c:ptCount val="5"/>
                <c:pt idx="0">
                  <c:v>4.6218441507856157E-3</c:v>
                </c:pt>
                <c:pt idx="1">
                  <c:v>4.6351881571720696E-2</c:v>
                </c:pt>
                <c:pt idx="2">
                  <c:v>8.5758017717709412E-2</c:v>
                </c:pt>
                <c:pt idx="3">
                  <c:v>0.58209455919306974</c:v>
                </c:pt>
                <c:pt idx="4">
                  <c:v>1948.2721247361283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87-43E1-B68E-C7EA24EC139A}"/>
            </c:ext>
          </c:extLst>
        </c:ser>
        <c:ser>
          <c:idx val="1"/>
          <c:order val="1"/>
          <c:tx>
            <c:strRef>
              <c:f>'terminal carbon'!$J$8</c:f>
              <c:strCache>
                <c:ptCount val="1"/>
                <c:pt idx="0">
                  <c:v>823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441601049868769"/>
                  <c:y val="-8.19302274715659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'terminal carbon'!$H$9:$H$13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'terminal carbon'!$J$9:$J$13</c:f>
              <c:numCache>
                <c:formatCode>0.00E+00</c:formatCode>
                <c:ptCount val="5"/>
                <c:pt idx="0">
                  <c:v>4.8977558112654043E-2</c:v>
                </c:pt>
                <c:pt idx="1">
                  <c:v>0.49118964189303571</c:v>
                </c:pt>
                <c:pt idx="2">
                  <c:v>0.90877540638863386</c:v>
                </c:pt>
                <c:pt idx="3">
                  <c:v>6.1684403821994485</c:v>
                </c:pt>
                <c:pt idx="4">
                  <c:v>14413.90930917904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87-43E1-B68E-C7EA24EC139A}"/>
            </c:ext>
          </c:extLst>
        </c:ser>
        <c:ser>
          <c:idx val="2"/>
          <c:order val="2"/>
          <c:tx>
            <c:strRef>
              <c:f>'terminal carbon'!$K$8</c:f>
              <c:strCache>
                <c:ptCount val="1"/>
                <c:pt idx="0">
                  <c:v>873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497156605424319"/>
                  <c:y val="-0.14448673082531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'terminal carbon'!$H$9:$H$13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'terminal carbon'!$K$9:$K$13</c:f>
              <c:numCache>
                <c:formatCode>0.00E+00</c:formatCode>
                <c:ptCount val="5"/>
                <c:pt idx="0">
                  <c:v>0.39604716260996975</c:v>
                </c:pt>
                <c:pt idx="1">
                  <c:v>3.9719061437830905</c:v>
                </c:pt>
                <c:pt idx="2">
                  <c:v>7.3486293522859549</c:v>
                </c:pt>
                <c:pt idx="3">
                  <c:v>49.87985120613164</c:v>
                </c:pt>
                <c:pt idx="4">
                  <c:v>84792.414889784981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87-43E1-B68E-C7EA24EC139A}"/>
            </c:ext>
          </c:extLst>
        </c:ser>
        <c:ser>
          <c:idx val="3"/>
          <c:order val="3"/>
          <c:tx>
            <c:strRef>
              <c:f>'terminal carbon'!$L$8</c:f>
              <c:strCache>
                <c:ptCount val="1"/>
                <c:pt idx="0">
                  <c:v>923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497156605424319"/>
                  <c:y val="-0.20142388451443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'terminal carbon'!$H$9:$H$13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'terminal carbon'!$L$9:$L$13</c:f>
              <c:numCache>
                <c:formatCode>0.00E+00</c:formatCode>
                <c:ptCount val="5"/>
                <c:pt idx="0">
                  <c:v>2.5535768293328589</c:v>
                </c:pt>
                <c:pt idx="1">
                  <c:v>25.609494157739501</c:v>
                </c:pt>
                <c:pt idx="2">
                  <c:v>47.381452041440198</c:v>
                </c:pt>
                <c:pt idx="3">
                  <c:v>321.60824345050378</c:v>
                </c:pt>
                <c:pt idx="4">
                  <c:v>411675.12521113135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87-43E1-B68E-C7EA24EC139A}"/>
            </c:ext>
          </c:extLst>
        </c:ser>
        <c:ser>
          <c:idx val="4"/>
          <c:order val="4"/>
          <c:tx>
            <c:strRef>
              <c:f>'terminal carbon'!$M$8</c:f>
              <c:strCache>
                <c:ptCount val="1"/>
                <c:pt idx="0">
                  <c:v>973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0772156605424322"/>
                  <c:y val="-0.26074146981627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'terminal carbon'!$H$9:$H$13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'terminal carbon'!$M$9:$M$13</c:f>
              <c:numCache>
                <c:formatCode>0.00E+00</c:formatCode>
                <c:ptCount val="5"/>
                <c:pt idx="0">
                  <c:v>13.594546396234213</c:v>
                </c:pt>
                <c:pt idx="1">
                  <c:v>136.33796035125965</c:v>
                </c:pt>
                <c:pt idx="2">
                  <c:v>252.24592450057148</c:v>
                </c:pt>
                <c:pt idx="3">
                  <c:v>1712.15454995396</c:v>
                </c:pt>
                <c:pt idx="4">
                  <c:v>1699136.7792197093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87-43E1-B68E-C7EA24EC139A}"/>
            </c:ext>
          </c:extLst>
        </c:ser>
        <c:ser>
          <c:idx val="5"/>
          <c:order val="5"/>
          <c:tx>
            <c:strRef>
              <c:f>'terminal carbon'!$N$8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9173228346456183E-3"/>
                  <c:y val="-0.225548993875765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'terminal carbon'!$H$9:$H$13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'terminal carbon'!$N$9:$N$13</c:f>
              <c:numCache>
                <c:formatCode>0.00E+00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87-43E1-B68E-C7EA24EC1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76080"/>
        <c:axId val="178579408"/>
      </c:scatterChart>
      <c:valAx>
        <c:axId val="1785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9408"/>
        <c:crosses val="autoZero"/>
        <c:crossBetween val="midCat"/>
      </c:valAx>
      <c:valAx>
        <c:axId val="178579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lnK vs 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octane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25634295713035"/>
                  <c:y val="-0.39914867784384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'terminal carbon'!$A$26:$A$30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'terminal carbon'!$B$26:$B$30</c:f>
              <c:numCache>
                <c:formatCode>General</c:formatCode>
                <c:ptCount val="5"/>
                <c:pt idx="0">
                  <c:v>-7.7581518122617377</c:v>
                </c:pt>
                <c:pt idx="1">
                  <c:v>-5.4638866296471296</c:v>
                </c:pt>
                <c:pt idx="2">
                  <c:v>-3.2860160441150659</c:v>
                </c:pt>
                <c:pt idx="3">
                  <c:v>-1.0735400845938121</c:v>
                </c:pt>
                <c:pt idx="4">
                  <c:v>0.40419986353389986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F-4F46-B97D-049D3E93D0AF}"/>
            </c:ext>
          </c:extLst>
        </c:ser>
        <c:ser>
          <c:idx val="1"/>
          <c:order val="1"/>
          <c:tx>
            <c:v>nonane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'terminal carbon'!$A$26:$A$30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'terminal carbon'!$C$26:$C$30</c:f>
              <c:numCache>
                <c:formatCode>General</c:formatCode>
                <c:ptCount val="5"/>
                <c:pt idx="0">
                  <c:v>-9.4106478025208045</c:v>
                </c:pt>
                <c:pt idx="1">
                  <c:v>-7.0716250663567681</c:v>
                </c:pt>
                <c:pt idx="2">
                  <c:v>-4.8548860790580983</c:v>
                </c:pt>
                <c:pt idx="3">
                  <c:v>-2.6082530391964909</c:v>
                </c:pt>
                <c:pt idx="4">
                  <c:v>-1.098711671441557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2-4FCD-9D26-00F51AD7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69744"/>
        <c:axId val="1144170160"/>
      </c:scatterChart>
      <c:valAx>
        <c:axId val="11441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70160"/>
        <c:crosses val="autoZero"/>
        <c:crossBetween val="midCat"/>
      </c:valAx>
      <c:valAx>
        <c:axId val="11441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6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 vs carbon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'middle carbon'!$I$5</c:f>
              <c:strCache>
                <c:ptCount val="1"/>
                <c:pt idx="0">
                  <c:v>773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216601049868766"/>
                  <c:y val="2.75816564596092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carbon'!$H$6:$H$10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carbon'!$I$6:$I$10</c:f>
              <c:numCache>
                <c:formatCode>0.00E+00</c:formatCode>
                <c:ptCount val="5"/>
                <c:pt idx="0">
                  <c:v>2.099723809141101E-5</c:v>
                </c:pt>
                <c:pt idx="1">
                  <c:v>2.0639571301728214E-2</c:v>
                </c:pt>
                <c:pt idx="2">
                  <c:v>6.9739686353870631</c:v>
                </c:pt>
                <c:pt idx="3">
                  <c:v>349.14836522975531</c:v>
                </c:pt>
                <c:pt idx="4">
                  <c:v>1948.2721247361283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BB-42B0-9353-07955925999B}"/>
            </c:ext>
          </c:extLst>
        </c:ser>
        <c:ser>
          <c:idx val="1"/>
          <c:order val="1"/>
          <c:tx>
            <c:strRef>
              <c:f>'middle carbon'!$J$5</c:f>
              <c:strCache>
                <c:ptCount val="1"/>
                <c:pt idx="0">
                  <c:v>823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'middle carbon'!$H$6:$H$10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carbon'!$J$6:$J$10</c:f>
              <c:numCache>
                <c:formatCode>0.00E+00</c:formatCode>
                <c:ptCount val="5"/>
                <c:pt idx="0">
                  <c:v>2.3391713976962902E-4</c:v>
                </c:pt>
                <c:pt idx="1">
                  <c:v>0.19395533506756926</c:v>
                </c:pt>
                <c:pt idx="2">
                  <c:v>78.951283468242593</c:v>
                </c:pt>
                <c:pt idx="3">
                  <c:v>3952.6578046041914</c:v>
                </c:pt>
                <c:pt idx="4">
                  <c:v>14413.90930917904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BB-42B0-9353-07955925999B}"/>
            </c:ext>
          </c:extLst>
        </c:ser>
        <c:ser>
          <c:idx val="2"/>
          <c:order val="2"/>
          <c:tx>
            <c:strRef>
              <c:f>'middle carbon'!$K$5</c:f>
              <c:strCache>
                <c:ptCount val="1"/>
                <c:pt idx="0">
                  <c:v>873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'middle carbon'!$H$6:$H$10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carbon'!$K$6:$K$10</c:f>
              <c:numCache>
                <c:formatCode>0.00E+00</c:formatCode>
                <c:ptCount val="5"/>
                <c:pt idx="0">
                  <c:v>1.9771613629745517E-3</c:v>
                </c:pt>
                <c:pt idx="1">
                  <c:v>1.4100935071936935</c:v>
                </c:pt>
                <c:pt idx="2">
                  <c:v>676.89161094287488</c:v>
                </c:pt>
                <c:pt idx="3">
                  <c:v>33888.250973660761</c:v>
                </c:pt>
                <c:pt idx="4">
                  <c:v>84792.414889784981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BB-42B0-9353-07955925999B}"/>
            </c:ext>
          </c:extLst>
        </c:ser>
        <c:ser>
          <c:idx val="3"/>
          <c:order val="3"/>
          <c:tx>
            <c:strRef>
              <c:f>'middle carbon'!$L$5</c:f>
              <c:strCache>
                <c:ptCount val="1"/>
                <c:pt idx="0">
                  <c:v>923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'middle carbon'!$H$6:$H$10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carbon'!$L$6:$L$10</c:f>
              <c:numCache>
                <c:formatCode>0.00E+00</c:formatCode>
                <c:ptCount val="5"/>
                <c:pt idx="0">
                  <c:v>1.3261448861673712E-2</c:v>
                </c:pt>
                <c:pt idx="1">
                  <c:v>8.2689839192736994</c:v>
                </c:pt>
                <c:pt idx="2">
                  <c:v>4598.0989962572085</c:v>
                </c:pt>
                <c:pt idx="3">
                  <c:v>230201.60136103551</c:v>
                </c:pt>
                <c:pt idx="4">
                  <c:v>411675.12521113135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BB-42B0-9353-07955925999B}"/>
            </c:ext>
          </c:extLst>
        </c:ser>
        <c:ser>
          <c:idx val="4"/>
          <c:order val="4"/>
          <c:tx>
            <c:strRef>
              <c:f>'middle carbon'!$M$5</c:f>
              <c:strCache>
                <c:ptCount val="1"/>
                <c:pt idx="0">
                  <c:v>973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'middle carbon'!$H$6:$H$10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carbon'!$M$6:$M$10</c:f>
              <c:numCache>
                <c:formatCode>0.00E+00</c:formatCode>
                <c:ptCount val="5"/>
                <c:pt idx="0">
                  <c:v>7.3146127630150687E-2</c:v>
                </c:pt>
                <c:pt idx="1">
                  <c:v>40.430047432831749</c:v>
                </c:pt>
                <c:pt idx="2">
                  <c:v>25652.085824233331</c:v>
                </c:pt>
                <c:pt idx="3">
                  <c:v>1284259.2644908088</c:v>
                </c:pt>
                <c:pt idx="4">
                  <c:v>1699136.7792197093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BB-42B0-9353-07955925999B}"/>
            </c:ext>
          </c:extLst>
        </c:ser>
        <c:ser>
          <c:idx val="5"/>
          <c:order val="5"/>
          <c:tx>
            <c:strRef>
              <c:f>'middle carbon'!$N$5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'middle carbon'!$H$6:$H$10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carbon'!$N$6:$N$10</c:f>
              <c:numCache>
                <c:formatCode>0.00E+00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BB-42B0-9353-07955925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71408"/>
        <c:axId val="1144168080"/>
      </c:scatterChart>
      <c:valAx>
        <c:axId val="114417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68080"/>
        <c:crosses val="autoZero"/>
        <c:crossBetween val="midCat"/>
      </c:valAx>
      <c:valAx>
        <c:axId val="11441680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714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 vs carbon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20603674540684"/>
          <c:y val="7.2186068184150298E-2"/>
          <c:w val="0.67690507436570424"/>
          <c:h val="0.897614873619962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'middle carbon'!$I$5</c:f>
              <c:strCache>
                <c:ptCount val="1"/>
                <c:pt idx="0">
                  <c:v>773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'middle carbon'!$H$51:$H$53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carbon'!$I$51:$I$53</c:f>
              <c:numCache>
                <c:formatCode>0.00E+00</c:formatCode>
                <c:ptCount val="3"/>
                <c:pt idx="0">
                  <c:v>1.6002607427982103</c:v>
                </c:pt>
                <c:pt idx="1">
                  <c:v>2.0656229400433761E-2</c:v>
                </c:pt>
                <c:pt idx="2">
                  <c:v>2.7910821762650851E-7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D-4661-A304-B9F06E640270}"/>
            </c:ext>
          </c:extLst>
        </c:ser>
        <c:ser>
          <c:idx val="1"/>
          <c:order val="1"/>
          <c:tx>
            <c:strRef>
              <c:f>'middle carbon'!$J$5</c:f>
              <c:strCache>
                <c:ptCount val="1"/>
                <c:pt idx="0">
                  <c:v>823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'middle carbon'!$H$51:$H$53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carbon'!$J$51:$J$53</c:f>
              <c:numCache>
                <c:formatCode>0.00E+00</c:formatCode>
                <c:ptCount val="3"/>
                <c:pt idx="0">
                  <c:v>17.827507323170259</c:v>
                </c:pt>
                <c:pt idx="1">
                  <c:v>0.19411187548542921</c:v>
                </c:pt>
                <c:pt idx="2">
                  <c:v>3.1597434918666057E-6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D-4661-A304-B9F06E640270}"/>
            </c:ext>
          </c:extLst>
        </c:ser>
        <c:ser>
          <c:idx val="2"/>
          <c:order val="2"/>
          <c:tx>
            <c:strRef>
              <c:f>'middle carbon'!$K$5</c:f>
              <c:strCache>
                <c:ptCount val="1"/>
                <c:pt idx="0">
                  <c:v>873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'middle carbon'!$H$51:$H$53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carbon'!$K$51:$K$53</c:f>
              <c:numCache>
                <c:formatCode>0.00E+00</c:formatCode>
                <c:ptCount val="3"/>
                <c:pt idx="0">
                  <c:v>150.68523286592688</c:v>
                </c:pt>
                <c:pt idx="1">
                  <c:v>1.4112315868797245</c:v>
                </c:pt>
                <c:pt idx="2">
                  <c:v>2.7090172172263036E-5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7D-4661-A304-B9F06E640270}"/>
            </c:ext>
          </c:extLst>
        </c:ser>
        <c:ser>
          <c:idx val="3"/>
          <c:order val="3"/>
          <c:tx>
            <c:strRef>
              <c:f>'middle carbon'!$L$5</c:f>
              <c:strCache>
                <c:ptCount val="1"/>
                <c:pt idx="0">
                  <c:v>923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'middle carbon'!$H$51:$H$53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carbon'!$L$51:$L$53</c:f>
              <c:numCache>
                <c:formatCode>0.00E+00</c:formatCode>
                <c:ptCount val="3"/>
                <c:pt idx="0">
                  <c:v>1010.6936880733514</c:v>
                </c:pt>
                <c:pt idx="1">
                  <c:v>8.2756577764148265</c:v>
                </c:pt>
                <c:pt idx="2">
                  <c:v>1.8402251033988517E-4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7D-4661-A304-B9F06E640270}"/>
            </c:ext>
          </c:extLst>
        </c:ser>
        <c:ser>
          <c:idx val="4"/>
          <c:order val="4"/>
          <c:tx>
            <c:strRef>
              <c:f>'middle carbon'!$M$5</c:f>
              <c:strCache>
                <c:ptCount val="1"/>
                <c:pt idx="0">
                  <c:v>973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'middle carbon'!$H$51:$H$53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carbon'!$M$51:$M$53</c:f>
              <c:numCache>
                <c:formatCode>0.00E+00</c:formatCode>
                <c:ptCount val="3"/>
                <c:pt idx="0">
                  <c:v>5574.6796804727619</c:v>
                </c:pt>
                <c:pt idx="1">
                  <c:v>40.462678329615422</c:v>
                </c:pt>
                <c:pt idx="2">
                  <c:v>1.0266332309661137E-3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7D-4661-A304-B9F06E640270}"/>
            </c:ext>
          </c:extLst>
        </c:ser>
        <c:ser>
          <c:idx val="5"/>
          <c:order val="5"/>
          <c:tx>
            <c:strRef>
              <c:f>'middle carbon'!$N$5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'middle carbon'!$H$51:$H$53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carbon'!$N$51:$N$53</c:f>
              <c:numCache>
                <c:formatCode>0.00E+00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7D-4661-A304-B9F06E64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25952"/>
        <c:axId val="1392426368"/>
      </c:scatterChart>
      <c:valAx>
        <c:axId val="13924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26368"/>
        <c:crosses val="autoZero"/>
        <c:crossBetween val="midCat"/>
      </c:valAx>
      <c:valAx>
        <c:axId val="1392426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lnK vs carbon number</a:t>
            </a:r>
          </a:p>
        </c:rich>
      </c:tx>
      <c:layout>
        <c:manualLayout>
          <c:xMode val="edge"/>
          <c:yMode val="edge"/>
          <c:x val="0.55880555555555556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8887729658792647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v>773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7195975503062167E-2"/>
                  <c:y val="1.6232450809420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carbon'!$A$15:$A$19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carbon'!$B$15:$B$19</c:f>
              <c:numCache>
                <c:formatCode>General</c:formatCode>
                <c:ptCount val="5"/>
                <c:pt idx="0">
                  <c:v>-10.771119648346911</c:v>
                </c:pt>
                <c:pt idx="1">
                  <c:v>-3.8805451088495859</c:v>
                </c:pt>
                <c:pt idx="2">
                  <c:v>1.9421844508798622</c:v>
                </c:pt>
                <c:pt idx="3">
                  <c:v>5.8554969471380369</c:v>
                </c:pt>
                <c:pt idx="4">
                  <c:v>7.5746981688691868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F-4094-90E6-02EE1510A9C7}"/>
            </c:ext>
          </c:extLst>
        </c:ser>
        <c:ser>
          <c:idx val="1"/>
          <c:order val="1"/>
          <c:tx>
            <c:v>823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7275153105861766"/>
                  <c:y val="-5.3780056016487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carbon'!$A$15:$A$19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carbon'!$C$15:$C$19</c:f>
              <c:numCache>
                <c:formatCode>General</c:formatCode>
                <c:ptCount val="5"/>
                <c:pt idx="0">
                  <c:v>-8.3605436088646332</c:v>
                </c:pt>
                <c:pt idx="1">
                  <c:v>-1.6401273780366425</c:v>
                </c:pt>
                <c:pt idx="2">
                  <c:v>4.3688309972920276</c:v>
                </c:pt>
                <c:pt idx="3">
                  <c:v>8.282143493550187</c:v>
                </c:pt>
                <c:pt idx="4">
                  <c:v>9.5759489436079974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F-4094-90E6-02EE1510A9C7}"/>
            </c:ext>
          </c:extLst>
        </c:ser>
        <c:ser>
          <c:idx val="2"/>
          <c:order val="2"/>
          <c:tx>
            <c:v>873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208486439195101"/>
                  <c:y val="-0.2335440116965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carbon'!$A$15:$A$19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carbon'!$D$15:$D$19</c:f>
              <c:numCache>
                <c:formatCode>General</c:formatCode>
                <c:ptCount val="5"/>
                <c:pt idx="0">
                  <c:v>-6.2260931180057577</c:v>
                </c:pt>
                <c:pt idx="1">
                  <c:v>0.34365601934983925</c:v>
                </c:pt>
                <c:pt idx="2">
                  <c:v>6.517511158089965</c:v>
                </c:pt>
                <c:pt idx="3">
                  <c:v>10.430823654348117</c:v>
                </c:pt>
                <c:pt idx="4">
                  <c:v>11.347961370724946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AF-4094-90E6-02EE1510A9C7}"/>
            </c:ext>
          </c:extLst>
        </c:ser>
        <c:ser>
          <c:idx val="3"/>
          <c:order val="3"/>
          <c:tx>
            <c:v>923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164041994750655"/>
                  <c:y val="-0.410090718525956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carbon'!$A$15:$A$19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carbon'!$E$15:$E$19</c:f>
              <c:numCache>
                <c:formatCode>General</c:formatCode>
                <c:ptCount val="5"/>
                <c:pt idx="0">
                  <c:v>-4.3228940346072173</c:v>
                </c:pt>
                <c:pt idx="1">
                  <c:v>2.1125116380378968</c:v>
                </c:pt>
                <c:pt idx="2">
                  <c:v>8.4333982353778278</c:v>
                </c:pt>
                <c:pt idx="3">
                  <c:v>12.346710731635973</c:v>
                </c:pt>
                <c:pt idx="4">
                  <c:v>12.927989786236591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AF-4094-90E6-02EE1510A9C7}"/>
            </c:ext>
          </c:extLst>
        </c:ser>
        <c:ser>
          <c:idx val="4"/>
          <c:order val="4"/>
          <c:tx>
            <c:v>973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497375328083989"/>
                  <c:y val="-0.528845320509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carbon'!$A$15:$A$19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'middle carbon'!$F$15:$F$19</c:f>
              <c:numCache>
                <c:formatCode>General</c:formatCode>
                <c:ptCount val="5"/>
                <c:pt idx="0">
                  <c:v>-2.6152960903041036</c:v>
                </c:pt>
                <c:pt idx="1">
                  <c:v>3.6995732568607904</c:v>
                </c:pt>
                <c:pt idx="2">
                  <c:v>10.152380165976291</c:v>
                </c:pt>
                <c:pt idx="3">
                  <c:v>14.065692662234433</c:v>
                </c:pt>
                <c:pt idx="4">
                  <c:v>14.345630903134499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AF-4094-90E6-02EE1510A9C7}"/>
            </c:ext>
          </c:extLst>
        </c:ser>
        <c:ser>
          <c:idx val="5"/>
          <c:order val="5"/>
          <c:tx>
            <c:v>1073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915135608049"/>
                  <c:y val="-0.10591754155730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carbon'!$A$15:$A$18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'middle carbon'!$G$15:$G$18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9AF-4094-90E6-02EE1510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611551"/>
        <c:axId val="1593606975"/>
      </c:scatterChart>
      <c:valAx>
        <c:axId val="15936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06975"/>
        <c:crosses val="autoZero"/>
        <c:crossBetween val="midCat"/>
      </c:valAx>
      <c:valAx>
        <c:axId val="159360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6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lnK vs 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octane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carbon'!$K$22:$K$26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'middle carbon'!$E$22:$E$26</c:f>
              <c:numCache>
                <c:formatCode>General</c:formatCode>
                <c:ptCount val="5"/>
                <c:pt idx="0">
                  <c:v>-19.913000000000004</c:v>
                </c:pt>
                <c:pt idx="1">
                  <c:v>-17.766300000000005</c:v>
                </c:pt>
                <c:pt idx="2">
                  <c:v>-15.8718</c:v>
                </c:pt>
                <c:pt idx="3">
                  <c:v>-14.1812</c:v>
                </c:pt>
                <c:pt idx="4">
                  <c:v>-12.659500000000007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0-412F-869F-9E3D587CC5E9}"/>
            </c:ext>
          </c:extLst>
        </c:ser>
        <c:ser>
          <c:idx val="1"/>
          <c:order val="1"/>
          <c:tx>
            <c:v>nonane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carbon'!$K$22:$K$26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'middle carbon'!$F$22:$F$26</c:f>
              <c:numCache>
                <c:formatCode>General</c:formatCode>
                <c:ptCount val="5"/>
                <c:pt idx="0">
                  <c:v>-30.682600000000001</c:v>
                </c:pt>
                <c:pt idx="1">
                  <c:v>-28.819900000000001</c:v>
                </c:pt>
                <c:pt idx="2">
                  <c:v>-27.178500000000007</c:v>
                </c:pt>
                <c:pt idx="3">
                  <c:v>-25.713199999999997</c:v>
                </c:pt>
                <c:pt idx="4">
                  <c:v>-24.392500000000013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20-412F-869F-9E3D587CC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32336"/>
        <c:axId val="1486337328"/>
      </c:scatterChart>
      <c:valAx>
        <c:axId val="148633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37328"/>
        <c:crosses val="autoZero"/>
        <c:crossBetween val="midCat"/>
      </c:valAx>
      <c:valAx>
        <c:axId val="14863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33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lnK vs Carbon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821106736657917"/>
                  <c:y val="0.40225247885680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carbon'!$B$58:$B$60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carbon'!$C$58:$C$60</c:f>
              <c:numCache>
                <c:formatCode>General</c:formatCode>
                <c:ptCount val="3"/>
                <c:pt idx="0">
                  <c:v>0.47016658021738622</c:v>
                </c:pt>
                <c:pt idx="1">
                  <c:v>-3.8797383391865288</c:v>
                </c:pt>
                <c:pt idx="2">
                  <c:v>-15.091666253532283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7-4662-8542-E8604AC0577E}"/>
            </c:ext>
          </c:extLst>
        </c:ser>
        <c:ser>
          <c:idx val="1"/>
          <c:order val="1"/>
          <c:tx>
            <c:v>823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276662292213474"/>
                  <c:y val="0.32017023913677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carbon'!$B$58:$B$60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carbon'!$D$58:$D$60</c:f>
              <c:numCache>
                <c:formatCode>General</c:formatCode>
                <c:ptCount val="3"/>
                <c:pt idx="0">
                  <c:v>2.8807426196996655</c:v>
                </c:pt>
                <c:pt idx="1">
                  <c:v>-1.6393206083735854</c:v>
                </c:pt>
                <c:pt idx="2">
                  <c:v>-12.665019707120132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67-4662-8542-E8604AC0577E}"/>
            </c:ext>
          </c:extLst>
        </c:ser>
        <c:ser>
          <c:idx val="2"/>
          <c:order val="2"/>
          <c:tx>
            <c:v>873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709995625546807"/>
                  <c:y val="0.25009951881014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carbon'!$B$58:$B$60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carbon'!$E$58:$E$60</c:f>
              <c:numCache>
                <c:formatCode>General</c:formatCode>
                <c:ptCount val="3"/>
                <c:pt idx="0">
                  <c:v>5.0151931105585401</c:v>
                </c:pt>
                <c:pt idx="1">
                  <c:v>0.3444627890128964</c:v>
                </c:pt>
                <c:pt idx="2">
                  <c:v>-10.516339546322202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67-4662-8542-E8604AC0577E}"/>
            </c:ext>
          </c:extLst>
        </c:ser>
        <c:ser>
          <c:idx val="3"/>
          <c:order val="3"/>
          <c:tx>
            <c:v>923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987773403324584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carbon'!$B$58:$B$60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carbon'!$F$58:$F$60</c:f>
              <c:numCache>
                <c:formatCode>General</c:formatCode>
                <c:ptCount val="3"/>
                <c:pt idx="0">
                  <c:v>6.9183921939570805</c:v>
                </c:pt>
                <c:pt idx="1">
                  <c:v>2.1133184077009539</c:v>
                </c:pt>
                <c:pt idx="2">
                  <c:v>-8.6004524690343462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67-4662-8542-E8604AC0577E}"/>
            </c:ext>
          </c:extLst>
        </c:ser>
        <c:ser>
          <c:idx val="4"/>
          <c:order val="4"/>
          <c:tx>
            <c:v>973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carbon'!$B$58:$B$60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5</c:v>
                </c:pt>
              </c:numCache>
            </c:numRef>
          </c:xVal>
          <c:yVal>
            <c:numRef>
              <c:f>'middle carbon'!$G$58:$G$60</c:f>
              <c:numCache>
                <c:formatCode>General</c:formatCode>
                <c:ptCount val="3"/>
                <c:pt idx="0">
                  <c:v>8.6259901382601942</c:v>
                </c:pt>
                <c:pt idx="1">
                  <c:v>3.7003800265238476</c:v>
                </c:pt>
                <c:pt idx="2">
                  <c:v>-6.8814705384358863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67-4662-8542-E8604AC0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96768"/>
        <c:axId val="905496352"/>
      </c:scatterChart>
      <c:valAx>
        <c:axId val="9054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in Kelvin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96352"/>
        <c:crosses val="autoZero"/>
        <c:crossBetween val="midCat"/>
      </c:valAx>
      <c:valAx>
        <c:axId val="9054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9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lnK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octane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91360454943132"/>
                  <c:y val="-0.23681321084864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carbon'!$K$63:$K$67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'middle carbon'!$E$63:$E$67</c:f>
              <c:numCache>
                <c:formatCode>General</c:formatCode>
                <c:ptCount val="5"/>
                <c:pt idx="0">
                  <c:v>-2.039999999999992</c:v>
                </c:pt>
                <c:pt idx="1">
                  <c:v>0.89680000000001314</c:v>
                </c:pt>
                <c:pt idx="2">
                  <c:v>3.4979999999999905</c:v>
                </c:pt>
                <c:pt idx="3">
                  <c:v>5.8208000000000197</c:v>
                </c:pt>
                <c:pt idx="4">
                  <c:v>7.8996000000000208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5-40A3-A056-E3D5A9298930}"/>
            </c:ext>
          </c:extLst>
        </c:ser>
        <c:ser>
          <c:idx val="1"/>
          <c:order val="1"/>
          <c:tx>
            <c:v>nonane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'middle carbon'!$K$63:$K$67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'middle carbon'!$F$63:$F$67</c:f>
              <c:numCache>
                <c:formatCode>General</c:formatCode>
                <c:ptCount val="5"/>
                <c:pt idx="0">
                  <c:v>-11.414000000000016</c:v>
                </c:pt>
                <c:pt idx="1">
                  <c:v>-7.5937999999999874</c:v>
                </c:pt>
                <c:pt idx="2">
                  <c:v>-4.2110000000000127</c:v>
                </c:pt>
                <c:pt idx="3">
                  <c:v>-1.1902999999999793</c:v>
                </c:pt>
                <c:pt idx="4">
                  <c:v>1.5129000000000588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85-40A3-A056-E3D5A929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71696"/>
        <c:axId val="783771280"/>
      </c:scatterChart>
      <c:valAx>
        <c:axId val="7837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71280"/>
        <c:crosses val="autoZero"/>
        <c:crossBetween val="midCat"/>
      </c:valAx>
      <c:valAx>
        <c:axId val="7837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7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 vs carbon number</a:t>
            </a:r>
          </a:p>
        </c:rich>
      </c:tx>
      <c:layout>
        <c:manualLayout>
          <c:xMode val="edge"/>
          <c:yMode val="edge"/>
          <c:x val="0.53171522309711283"/>
          <c:y val="6.0289844064389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573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alkene!$H$37:$H$41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alkene!$I$37:$I$41</c:f>
              <c:numCache>
                <c:formatCode>0.00E+00</c:formatCode>
                <c:ptCount val="5"/>
                <c:pt idx="0">
                  <c:v>83.062642342997862</c:v>
                </c:pt>
                <c:pt idx="1">
                  <c:v>80.843779655554258</c:v>
                </c:pt>
                <c:pt idx="2">
                  <c:v>437.98420004321753</c:v>
                </c:pt>
                <c:pt idx="3">
                  <c:v>0.27252167999473215</c:v>
                </c:pt>
                <c:pt idx="4">
                  <c:v>2.3691457616777689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A-4C4A-AAF0-4E452072040B}"/>
            </c:ext>
          </c:extLst>
        </c:ser>
        <c:ser>
          <c:idx val="1"/>
          <c:order val="1"/>
          <c:tx>
            <c:v>673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alkene!$H$37:$H$41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alkene!$J$37:$J$41</c:f>
              <c:numCache>
                <c:formatCode>0.00E+00</c:formatCode>
                <c:ptCount val="5"/>
                <c:pt idx="0">
                  <c:v>780.5609133889734</c:v>
                </c:pt>
                <c:pt idx="1">
                  <c:v>759.70969270610885</c:v>
                </c:pt>
                <c:pt idx="2">
                  <c:v>4115.8496478350053</c:v>
                </c:pt>
                <c:pt idx="3">
                  <c:v>2.5609559900175487</c:v>
                </c:pt>
                <c:pt idx="4">
                  <c:v>24.820239659612522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DA-4C4A-AAF0-4E452072040B}"/>
            </c:ext>
          </c:extLst>
        </c:ser>
        <c:ser>
          <c:idx val="2"/>
          <c:order val="2"/>
          <c:tx>
            <c:v>773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alkene!$H$37:$H$41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alkene!$K$37:$K$41</c:f>
              <c:numCache>
                <c:formatCode>0.00E+00</c:formatCode>
                <c:ptCount val="5"/>
                <c:pt idx="0">
                  <c:v>5674.831659338096</c:v>
                </c:pt>
                <c:pt idx="1">
                  <c:v>5523.2391759876009</c:v>
                </c:pt>
                <c:pt idx="2">
                  <c:v>29923.038017880317</c:v>
                </c:pt>
                <c:pt idx="3">
                  <c:v>18.618654714883167</c:v>
                </c:pt>
                <c:pt idx="4">
                  <c:v>198.68136587503867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DA-4C4A-AAF0-4E452072040B}"/>
            </c:ext>
          </c:extLst>
        </c:ser>
        <c:ser>
          <c:idx val="3"/>
          <c:order val="3"/>
          <c:tx>
            <c:v>873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alkene!$H$37:$H$41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alkene!$L$37:$L$41</c:f>
              <c:numCache>
                <c:formatCode>0.00E+00</c:formatCode>
                <c:ptCount val="5"/>
                <c:pt idx="0">
                  <c:v>33278.000002312088</c:v>
                </c:pt>
                <c:pt idx="1">
                  <c:v>32389.040652656829</c:v>
                </c:pt>
                <c:pt idx="2">
                  <c:v>175472.84554064678</c:v>
                </c:pt>
                <c:pt idx="3">
                  <c:v>109.18237382872398</c:v>
                </c:pt>
                <c:pt idx="4">
                  <c:v>1269.5128593457171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A-4C4A-AAF0-4E452072040B}"/>
            </c:ext>
          </c:extLst>
        </c:ser>
        <c:ser>
          <c:idx val="4"/>
          <c:order val="4"/>
          <c:tx>
            <c:v>973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alkene!$H$37:$H$41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alkene!$M$37:$M$41</c:f>
              <c:numCache>
                <c:formatCode>0.00E+00</c:formatCode>
                <c:ptCount val="5"/>
                <c:pt idx="0">
                  <c:v>162708.15516127256</c:v>
                </c:pt>
                <c:pt idx="1">
                  <c:v>158361.71199203996</c:v>
                </c:pt>
                <c:pt idx="2">
                  <c:v>857950.08644852194</c:v>
                </c:pt>
                <c:pt idx="3">
                  <c:v>533.83203980304768</c:v>
                </c:pt>
                <c:pt idx="4">
                  <c:v>6703.998835302461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DA-4C4A-AAF0-4E452072040B}"/>
            </c:ext>
          </c:extLst>
        </c:ser>
        <c:ser>
          <c:idx val="5"/>
          <c:order val="5"/>
          <c:tx>
            <c:v>1073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alkene!$H$37:$H$41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alkene!$N$37:$N$41</c:f>
              <c:numCache>
                <c:formatCode>0.00E+00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DA-4C4A-AAF0-4E452072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48128"/>
        <c:axId val="1825845216"/>
      </c:scatterChart>
      <c:valAx>
        <c:axId val="18258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45216"/>
        <c:crosses val="autoZero"/>
        <c:crossBetween val="midCat"/>
      </c:valAx>
      <c:valAx>
        <c:axId val="1825845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84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alkane cracking</a:t>
            </a:r>
            <a:r>
              <a:rPr lang="en-US" baseline="0"/>
              <a:t> at carbon 2 ( lower alkane+ higher alkene)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5236111111111114"/>
          <c:y val="5.536332179930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6,8,10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data!$H$22:$H$25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data!$I$22:$I$25</c:f>
              <c:numCache>
                <c:formatCode>0.00E+00</c:formatCode>
                <c:ptCount val="4"/>
                <c:pt idx="0">
                  <c:v>4.6793079876152772</c:v>
                </c:pt>
                <c:pt idx="1">
                  <c:v>5.039254755893376</c:v>
                </c:pt>
                <c:pt idx="2">
                  <c:v>6.9739686353870631</c:v>
                </c:pt>
                <c:pt idx="3">
                  <c:v>349.14836522970074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6-4D5A-81CC-8A928285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05295"/>
        <c:axId val="615806127"/>
      </c:scatterChart>
      <c:valAx>
        <c:axId val="6158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6127"/>
        <c:crosses val="autoZero"/>
        <c:crossBetween val="midCat"/>
      </c:valAx>
      <c:valAx>
        <c:axId val="615806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Rate Constant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 vs carbon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773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8674803149606299"/>
                  <c:y val="0.39627442403032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alkene!$H$3:$H$7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alkene!$I$3:$I$7</c:f>
              <c:numCache>
                <c:formatCode>0.00E+00</c:formatCode>
                <c:ptCount val="5"/>
                <c:pt idx="0">
                  <c:v>2383347.9431867157</c:v>
                </c:pt>
                <c:pt idx="1">
                  <c:v>1410.9072523418627</c:v>
                </c:pt>
                <c:pt idx="2">
                  <c:v>437.98420004321753</c:v>
                </c:pt>
                <c:pt idx="3">
                  <c:v>0.27252167999473215</c:v>
                </c:pt>
                <c:pt idx="4">
                  <c:v>2.7393247869399202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2-423D-99EE-FE3DCC9BD86C}"/>
            </c:ext>
          </c:extLst>
        </c:ser>
        <c:ser>
          <c:idx val="1"/>
          <c:order val="1"/>
          <c:tx>
            <c:v>823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0619247594050742"/>
                  <c:y val="0.33606007582385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alkene!$H$3:$H$7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alkene!$J$3:$J$7</c:f>
              <c:numCache>
                <c:formatCode>0.00E+00</c:formatCode>
                <c:ptCount val="5"/>
                <c:pt idx="0">
                  <c:v>22396930.737833437</c:v>
                </c:pt>
                <c:pt idx="1">
                  <c:v>13258.656629864967</c:v>
                </c:pt>
                <c:pt idx="2">
                  <c:v>4115.8496478350053</c:v>
                </c:pt>
                <c:pt idx="3">
                  <c:v>2.5609559900175487</c:v>
                </c:pt>
                <c:pt idx="4">
                  <c:v>28.698402106426979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2-423D-99EE-FE3DCC9BD86C}"/>
            </c:ext>
          </c:extLst>
        </c:ser>
        <c:ser>
          <c:idx val="2"/>
          <c:order val="2"/>
          <c:tx>
            <c:v>873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9997025371828524"/>
                  <c:y val="0.25294473607465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alkene!$H$3:$H$7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alkene!$K$3:$K$7</c:f>
              <c:numCache>
                <c:formatCode>0.00E+00</c:formatCode>
                <c:ptCount val="5"/>
                <c:pt idx="0">
                  <c:v>162830100.05104259</c:v>
                </c:pt>
                <c:pt idx="1">
                  <c:v>96393.046478303891</c:v>
                </c:pt>
                <c:pt idx="2">
                  <c:v>29923.038017880317</c:v>
                </c:pt>
                <c:pt idx="3">
                  <c:v>18.618654714883167</c:v>
                </c:pt>
                <c:pt idx="4">
                  <c:v>229.72532929301346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2-423D-99EE-FE3DCC9BD86C}"/>
            </c:ext>
          </c:extLst>
        </c:ser>
        <c:ser>
          <c:idx val="3"/>
          <c:order val="3"/>
          <c:tx>
            <c:v>923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9997025371828524"/>
                  <c:y val="0.17154126567512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alkene!$H$3:$H$7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alkene!$L$3:$L$7</c:f>
              <c:numCache>
                <c:formatCode>0.00E+00</c:formatCode>
                <c:ptCount val="5"/>
                <c:pt idx="0">
                  <c:v>954858292.74926853</c:v>
                </c:pt>
                <c:pt idx="1">
                  <c:v>565262.19516122446</c:v>
                </c:pt>
                <c:pt idx="2">
                  <c:v>175472.84554064678</c:v>
                </c:pt>
                <c:pt idx="3">
                  <c:v>109.18237382872398</c:v>
                </c:pt>
                <c:pt idx="4">
                  <c:v>1467.8742436184855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2-423D-99EE-FE3DCC9BD86C}"/>
            </c:ext>
          </c:extLst>
        </c:ser>
        <c:ser>
          <c:idx val="4"/>
          <c:order val="4"/>
          <c:tx>
            <c:v>973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1385914260717414"/>
                  <c:y val="8.83836395450568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alkene!$H$3:$H$7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alkene!$M$3:$M$7</c:f>
              <c:numCache>
                <c:formatCode>0.00E+00</c:formatCode>
                <c:ptCount val="5"/>
                <c:pt idx="0">
                  <c:v>4668646891.1257133</c:v>
                </c:pt>
                <c:pt idx="1">
                  <c:v>2763770.928262034</c:v>
                </c:pt>
                <c:pt idx="2">
                  <c:v>857950.08644852194</c:v>
                </c:pt>
                <c:pt idx="3">
                  <c:v>533.83203980304768</c:v>
                </c:pt>
                <c:pt idx="4">
                  <c:v>7751.4986533184701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2-423D-99EE-FE3DCC9BD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110448"/>
        <c:axId val="47131088"/>
      </c:scatterChart>
      <c:valAx>
        <c:axId val="64811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31088"/>
        <c:crosses val="autoZero"/>
        <c:crossBetween val="midCat"/>
      </c:valAx>
      <c:valAx>
        <c:axId val="47131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lnK vs 1/T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octane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alkene!$C$18:$C$22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alkene!$D$18:$D$22</c:f>
              <c:numCache>
                <c:formatCode>General</c:formatCode>
                <c:ptCount val="5"/>
                <c:pt idx="0">
                  <c:v>16.294783803155617</c:v>
                </c:pt>
                <c:pt idx="1">
                  <c:v>18.422968896149666</c:v>
                </c:pt>
                <c:pt idx="2">
                  <c:v>20.571953989143708</c:v>
                </c:pt>
                <c:pt idx="3">
                  <c:v>22.183553843952968</c:v>
                </c:pt>
                <c:pt idx="4">
                  <c:v>23.75317336532612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C-4D15-9760-4F0D21234659}"/>
            </c:ext>
          </c:extLst>
        </c:ser>
        <c:ser>
          <c:idx val="1"/>
          <c:order val="1"/>
          <c:tx>
            <c:v>Nonane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38363954505687"/>
                  <c:y val="-0.115114100320793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alkene!$C$18:$C$22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alkene!$E$18:$E$22</c:f>
              <c:numCache>
                <c:formatCode>General</c:formatCode>
                <c:ptCount val="5"/>
                <c:pt idx="0">
                  <c:v>19.88528380315562</c:v>
                </c:pt>
                <c:pt idx="1">
                  <c:v>21.991668896149669</c:v>
                </c:pt>
                <c:pt idx="2">
                  <c:v>24.12145398914371</c:v>
                </c:pt>
                <c:pt idx="3">
                  <c:v>25.715853843952967</c:v>
                </c:pt>
                <c:pt idx="4">
                  <c:v>27.27007336532612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C-4D15-9760-4F0D2123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20560"/>
        <c:axId val="786623056"/>
      </c:scatterChart>
      <c:valAx>
        <c:axId val="7866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23056"/>
        <c:crosses val="autoZero"/>
        <c:crossBetween val="midCat"/>
      </c:valAx>
      <c:valAx>
        <c:axId val="7866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2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alkane cracking at carbon 2 (</a:t>
            </a:r>
            <a:r>
              <a:rPr lang="en-US" sz="1400" b="0" i="0" u="none" strike="noStrike" baseline="0">
                <a:effectLst/>
              </a:rPr>
              <a:t>lower alkene+ higher alkane) </a:t>
            </a:r>
            <a:r>
              <a:rPr lang="en-US" sz="1800" b="0" i="0" baseline="0">
                <a:effectLst/>
              </a:rPr>
              <a:t>  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6,8,10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data!$H$32:$H$36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data!$I$32:$I$36</c:f>
              <c:numCache>
                <c:formatCode>0.00E+00</c:formatCode>
                <c:ptCount val="5"/>
                <c:pt idx="0">
                  <c:v>8.4337898281994263E-9</c:v>
                </c:pt>
                <c:pt idx="1">
                  <c:v>9.1844412750371166E-9</c:v>
                </c:pt>
                <c:pt idx="2">
                  <c:v>2.7906571572792608E-7</c:v>
                </c:pt>
                <c:pt idx="3">
                  <c:v>349.14836522970074</c:v>
                </c:pt>
                <c:pt idx="4">
                  <c:v>1948.2721247361283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A-4E5E-A892-CB9A75DB6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398511"/>
        <c:axId val="1452015375"/>
      </c:scatterChart>
      <c:valAx>
        <c:axId val="202239851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15375"/>
        <c:crosses val="autoZero"/>
        <c:crossBetween val="midCat"/>
      </c:valAx>
      <c:valAx>
        <c:axId val="14520153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rate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9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Alkane cracking at middle</a:t>
            </a:r>
            <a:r>
              <a:rPr lang="en-US" baseline="0"/>
              <a:t> of the chain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6,8,10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data!$H$43:$H$47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data!$I$43:$I$47</c:f>
              <c:numCache>
                <c:formatCode>0.00E+00</c:formatCode>
                <c:ptCount val="5"/>
                <c:pt idx="0">
                  <c:v>2.099723809141101E-5</c:v>
                </c:pt>
                <c:pt idx="1">
                  <c:v>2.0639571301728214E-2</c:v>
                </c:pt>
                <c:pt idx="2">
                  <c:v>6.9739686353870631</c:v>
                </c:pt>
                <c:pt idx="3">
                  <c:v>349.14836522975531</c:v>
                </c:pt>
                <c:pt idx="4">
                  <c:v>1948.2721247361283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E4-4915-961A-9DAFB1942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19535"/>
        <c:axId val="1179728623"/>
      </c:scatterChart>
      <c:valAx>
        <c:axId val="145201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28623"/>
        <c:crosses val="autoZero"/>
        <c:crossBetween val="midCat"/>
      </c:valAx>
      <c:valAx>
        <c:axId val="1179728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rate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1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Alkene Cracking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6,8,10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data!$H$64:$H$68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xVal>
          <c:yVal>
            <c:numRef>
              <c:f>data!$I$64:$I$68</c:f>
              <c:numCache>
                <c:formatCode>0.00E+00</c:formatCode>
                <c:ptCount val="5"/>
                <c:pt idx="0">
                  <c:v>2383347.9431867157</c:v>
                </c:pt>
                <c:pt idx="1">
                  <c:v>1410.9072523418627</c:v>
                </c:pt>
                <c:pt idx="2">
                  <c:v>437.98420004321753</c:v>
                </c:pt>
                <c:pt idx="3">
                  <c:v>0.27252167999473215</c:v>
                </c:pt>
                <c:pt idx="4">
                  <c:v>2.7393247869399202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7-442D-B54B-7FD5ED94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53951"/>
        <c:axId val="214354367"/>
      </c:scatterChart>
      <c:valAx>
        <c:axId val="21435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4367"/>
        <c:crosses val="autoZero"/>
        <c:crossBetween val="midCat"/>
      </c:valAx>
      <c:valAx>
        <c:axId val="214354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Rate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5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"/>
            <c:dispRSqr val="1"/>
            <c:dispEq val="1"/>
            <c:trendlineLbl>
              <c:layout>
                <c:manualLayout>
                  <c:x val="6.5968941382327215E-2"/>
                  <c:y val="-0.72103834526211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[1]data_anal_freq_1!$K$7:$K$12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xVal>
          <c:yVal>
            <c:numRef>
              <c:f>[1]data_anal_freq_1!$L$7:$L$12</c:f>
              <c:numCache>
                <c:formatCode>General</c:formatCode>
                <c:ptCount val="6"/>
                <c:pt idx="0">
                  <c:v>7.7038743448367836E-3</c:v>
                </c:pt>
                <c:pt idx="1">
                  <c:v>2.2992180081147802</c:v>
                </c:pt>
                <c:pt idx="2">
                  <c:v>2.4972933571104154</c:v>
                </c:pt>
                <c:pt idx="3">
                  <c:v>2.7328806755849513</c:v>
                </c:pt>
                <c:pt idx="4">
                  <c:v>4.5156263729848716</c:v>
                </c:pt>
                <c:pt idx="5">
                  <c:v>1805.3144619719837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8-4495-B521-3740E4E59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07919"/>
        <c:axId val="1596808335"/>
      </c:scatterChart>
      <c:valAx>
        <c:axId val="15968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08335"/>
        <c:crosses val="autoZero"/>
        <c:crossBetween val="midCat"/>
      </c:valAx>
      <c:valAx>
        <c:axId val="1596808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 vs carbon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773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120625546806655"/>
                  <c:y val="-0.21802785068533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'dehydro-hydro'!$H$7:$H$17</c:f>
              <c:numCache>
                <c:formatCode>General</c:formatCode>
                <c:ptCount val="11"/>
                <c:pt idx="0">
                  <c:v>7</c:v>
                </c:pt>
                <c:pt idx="2">
                  <c:v>6</c:v>
                </c:pt>
                <c:pt idx="4">
                  <c:v>5</c:v>
                </c:pt>
                <c:pt idx="6">
                  <c:v>4</c:v>
                </c:pt>
                <c:pt idx="8">
                  <c:v>3</c:v>
                </c:pt>
                <c:pt idx="10">
                  <c:v>2</c:v>
                </c:pt>
              </c:numCache>
            </c:numRef>
          </c:xVal>
          <c:yVal>
            <c:numRef>
              <c:f>'dehydro-hydro'!$I$7:$I$17</c:f>
              <c:numCache>
                <c:formatCode>0.00E+00</c:formatCode>
                <c:ptCount val="11"/>
                <c:pt idx="0">
                  <c:v>3.5376435705692343E-2</c:v>
                </c:pt>
                <c:pt idx="2">
                  <c:v>0.23966426374969241</c:v>
                </c:pt>
                <c:pt idx="4">
                  <c:v>0.85726063572005362</c:v>
                </c:pt>
                <c:pt idx="6">
                  <c:v>1.4702368777692436</c:v>
                </c:pt>
                <c:pt idx="8">
                  <c:v>28.71493924967961</c:v>
                </c:pt>
                <c:pt idx="10">
                  <c:v>99.572217827436859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8-438D-8978-1996148A58FF}"/>
            </c:ext>
          </c:extLst>
        </c:ser>
        <c:ser>
          <c:idx val="1"/>
          <c:order val="1"/>
          <c:tx>
            <c:v>823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2073425196850398"/>
                  <c:y val="-0.27956437736949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'dehydro-hydro'!$H$7:$H$17</c:f>
              <c:numCache>
                <c:formatCode>General</c:formatCode>
                <c:ptCount val="11"/>
                <c:pt idx="0">
                  <c:v>7</c:v>
                </c:pt>
                <c:pt idx="2">
                  <c:v>6</c:v>
                </c:pt>
                <c:pt idx="4">
                  <c:v>5</c:v>
                </c:pt>
                <c:pt idx="6">
                  <c:v>4</c:v>
                </c:pt>
                <c:pt idx="8">
                  <c:v>3</c:v>
                </c:pt>
                <c:pt idx="10">
                  <c:v>2</c:v>
                </c:pt>
              </c:numCache>
            </c:numRef>
          </c:xVal>
          <c:yVal>
            <c:numRef>
              <c:f>'dehydro-hydro'!$K$7:$K$17</c:f>
              <c:numCache>
                <c:formatCode>0.00E+00</c:formatCode>
                <c:ptCount val="11"/>
                <c:pt idx="0">
                  <c:v>0.27621517446791144</c:v>
                </c:pt>
                <c:pt idx="2">
                  <c:v>2.8257653256607398</c:v>
                </c:pt>
                <c:pt idx="4">
                  <c:v>10.107545203324953</c:v>
                </c:pt>
                <c:pt idx="6">
                  <c:v>17.351246163355491</c:v>
                </c:pt>
                <c:pt idx="8">
                  <c:v>218.3463770938379</c:v>
                </c:pt>
                <c:pt idx="10">
                  <c:v>1312.5497368389574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78-438D-8978-1996148A58FF}"/>
            </c:ext>
          </c:extLst>
        </c:ser>
        <c:ser>
          <c:idx val="2"/>
          <c:order val="2"/>
          <c:tx>
            <c:v>873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1917869641294834"/>
                  <c:y val="-0.35830307669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'dehydro-hydro'!$H$7:$H$17</c:f>
              <c:numCache>
                <c:formatCode>General</c:formatCode>
                <c:ptCount val="11"/>
                <c:pt idx="0">
                  <c:v>7</c:v>
                </c:pt>
                <c:pt idx="2">
                  <c:v>6</c:v>
                </c:pt>
                <c:pt idx="4">
                  <c:v>5</c:v>
                </c:pt>
                <c:pt idx="6">
                  <c:v>4</c:v>
                </c:pt>
                <c:pt idx="8">
                  <c:v>3</c:v>
                </c:pt>
                <c:pt idx="10">
                  <c:v>2</c:v>
                </c:pt>
              </c:numCache>
            </c:numRef>
          </c:xVal>
          <c:yVal>
            <c:numRef>
              <c:f>'dehydro-hydro'!$M$7:$M$17</c:f>
              <c:numCache>
                <c:formatCode>0.00E+00</c:formatCode>
                <c:ptCount val="11"/>
                <c:pt idx="0">
                  <c:v>1.7042899527764472</c:v>
                </c:pt>
                <c:pt idx="2">
                  <c:v>25.114668931089149</c:v>
                </c:pt>
                <c:pt idx="4">
                  <c:v>89.833238868895805</c:v>
                </c:pt>
                <c:pt idx="6">
                  <c:v>154.34250997762757</c:v>
                </c:pt>
                <c:pt idx="8">
                  <c:v>1316.0225638899799</c:v>
                </c:pt>
                <c:pt idx="10">
                  <c:v>12876.643836420364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78-438D-8978-1996148A58FF}"/>
            </c:ext>
          </c:extLst>
        </c:ser>
        <c:ser>
          <c:idx val="3"/>
          <c:order val="3"/>
          <c:tx>
            <c:v>923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3541469816272969"/>
                  <c:y val="-0.39664552347623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'dehydro-hydro'!$H$7:$H$17</c:f>
              <c:numCache>
                <c:formatCode>General</c:formatCode>
                <c:ptCount val="11"/>
                <c:pt idx="0">
                  <c:v>7</c:v>
                </c:pt>
                <c:pt idx="2">
                  <c:v>6</c:v>
                </c:pt>
                <c:pt idx="4">
                  <c:v>5</c:v>
                </c:pt>
                <c:pt idx="6">
                  <c:v>4</c:v>
                </c:pt>
                <c:pt idx="8">
                  <c:v>3</c:v>
                </c:pt>
                <c:pt idx="10">
                  <c:v>2</c:v>
                </c:pt>
              </c:numCache>
            </c:numRef>
          </c:xVal>
          <c:yVal>
            <c:numRef>
              <c:f>'dehydro-hydro'!$O$7:$O$17</c:f>
              <c:numCache>
                <c:formatCode>0.00E+00</c:formatCode>
                <c:ptCount val="11"/>
                <c:pt idx="0">
                  <c:v>8.6340966111005581</c:v>
                </c:pt>
                <c:pt idx="2">
                  <c:v>176.16698670124038</c:v>
                </c:pt>
                <c:pt idx="4">
                  <c:v>630.13576012366752</c:v>
                </c:pt>
                <c:pt idx="6">
                  <c:v>1083.4447358190503</c:v>
                </c:pt>
                <c:pt idx="8">
                  <c:v>6529.2143293448371</c:v>
                </c:pt>
                <c:pt idx="10">
                  <c:v>98638.826102653082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78-438D-8978-1996148A58FF}"/>
            </c:ext>
          </c:extLst>
        </c:ser>
        <c:ser>
          <c:idx val="4"/>
          <c:order val="4"/>
          <c:tx>
            <c:v>973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030358705161856"/>
                  <c:y val="-0.38370917177019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'dehydro-hydro'!$H$7:$H$17</c:f>
              <c:numCache>
                <c:formatCode>General</c:formatCode>
                <c:ptCount val="11"/>
                <c:pt idx="0">
                  <c:v>7</c:v>
                </c:pt>
                <c:pt idx="2">
                  <c:v>6</c:v>
                </c:pt>
                <c:pt idx="4">
                  <c:v>5</c:v>
                </c:pt>
                <c:pt idx="6">
                  <c:v>4</c:v>
                </c:pt>
                <c:pt idx="8">
                  <c:v>3</c:v>
                </c:pt>
                <c:pt idx="10">
                  <c:v>2</c:v>
                </c:pt>
              </c:numCache>
            </c:numRef>
          </c:xVal>
          <c:yVal>
            <c:numRef>
              <c:f>'dehydro-hydro'!$Q$7:$Q$17</c:f>
              <c:numCache>
                <c:formatCode>0.00E+00</c:formatCode>
                <c:ptCount val="11"/>
                <c:pt idx="0">
                  <c:v>37.022655644844228</c:v>
                </c:pt>
                <c:pt idx="2">
                  <c:v>1011.5196193998935</c:v>
                </c:pt>
                <c:pt idx="4">
                  <c:v>3618.1278693919267</c:v>
                </c:pt>
                <c:pt idx="6">
                  <c:v>6225.1149071863665</c:v>
                </c:pt>
                <c:pt idx="8">
                  <c:v>27476.950159162567</c:v>
                </c:pt>
                <c:pt idx="10">
                  <c:v>612935.63795144111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78-438D-8978-1996148A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936096"/>
        <c:axId val="1480925280"/>
      </c:scatterChart>
      <c:valAx>
        <c:axId val="148093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25280"/>
        <c:crosses val="autoZero"/>
        <c:crossBetween val="midCat"/>
      </c:valAx>
      <c:valAx>
        <c:axId val="1480925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rate constant ,k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3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lnk</a:t>
            </a:r>
            <a:r>
              <a:rPr lang="en-IN" baseline="0"/>
              <a:t> vs 1/T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octane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18919510061243"/>
                  <c:y val="-0.57174262235067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'dehydro-hydro'!$M$32:$M$36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'dehydro-hydro'!$N$32:$N$36</c:f>
              <c:numCache>
                <c:formatCode>General</c:formatCode>
                <c:ptCount val="5"/>
                <c:pt idx="0">
                  <c:v>-4.8887944034367816</c:v>
                </c:pt>
                <c:pt idx="1">
                  <c:v>-2.6809241557712</c:v>
                </c:pt>
                <c:pt idx="2">
                  <c:v>-0.72079881016234959</c:v>
                </c:pt>
                <c:pt idx="3">
                  <c:v>1.2286577385242201</c:v>
                </c:pt>
                <c:pt idx="4">
                  <c:v>2.6300956509583204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5-4574-84AA-6FAA502F0AA1}"/>
            </c:ext>
          </c:extLst>
        </c:ser>
        <c:ser>
          <c:idx val="1"/>
          <c:order val="1"/>
          <c:tx>
            <c:v>nonane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'dehydro-hydro'!$M$32:$M$36</c:f>
              <c:numCache>
                <c:formatCode>General</c:formatCode>
                <c:ptCount val="5"/>
                <c:pt idx="0">
                  <c:v>1.29366106080207E-3</c:v>
                </c:pt>
                <c:pt idx="1">
                  <c:v>1.215066828675577E-3</c:v>
                </c:pt>
                <c:pt idx="2">
                  <c:v>1.145475372279496E-3</c:v>
                </c:pt>
                <c:pt idx="3">
                  <c:v>1.0834236186348862E-3</c:v>
                </c:pt>
                <c:pt idx="4">
                  <c:v>1.0277492291880781E-3</c:v>
                </c:pt>
              </c:numCache>
            </c:numRef>
          </c:xVal>
          <c:yVal>
            <c:numRef>
              <c:f>'dehydro-hydro'!$O$32:$O$36</c:f>
              <c:numCache>
                <c:formatCode>General</c:formatCode>
                <c:ptCount val="5"/>
                <c:pt idx="0">
                  <c:v>-6.4487944034367821</c:v>
                </c:pt>
                <c:pt idx="1">
                  <c:v>-4.2789241557712003</c:v>
                </c:pt>
                <c:pt idx="2">
                  <c:v>-2.3517988101623497</c:v>
                </c:pt>
                <c:pt idx="3">
                  <c:v>-0.43134226147578014</c:v>
                </c:pt>
                <c:pt idx="4">
                  <c:v>0.94409565095832026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05-4574-84AA-6FAA502F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40160"/>
        <c:axId val="1124041824"/>
      </c:scatterChart>
      <c:valAx>
        <c:axId val="112404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41824"/>
        <c:crosses val="autoZero"/>
        <c:crossBetween val="midCat"/>
      </c:valAx>
      <c:valAx>
        <c:axId val="11240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4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vs carbon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'carbon no.2'!$I$8</c:f>
              <c:strCache>
                <c:ptCount val="1"/>
                <c:pt idx="0">
                  <c:v>573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'carbon no.2'!$H$9:$H$12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'carbon no.2'!$I$9:$I$12</c:f>
              <c:numCache>
                <c:formatCode>0.00E+00</c:formatCode>
                <c:ptCount val="4"/>
                <c:pt idx="0">
                  <c:v>4.1250962738327181E-6</c:v>
                </c:pt>
                <c:pt idx="1">
                  <c:v>4.4424113718198507E-6</c:v>
                </c:pt>
                <c:pt idx="2">
                  <c:v>6.1479800234994203E-6</c:v>
                </c:pt>
                <c:pt idx="3">
                  <c:v>3.0779564504745483E-4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5-4731-AC2F-3C71F375918B}"/>
            </c:ext>
          </c:extLst>
        </c:ser>
        <c:ser>
          <c:idx val="1"/>
          <c:order val="1"/>
          <c:tx>
            <c:strRef>
              <c:f>'carbon no.2'!$J$8</c:f>
              <c:strCache>
                <c:ptCount val="1"/>
                <c:pt idx="0">
                  <c:v>673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'carbon no.2'!$H$9:$H$12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'carbon no.2'!$J$9:$J$12</c:f>
              <c:numCache>
                <c:formatCode>0.00E+00</c:formatCode>
                <c:ptCount val="4"/>
                <c:pt idx="0">
                  <c:v>1.2377716043216835E-2</c:v>
                </c:pt>
                <c:pt idx="1">
                  <c:v>1.3329848046541207E-2</c:v>
                </c:pt>
                <c:pt idx="2">
                  <c:v>1.8447557564406428E-2</c:v>
                </c:pt>
                <c:pt idx="3">
                  <c:v>0.92356804322447672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E5-4731-AC2F-3C71F375918B}"/>
            </c:ext>
          </c:extLst>
        </c:ser>
        <c:ser>
          <c:idx val="2"/>
          <c:order val="2"/>
          <c:tx>
            <c:strRef>
              <c:f>'carbon no.2'!$K$8</c:f>
              <c:strCache>
                <c:ptCount val="1"/>
                <c:pt idx="0">
                  <c:v>773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'carbon no.2'!$H$9:$H$12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'carbon no.2'!$K$9:$K$12</c:f>
              <c:numCache>
                <c:formatCode>0.00E+00</c:formatCode>
                <c:ptCount val="4"/>
                <c:pt idx="0">
                  <c:v>4.6793079876152772</c:v>
                </c:pt>
                <c:pt idx="1">
                  <c:v>5.039254755893376</c:v>
                </c:pt>
                <c:pt idx="2">
                  <c:v>6.9739686353870631</c:v>
                </c:pt>
                <c:pt idx="3">
                  <c:v>349.14836522970074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E5-4731-AC2F-3C71F375918B}"/>
            </c:ext>
          </c:extLst>
        </c:ser>
        <c:ser>
          <c:idx val="3"/>
          <c:order val="3"/>
          <c:tx>
            <c:strRef>
              <c:f>'carbon no.2'!$L$8</c:f>
              <c:strCache>
                <c:ptCount val="1"/>
                <c:pt idx="0">
                  <c:v>873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'carbon no.2'!$H$9:$H$12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'carbon no.2'!$L$9:$L$12</c:f>
              <c:numCache>
                <c:formatCode>0.00E+00</c:formatCode>
                <c:ptCount val="4"/>
                <c:pt idx="0">
                  <c:v>454.17243572947416</c:v>
                </c:pt>
                <c:pt idx="1">
                  <c:v>489.10877693943371</c:v>
                </c:pt>
                <c:pt idx="2">
                  <c:v>676.89161094287488</c:v>
                </c:pt>
                <c:pt idx="3">
                  <c:v>33888.250973656184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E5-4731-AC2F-3C71F375918B}"/>
            </c:ext>
          </c:extLst>
        </c:ser>
        <c:ser>
          <c:idx val="4"/>
          <c:order val="4"/>
          <c:tx>
            <c:strRef>
              <c:f>'carbon no.2'!$M$8</c:f>
              <c:strCache>
                <c:ptCount val="1"/>
                <c:pt idx="0">
                  <c:v>973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'carbon no.2'!$H$9:$H$12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'carbon no.2'!$M$9:$M$12</c:f>
              <c:numCache>
                <c:formatCode>0.00E+00</c:formatCode>
                <c:ptCount val="4"/>
                <c:pt idx="0">
                  <c:v>17211.722101423213</c:v>
                </c:pt>
                <c:pt idx="1">
                  <c:v>18535.700724609615</c:v>
                </c:pt>
                <c:pt idx="2">
                  <c:v>25652.085824233331</c:v>
                </c:pt>
                <c:pt idx="3">
                  <c:v>1284259.2644906493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E5-4731-AC2F-3C71F375918B}"/>
            </c:ext>
          </c:extLst>
        </c:ser>
        <c:ser>
          <c:idx val="5"/>
          <c:order val="5"/>
          <c:tx>
            <c:strRef>
              <c:f>'carbon no.2'!$N$8</c:f>
              <c:strCache>
                <c:ptCount val="1"/>
                <c:pt idx="0">
                  <c:v>1073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'carbon no.2'!$H$9:$H$12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'carbon no.2'!$N$9:$N$12</c:f>
              <c:numCache>
                <c:formatCode>0.00E+00</c:formatCode>
                <c:ptCount val="4"/>
                <c:pt idx="0">
                  <c:v>331273.55512370006</c:v>
                </c:pt>
                <c:pt idx="1">
                  <c:v>356756.13628706161</c:v>
                </c:pt>
                <c:pt idx="2">
                  <c:v>493725.01004007552</c:v>
                </c:pt>
                <c:pt idx="3">
                  <c:v>24718103.728457972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E5-4731-AC2F-3C71F3759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566544"/>
        <c:axId val="1147471024"/>
      </c:scatterChart>
      <c:valAx>
        <c:axId val="11435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471024"/>
        <c:crosses val="autoZero"/>
        <c:crossBetween val="midCat"/>
      </c:valAx>
      <c:valAx>
        <c:axId val="1147471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6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png"/><Relationship Id="rId18" Type="http://schemas.openxmlformats.org/officeDocument/2006/relationships/image" Target="../media/image13.png"/><Relationship Id="rId26" Type="http://schemas.openxmlformats.org/officeDocument/2006/relationships/image" Target="../media/image21.png"/><Relationship Id="rId3" Type="http://schemas.openxmlformats.org/officeDocument/2006/relationships/chart" Target="../charts/chart3.xml"/><Relationship Id="rId21" Type="http://schemas.openxmlformats.org/officeDocument/2006/relationships/image" Target="../media/image16.png"/><Relationship Id="rId7" Type="http://schemas.openxmlformats.org/officeDocument/2006/relationships/image" Target="../media/image2.png"/><Relationship Id="rId12" Type="http://schemas.openxmlformats.org/officeDocument/2006/relationships/image" Target="../media/image7.png"/><Relationship Id="rId17" Type="http://schemas.openxmlformats.org/officeDocument/2006/relationships/image" Target="../media/image12.png"/><Relationship Id="rId25" Type="http://schemas.openxmlformats.org/officeDocument/2006/relationships/image" Target="../media/image20.png"/><Relationship Id="rId2" Type="http://schemas.openxmlformats.org/officeDocument/2006/relationships/chart" Target="../charts/chart2.xml"/><Relationship Id="rId16" Type="http://schemas.openxmlformats.org/officeDocument/2006/relationships/image" Target="../media/image11.png"/><Relationship Id="rId20" Type="http://schemas.openxmlformats.org/officeDocument/2006/relationships/image" Target="../media/image15.png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image" Target="../media/image6.png"/><Relationship Id="rId24" Type="http://schemas.openxmlformats.org/officeDocument/2006/relationships/image" Target="../media/image19.png"/><Relationship Id="rId5" Type="http://schemas.openxmlformats.org/officeDocument/2006/relationships/chart" Target="../charts/chart5.xml"/><Relationship Id="rId15" Type="http://schemas.openxmlformats.org/officeDocument/2006/relationships/image" Target="../media/image10.png"/><Relationship Id="rId23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image" Target="../media/image14.png"/><Relationship Id="rId4" Type="http://schemas.openxmlformats.org/officeDocument/2006/relationships/chart" Target="../charts/chart4.xml"/><Relationship Id="rId9" Type="http://schemas.openxmlformats.org/officeDocument/2006/relationships/image" Target="../media/image4.png"/><Relationship Id="rId14" Type="http://schemas.openxmlformats.org/officeDocument/2006/relationships/image" Target="../media/image9.png"/><Relationship Id="rId22" Type="http://schemas.openxmlformats.org/officeDocument/2006/relationships/image" Target="../media/image17.png"/><Relationship Id="rId27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chart" Target="../charts/chart6.xml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5" Type="http://schemas.openxmlformats.org/officeDocument/2006/relationships/chart" Target="../charts/chart8.xml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image" Target="../media/image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5" Type="http://schemas.openxmlformats.org/officeDocument/2006/relationships/chart" Target="../charts/chart9.xml"/><Relationship Id="rId10" Type="http://schemas.openxmlformats.org/officeDocument/2006/relationships/chart" Target="../charts/chart10.xml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image" Target="../media/image9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chart" Target="../charts/chart18.xml"/><Relationship Id="rId3" Type="http://schemas.openxmlformats.org/officeDocument/2006/relationships/image" Target="../media/image8.png"/><Relationship Id="rId7" Type="http://schemas.openxmlformats.org/officeDocument/2006/relationships/image" Target="../media/image20.png"/><Relationship Id="rId12" Type="http://schemas.openxmlformats.org/officeDocument/2006/relationships/chart" Target="../charts/chart17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chart" Target="../charts/chart13.xml"/><Relationship Id="rId11" Type="http://schemas.openxmlformats.org/officeDocument/2006/relationships/chart" Target="../charts/chart16.xml"/><Relationship Id="rId5" Type="http://schemas.openxmlformats.org/officeDocument/2006/relationships/image" Target="../media/image9.png"/><Relationship Id="rId10" Type="http://schemas.openxmlformats.org/officeDocument/2006/relationships/chart" Target="../charts/chart15.xml"/><Relationship Id="rId4" Type="http://schemas.openxmlformats.org/officeDocument/2006/relationships/image" Target="../media/image5.png"/><Relationship Id="rId9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image" Target="../media/image17.png"/><Relationship Id="rId7" Type="http://schemas.openxmlformats.org/officeDocument/2006/relationships/image" Target="../media/image22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1.png"/><Relationship Id="rId5" Type="http://schemas.openxmlformats.org/officeDocument/2006/relationships/image" Target="../media/image19.png"/><Relationship Id="rId10" Type="http://schemas.openxmlformats.org/officeDocument/2006/relationships/chart" Target="../charts/chart21.xml"/><Relationship Id="rId4" Type="http://schemas.openxmlformats.org/officeDocument/2006/relationships/image" Target="../media/image18.png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628650</xdr:colOff>
      <xdr:row>4</xdr:row>
      <xdr:rowOff>45243</xdr:rowOff>
    </xdr:from>
    <xdr:to>
      <xdr:col>20</xdr:col>
      <xdr:colOff>607218</xdr:colOff>
      <xdr:row>16</xdr:row>
      <xdr:rowOff>9525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398A7FD-3C43-4B37-9E08-17ED9EC71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645318</xdr:colOff>
      <xdr:row>18</xdr:row>
      <xdr:rowOff>7145</xdr:rowOff>
    </xdr:from>
    <xdr:to>
      <xdr:col>21</xdr:col>
      <xdr:colOff>35718</xdr:colOff>
      <xdr:row>34</xdr:row>
      <xdr:rowOff>35719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BC48095-AB7A-41AE-953D-094362EF8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30956</xdr:colOff>
      <xdr:row>34</xdr:row>
      <xdr:rowOff>173831</xdr:rowOff>
    </xdr:from>
    <xdr:to>
      <xdr:col>21</xdr:col>
      <xdr:colOff>69056</xdr:colOff>
      <xdr:row>49</xdr:row>
      <xdr:rowOff>150019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CFD266C-AE3E-4693-9EBE-73079F7EA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640555</xdr:colOff>
      <xdr:row>51</xdr:row>
      <xdr:rowOff>11906</xdr:rowOff>
    </xdr:from>
    <xdr:to>
      <xdr:col>21</xdr:col>
      <xdr:colOff>30955</xdr:colOff>
      <xdr:row>71</xdr:row>
      <xdr:rowOff>11906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90B1105-83C2-42FE-B54E-A3C558F8A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640555</xdr:colOff>
      <xdr:row>71</xdr:row>
      <xdr:rowOff>169067</xdr:rowOff>
    </xdr:from>
    <xdr:to>
      <xdr:col>21</xdr:col>
      <xdr:colOff>30955</xdr:colOff>
      <xdr:row>87</xdr:row>
      <xdr:rowOff>7142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18AEDA9-29ED-4741-A184-9FDDBD8B0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</xdr:row>
      <xdr:rowOff>0</xdr:rowOff>
    </xdr:from>
    <xdr:to>
      <xdr:col>4</xdr:col>
      <xdr:colOff>228600</xdr:colOff>
      <xdr:row>9</xdr:row>
      <xdr:rowOff>190500</xdr:rowOff>
    </xdr:to>
    <xdr:pic>
      <xdr:nvPicPr>
        <xdr:cNvPr id="32" name="Picture 49">
          <a:extLst>
            <a:ext uri="{FF2B5EF4-FFF2-40B4-BE49-F238E27FC236}">
              <a16:creationId xmlns:a16="http://schemas.microsoft.com/office/drawing/2014/main" id="{38245C72-A842-470C-96D4-CF81849A5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3619500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4</xdr:col>
      <xdr:colOff>466725</xdr:colOff>
      <xdr:row>11</xdr:row>
      <xdr:rowOff>190500</xdr:rowOff>
    </xdr:to>
    <xdr:pic>
      <xdr:nvPicPr>
        <xdr:cNvPr id="33" name="Picture 35">
          <a:extLst>
            <a:ext uri="{FF2B5EF4-FFF2-40B4-BE49-F238E27FC236}">
              <a16:creationId xmlns:a16="http://schemas.microsoft.com/office/drawing/2014/main" id="{D1B2C18C-67F5-421B-ADEF-49808E5E7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3981450"/>
          <a:ext cx="1762125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4</xdr:col>
      <xdr:colOff>495300</xdr:colOff>
      <xdr:row>10</xdr:row>
      <xdr:rowOff>190500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00C721C-2293-425A-A89B-C45C45382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3800475"/>
          <a:ext cx="17907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4</xdr:col>
      <xdr:colOff>438150</xdr:colOff>
      <xdr:row>13</xdr:row>
      <xdr:rowOff>0</xdr:rowOff>
    </xdr:to>
    <xdr:pic>
      <xdr:nvPicPr>
        <xdr:cNvPr id="35" name="Picture 32">
          <a:extLst>
            <a:ext uri="{FF2B5EF4-FFF2-40B4-BE49-F238E27FC236}">
              <a16:creationId xmlns:a16="http://schemas.microsoft.com/office/drawing/2014/main" id="{BB800CAA-CEB9-42EF-ABB6-79AE35BB4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4162425"/>
          <a:ext cx="17335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19050</xdr:colOff>
      <xdr:row>23</xdr:row>
      <xdr:rowOff>161925</xdr:rowOff>
    </xdr:from>
    <xdr:to>
      <xdr:col>4</xdr:col>
      <xdr:colOff>533400</xdr:colOff>
      <xdr:row>24</xdr:row>
      <xdr:rowOff>161925</xdr:rowOff>
    </xdr:to>
    <xdr:pic>
      <xdr:nvPicPr>
        <xdr:cNvPr id="36" name="Picture 30">
          <a:extLst>
            <a:ext uri="{FF2B5EF4-FFF2-40B4-BE49-F238E27FC236}">
              <a16:creationId xmlns:a16="http://schemas.microsoft.com/office/drawing/2014/main" id="{DE4DDEC8-5A53-4194-ADB0-3401D9D78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450" y="7334250"/>
          <a:ext cx="18097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21</xdr:row>
      <xdr:rowOff>0</xdr:rowOff>
    </xdr:from>
    <xdr:to>
      <xdr:col>4</xdr:col>
      <xdr:colOff>333375</xdr:colOff>
      <xdr:row>22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942F08B6-5B23-4728-9827-6A58207FF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3975" y="6810375"/>
          <a:ext cx="16002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4</xdr:col>
      <xdr:colOff>228600</xdr:colOff>
      <xdr:row>22</xdr:row>
      <xdr:rowOff>190500</xdr:rowOff>
    </xdr:to>
    <xdr:pic>
      <xdr:nvPicPr>
        <xdr:cNvPr id="38" name="Picture 43">
          <a:extLst>
            <a:ext uri="{FF2B5EF4-FFF2-40B4-BE49-F238E27FC236}">
              <a16:creationId xmlns:a16="http://schemas.microsoft.com/office/drawing/2014/main" id="{289ADEF9-769A-43B2-A52F-1D6588305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6991350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38100</xdr:colOff>
      <xdr:row>22</xdr:row>
      <xdr:rowOff>180975</xdr:rowOff>
    </xdr:from>
    <xdr:to>
      <xdr:col>4</xdr:col>
      <xdr:colOff>266700</xdr:colOff>
      <xdr:row>23</xdr:row>
      <xdr:rowOff>180975</xdr:rowOff>
    </xdr:to>
    <xdr:pic>
      <xdr:nvPicPr>
        <xdr:cNvPr id="39" name="Picture 3">
          <a:extLst>
            <a:ext uri="{FF2B5EF4-FFF2-40B4-BE49-F238E27FC236}">
              <a16:creationId xmlns:a16="http://schemas.microsoft.com/office/drawing/2014/main" id="{8878E041-A933-48BD-93ED-CAF8D3543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3500" y="7172325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33338</xdr:colOff>
      <xdr:row>34</xdr:row>
      <xdr:rowOff>161926</xdr:rowOff>
    </xdr:from>
    <xdr:to>
      <xdr:col>4</xdr:col>
      <xdr:colOff>100013</xdr:colOff>
      <xdr:row>35</xdr:row>
      <xdr:rowOff>161926</xdr:rowOff>
    </xdr:to>
    <xdr:pic>
      <xdr:nvPicPr>
        <xdr:cNvPr id="40" name="Picture 27">
          <a:extLst>
            <a:ext uri="{FF2B5EF4-FFF2-40B4-BE49-F238E27FC236}">
              <a16:creationId xmlns:a16="http://schemas.microsoft.com/office/drawing/2014/main" id="{988EEDAD-7949-4D21-BEC4-97F930065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8738" y="10529889"/>
          <a:ext cx="1362075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</xdr:colOff>
      <xdr:row>30</xdr:row>
      <xdr:rowOff>180975</xdr:rowOff>
    </xdr:from>
    <xdr:to>
      <xdr:col>4</xdr:col>
      <xdr:colOff>238125</xdr:colOff>
      <xdr:row>31</xdr:row>
      <xdr:rowOff>166686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23F2E63-30C5-497C-B54A-036EC190F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9820275"/>
          <a:ext cx="1524000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28574</xdr:colOff>
      <xdr:row>32</xdr:row>
      <xdr:rowOff>176213</xdr:rowOff>
    </xdr:from>
    <xdr:to>
      <xdr:col>4</xdr:col>
      <xdr:colOff>185737</xdr:colOff>
      <xdr:row>34</xdr:row>
      <xdr:rowOff>4763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8477A844-A3F0-451E-9246-B710B6EDC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4" y="10182226"/>
          <a:ext cx="145256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</xdr:colOff>
      <xdr:row>33</xdr:row>
      <xdr:rowOff>161925</xdr:rowOff>
    </xdr:from>
    <xdr:to>
      <xdr:col>4</xdr:col>
      <xdr:colOff>533400</xdr:colOff>
      <xdr:row>34</xdr:row>
      <xdr:rowOff>161925</xdr:rowOff>
    </xdr:to>
    <xdr:pic>
      <xdr:nvPicPr>
        <xdr:cNvPr id="43" name="Picture 30">
          <a:extLst>
            <a:ext uri="{FF2B5EF4-FFF2-40B4-BE49-F238E27FC236}">
              <a16:creationId xmlns:a16="http://schemas.microsoft.com/office/drawing/2014/main" id="{77F7CF2D-F1D8-46ED-8CC7-DAD0CF164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450" y="10348913"/>
          <a:ext cx="1809750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647700</xdr:colOff>
      <xdr:row>31</xdr:row>
      <xdr:rowOff>166688</xdr:rowOff>
    </xdr:from>
    <xdr:to>
      <xdr:col>4</xdr:col>
      <xdr:colOff>209550</xdr:colOff>
      <xdr:row>32</xdr:row>
      <xdr:rowOff>176213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24B192A-694B-4E2C-BB6B-50AF6A6CA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991726"/>
          <a:ext cx="15049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41</xdr:row>
      <xdr:rowOff>166687</xdr:rowOff>
    </xdr:from>
    <xdr:to>
      <xdr:col>4</xdr:col>
      <xdr:colOff>304800</xdr:colOff>
      <xdr:row>42</xdr:row>
      <xdr:rowOff>161925</xdr:rowOff>
    </xdr:to>
    <xdr:pic>
      <xdr:nvPicPr>
        <xdr:cNvPr id="45" name="Picture 47">
          <a:extLst>
            <a:ext uri="{FF2B5EF4-FFF2-40B4-BE49-F238E27FC236}">
              <a16:creationId xmlns:a16="http://schemas.microsoft.com/office/drawing/2014/main" id="{5DC1F510-25D9-4927-89A6-22D3F0731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12954000"/>
          <a:ext cx="16002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43</xdr:row>
      <xdr:rowOff>0</xdr:rowOff>
    </xdr:from>
    <xdr:to>
      <xdr:col>4</xdr:col>
      <xdr:colOff>228600</xdr:colOff>
      <xdr:row>43</xdr:row>
      <xdr:rowOff>190500</xdr:rowOff>
    </xdr:to>
    <xdr:pic>
      <xdr:nvPicPr>
        <xdr:cNvPr id="46" name="Picture 42">
          <a:extLst>
            <a:ext uri="{FF2B5EF4-FFF2-40B4-BE49-F238E27FC236}">
              <a16:creationId xmlns:a16="http://schemas.microsoft.com/office/drawing/2014/main" id="{69AAC7DE-DEAB-4899-9A1B-690D5A03D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13154025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42863</xdr:colOff>
      <xdr:row>43</xdr:row>
      <xdr:rowOff>180974</xdr:rowOff>
    </xdr:from>
    <xdr:to>
      <xdr:col>4</xdr:col>
      <xdr:colOff>271463</xdr:colOff>
      <xdr:row>44</xdr:row>
      <xdr:rowOff>180974</xdr:rowOff>
    </xdr:to>
    <xdr:pic>
      <xdr:nvPicPr>
        <xdr:cNvPr id="47" name="Picture 3">
          <a:extLst>
            <a:ext uri="{FF2B5EF4-FFF2-40B4-BE49-F238E27FC236}">
              <a16:creationId xmlns:a16="http://schemas.microsoft.com/office/drawing/2014/main" id="{6D7D042B-A96C-4D45-8FC8-EB744A0B6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8263" y="13334999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19050</xdr:colOff>
      <xdr:row>44</xdr:row>
      <xdr:rowOff>161925</xdr:rowOff>
    </xdr:from>
    <xdr:to>
      <xdr:col>4</xdr:col>
      <xdr:colOff>533400</xdr:colOff>
      <xdr:row>45</xdr:row>
      <xdr:rowOff>161925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37D97E4-7E2C-4FCE-913C-8FACA393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450" y="13496925"/>
          <a:ext cx="18097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62</xdr:row>
      <xdr:rowOff>176213</xdr:rowOff>
    </xdr:from>
    <xdr:to>
      <xdr:col>4</xdr:col>
      <xdr:colOff>600075</xdr:colOff>
      <xdr:row>63</xdr:row>
      <xdr:rowOff>171451</xdr:rowOff>
    </xdr:to>
    <xdr:pic>
      <xdr:nvPicPr>
        <xdr:cNvPr id="49" name="Picture 46">
          <a:extLst>
            <a:ext uri="{FF2B5EF4-FFF2-40B4-BE49-F238E27FC236}">
              <a16:creationId xmlns:a16="http://schemas.microsoft.com/office/drawing/2014/main" id="{F5B7A288-31A3-4477-93BC-F3C6A7E00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3975" y="18426113"/>
          <a:ext cx="1866900" cy="180976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64</xdr:row>
      <xdr:rowOff>0</xdr:rowOff>
    </xdr:from>
    <xdr:to>
      <xdr:col>4</xdr:col>
      <xdr:colOff>247650</xdr:colOff>
      <xdr:row>64</xdr:row>
      <xdr:rowOff>190500</xdr:rowOff>
    </xdr:to>
    <xdr:pic>
      <xdr:nvPicPr>
        <xdr:cNvPr id="50" name="Picture 41">
          <a:extLst>
            <a:ext uri="{FF2B5EF4-FFF2-40B4-BE49-F238E27FC236}">
              <a16:creationId xmlns:a16="http://schemas.microsoft.com/office/drawing/2014/main" id="{EDD6D7DD-F0E5-48C1-BB5D-D1A8FDC3B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18616613"/>
          <a:ext cx="15430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67</xdr:row>
      <xdr:rowOff>0</xdr:rowOff>
    </xdr:from>
    <xdr:to>
      <xdr:col>4</xdr:col>
      <xdr:colOff>66675</xdr:colOff>
      <xdr:row>67</xdr:row>
      <xdr:rowOff>190500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8526FBD-91F0-426C-819F-895704AC7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19159538"/>
          <a:ext cx="1362075" cy="185738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64</xdr:row>
      <xdr:rowOff>166688</xdr:rowOff>
    </xdr:from>
    <xdr:to>
      <xdr:col>4</xdr:col>
      <xdr:colOff>33338</xdr:colOff>
      <xdr:row>65</xdr:row>
      <xdr:rowOff>157163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3BE3B4B1-3C7E-4F8B-B3A1-1C3A9AE3C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8783301"/>
          <a:ext cx="1328738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</xdr:colOff>
      <xdr:row>65</xdr:row>
      <xdr:rowOff>166688</xdr:rowOff>
    </xdr:from>
    <xdr:to>
      <xdr:col>4</xdr:col>
      <xdr:colOff>90488</xdr:colOff>
      <xdr:row>66</xdr:row>
      <xdr:rowOff>176213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6B685962-AD85-4141-BF60-46F291F5F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8964276"/>
          <a:ext cx="135731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85726</xdr:colOff>
      <xdr:row>50</xdr:row>
      <xdr:rowOff>180975</xdr:rowOff>
    </xdr:from>
    <xdr:to>
      <xdr:col>4</xdr:col>
      <xdr:colOff>233364</xdr:colOff>
      <xdr:row>51</xdr:row>
      <xdr:rowOff>180974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106F5E19-653C-4DC6-ADBD-5DA680DBC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14797088"/>
          <a:ext cx="1443038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133349</xdr:colOff>
      <xdr:row>55</xdr:row>
      <xdr:rowOff>4763</xdr:rowOff>
    </xdr:from>
    <xdr:to>
      <xdr:col>4</xdr:col>
      <xdr:colOff>566737</xdr:colOff>
      <xdr:row>56</xdr:row>
      <xdr:rowOff>4763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94B308D-5133-478D-A4C1-0B5FABBD2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49" y="15892463"/>
          <a:ext cx="1728788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55</xdr:row>
      <xdr:rowOff>166689</xdr:rowOff>
    </xdr:from>
    <xdr:to>
      <xdr:col>4</xdr:col>
      <xdr:colOff>114300</xdr:colOff>
      <xdr:row>56</xdr:row>
      <xdr:rowOff>161370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0FF9387-38D2-4835-9C39-43304A097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16054389"/>
          <a:ext cx="1352550" cy="175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33338</xdr:colOff>
      <xdr:row>12</xdr:row>
      <xdr:rowOff>161926</xdr:rowOff>
    </xdr:from>
    <xdr:to>
      <xdr:col>4</xdr:col>
      <xdr:colOff>100013</xdr:colOff>
      <xdr:row>13</xdr:row>
      <xdr:rowOff>161926</xdr:rowOff>
    </xdr:to>
    <xdr:pic>
      <xdr:nvPicPr>
        <xdr:cNvPr id="57" name="Picture 27">
          <a:extLst>
            <a:ext uri="{FF2B5EF4-FFF2-40B4-BE49-F238E27FC236}">
              <a16:creationId xmlns:a16="http://schemas.microsoft.com/office/drawing/2014/main" id="{3A534332-46A2-41AD-859B-BC18CEC30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8738" y="4324351"/>
          <a:ext cx="1362075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33338</xdr:colOff>
      <xdr:row>45</xdr:row>
      <xdr:rowOff>161926</xdr:rowOff>
    </xdr:from>
    <xdr:to>
      <xdr:col>4</xdr:col>
      <xdr:colOff>100013</xdr:colOff>
      <xdr:row>46</xdr:row>
      <xdr:rowOff>161926</xdr:rowOff>
    </xdr:to>
    <xdr:pic>
      <xdr:nvPicPr>
        <xdr:cNvPr id="59" name="Picture 27">
          <a:extLst>
            <a:ext uri="{FF2B5EF4-FFF2-40B4-BE49-F238E27FC236}">
              <a16:creationId xmlns:a16="http://schemas.microsoft.com/office/drawing/2014/main" id="{1EC2261F-24E6-4F7D-B93D-3C5D3636C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8738" y="13677901"/>
          <a:ext cx="1362075" cy="1809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6</xdr:row>
      <xdr:rowOff>19050</xdr:rowOff>
    </xdr:from>
    <xdr:to>
      <xdr:col>4</xdr:col>
      <xdr:colOff>195262</xdr:colOff>
      <xdr:row>7</xdr:row>
      <xdr:rowOff>0</xdr:rowOff>
    </xdr:to>
    <xdr:pic>
      <xdr:nvPicPr>
        <xdr:cNvPr id="2" name="Picture 51">
          <a:extLst>
            <a:ext uri="{FF2B5EF4-FFF2-40B4-BE49-F238E27FC236}">
              <a16:creationId xmlns:a16="http://schemas.microsoft.com/office/drawing/2014/main" id="{9201B05B-E836-4368-8F06-A14832995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9212" y="1538288"/>
          <a:ext cx="1466850" cy="1619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4</xdr:col>
      <xdr:colOff>133350</xdr:colOff>
      <xdr:row>7</xdr:row>
      <xdr:rowOff>190500</xdr:rowOff>
    </xdr:to>
    <xdr:pic>
      <xdr:nvPicPr>
        <xdr:cNvPr id="3" name="Picture 50">
          <a:extLst>
            <a:ext uri="{FF2B5EF4-FFF2-40B4-BE49-F238E27FC236}">
              <a16:creationId xmlns:a16="http://schemas.microsoft.com/office/drawing/2014/main" id="{BBF862B4-A0D3-4B68-A7F1-2B8CA19F8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1700213"/>
          <a:ext cx="14287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4</xdr:col>
      <xdr:colOff>133350</xdr:colOff>
      <xdr:row>8</xdr:row>
      <xdr:rowOff>190500</xdr:rowOff>
    </xdr:to>
    <xdr:pic>
      <xdr:nvPicPr>
        <xdr:cNvPr id="4" name="Picture 39">
          <a:extLst>
            <a:ext uri="{FF2B5EF4-FFF2-40B4-BE49-F238E27FC236}">
              <a16:creationId xmlns:a16="http://schemas.microsoft.com/office/drawing/2014/main" id="{5BF60158-A626-47B6-90B9-1ED0260C9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1881188"/>
          <a:ext cx="14287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4</xdr:col>
      <xdr:colOff>133350</xdr:colOff>
      <xdr:row>9</xdr:row>
      <xdr:rowOff>190500</xdr:rowOff>
    </xdr:to>
    <xdr:pic>
      <xdr:nvPicPr>
        <xdr:cNvPr id="5" name="Picture 38">
          <a:extLst>
            <a:ext uri="{FF2B5EF4-FFF2-40B4-BE49-F238E27FC236}">
              <a16:creationId xmlns:a16="http://schemas.microsoft.com/office/drawing/2014/main" id="{5402AA0B-BD8B-45BA-8583-955CCB541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2062163"/>
          <a:ext cx="14287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4</xdr:col>
      <xdr:colOff>133350</xdr:colOff>
      <xdr:row>10</xdr:row>
      <xdr:rowOff>190500</xdr:rowOff>
    </xdr:to>
    <xdr:pic>
      <xdr:nvPicPr>
        <xdr:cNvPr id="6" name="Picture 37">
          <a:extLst>
            <a:ext uri="{FF2B5EF4-FFF2-40B4-BE49-F238E27FC236}">
              <a16:creationId xmlns:a16="http://schemas.microsoft.com/office/drawing/2014/main" id="{16C59718-3B0D-4E18-8813-F5B6EB689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2243138"/>
          <a:ext cx="14287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4</xdr:col>
      <xdr:colOff>133350</xdr:colOff>
      <xdr:row>11</xdr:row>
      <xdr:rowOff>190500</xdr:rowOff>
    </xdr:to>
    <xdr:pic>
      <xdr:nvPicPr>
        <xdr:cNvPr id="7" name="Picture 36">
          <a:extLst>
            <a:ext uri="{FF2B5EF4-FFF2-40B4-BE49-F238E27FC236}">
              <a16:creationId xmlns:a16="http://schemas.microsoft.com/office/drawing/2014/main" id="{B4C21955-8C70-4598-B65F-A081A6B71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2424113"/>
          <a:ext cx="14287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</xdr:rowOff>
    </xdr:from>
    <xdr:to>
      <xdr:col>4</xdr:col>
      <xdr:colOff>409575</xdr:colOff>
      <xdr:row>12</xdr:row>
      <xdr:rowOff>149285</xdr:rowOff>
    </xdr:to>
    <xdr:pic>
      <xdr:nvPicPr>
        <xdr:cNvPr id="8" name="Picture 29">
          <a:extLst>
            <a:ext uri="{FF2B5EF4-FFF2-40B4-BE49-F238E27FC236}">
              <a16:creationId xmlns:a16="http://schemas.microsoft.com/office/drawing/2014/main" id="{744103C5-2F8E-47B4-801A-F3CAD1EAB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2605089"/>
          <a:ext cx="1704975" cy="149284"/>
        </a:xfrm>
        <a:prstGeom prst="rect">
          <a:avLst/>
        </a:prstGeom>
        <a:noFill/>
      </xdr:spPr>
    </xdr:pic>
    <xdr:clientData/>
  </xdr:twoCellAnchor>
  <xdr:twoCellAnchor>
    <xdr:from>
      <xdr:col>2</xdr:col>
      <xdr:colOff>1</xdr:colOff>
      <xdr:row>13</xdr:row>
      <xdr:rowOff>1</xdr:rowOff>
    </xdr:from>
    <xdr:to>
      <xdr:col>4</xdr:col>
      <xdr:colOff>566739</xdr:colOff>
      <xdr:row>13</xdr:row>
      <xdr:rowOff>163045</xdr:rowOff>
    </xdr:to>
    <xdr:pic>
      <xdr:nvPicPr>
        <xdr:cNvPr id="9" name="Picture 28">
          <a:extLst>
            <a:ext uri="{FF2B5EF4-FFF2-40B4-BE49-F238E27FC236}">
              <a16:creationId xmlns:a16="http://schemas.microsoft.com/office/drawing/2014/main" id="{B28674B8-6BDB-4ECD-9062-F0BD497D0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1" y="2786064"/>
          <a:ext cx="1862138" cy="163044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3</xdr:col>
      <xdr:colOff>600075</xdr:colOff>
      <xdr:row>14</xdr:row>
      <xdr:rowOff>190500</xdr:rowOff>
    </xdr:to>
    <xdr:pic>
      <xdr:nvPicPr>
        <xdr:cNvPr id="10" name="Picture 26">
          <a:extLst>
            <a:ext uri="{FF2B5EF4-FFF2-40B4-BE49-F238E27FC236}">
              <a16:creationId xmlns:a16="http://schemas.microsoft.com/office/drawing/2014/main" id="{838C7FD7-2ABD-42AA-91C9-A13D35354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2967038"/>
          <a:ext cx="1247775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4</xdr:col>
      <xdr:colOff>9525</xdr:colOff>
      <xdr:row>15</xdr:row>
      <xdr:rowOff>190500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6E82EE5-406B-41E7-939B-A94C26258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3148013"/>
          <a:ext cx="1304925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16</xdr:row>
      <xdr:rowOff>0</xdr:rowOff>
    </xdr:from>
    <xdr:to>
      <xdr:col>3</xdr:col>
      <xdr:colOff>600075</xdr:colOff>
      <xdr:row>16</xdr:row>
      <xdr:rowOff>190500</xdr:rowOff>
    </xdr:to>
    <xdr:pic>
      <xdr:nvPicPr>
        <xdr:cNvPr id="12" name="Picture 18">
          <a:extLst>
            <a:ext uri="{FF2B5EF4-FFF2-40B4-BE49-F238E27FC236}">
              <a16:creationId xmlns:a16="http://schemas.microsoft.com/office/drawing/2014/main" id="{601BECD5-92C2-4BA1-9689-3B0A1E17C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3328988"/>
          <a:ext cx="1247775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0</xdr:rowOff>
    </xdr:from>
    <xdr:to>
      <xdr:col>3</xdr:col>
      <xdr:colOff>600075</xdr:colOff>
      <xdr:row>17</xdr:row>
      <xdr:rowOff>190500</xdr:rowOff>
    </xdr:to>
    <xdr:pic>
      <xdr:nvPicPr>
        <xdr:cNvPr id="13" name="Picture 17">
          <a:extLst>
            <a:ext uri="{FF2B5EF4-FFF2-40B4-BE49-F238E27FC236}">
              <a16:creationId xmlns:a16="http://schemas.microsoft.com/office/drawing/2014/main" id="{B6024C94-59E5-468B-A660-B78364AD0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3509963"/>
          <a:ext cx="1247775" cy="185738"/>
        </a:xfrm>
        <a:prstGeom prst="rect">
          <a:avLst/>
        </a:prstGeom>
        <a:noFill/>
      </xdr:spPr>
    </xdr:pic>
    <xdr:clientData/>
  </xdr:twoCellAnchor>
  <xdr:twoCellAnchor>
    <xdr:from>
      <xdr:col>12</xdr:col>
      <xdr:colOff>173830</xdr:colOff>
      <xdr:row>18</xdr:row>
      <xdr:rowOff>169068</xdr:rowOff>
    </xdr:from>
    <xdr:to>
      <xdr:col>19</xdr:col>
      <xdr:colOff>211930</xdr:colOff>
      <xdr:row>19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19DBD70-ECBA-4E81-A57C-ED063B2F3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502443</xdr:colOff>
      <xdr:row>5</xdr:row>
      <xdr:rowOff>59530</xdr:rowOff>
    </xdr:from>
    <xdr:to>
      <xdr:col>24</xdr:col>
      <xdr:colOff>540543</xdr:colOff>
      <xdr:row>18</xdr:row>
      <xdr:rowOff>26193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D4DB2A6-2AE0-4B13-8547-D211B254A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402431</xdr:colOff>
      <xdr:row>38</xdr:row>
      <xdr:rowOff>116681</xdr:rowOff>
    </xdr:from>
    <xdr:to>
      <xdr:col>21</xdr:col>
      <xdr:colOff>440531</xdr:colOff>
      <xdr:row>53</xdr:row>
      <xdr:rowOff>145256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F951C6-FFFD-403F-A241-5EB03EE87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10</xdr:row>
      <xdr:rowOff>161925</xdr:rowOff>
    </xdr:from>
    <xdr:to>
      <xdr:col>4</xdr:col>
      <xdr:colOff>533400</xdr:colOff>
      <xdr:row>11</xdr:row>
      <xdr:rowOff>161925</xdr:rowOff>
    </xdr:to>
    <xdr:pic>
      <xdr:nvPicPr>
        <xdr:cNvPr id="2" name="Picture 30">
          <a:extLst>
            <a:ext uri="{FF2B5EF4-FFF2-40B4-BE49-F238E27FC236}">
              <a16:creationId xmlns:a16="http://schemas.microsoft.com/office/drawing/2014/main" id="{521FD807-3E63-4737-876A-76841CD9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450" y="4900613"/>
          <a:ext cx="18097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8</xdr:row>
      <xdr:rowOff>0</xdr:rowOff>
    </xdr:from>
    <xdr:to>
      <xdr:col>4</xdr:col>
      <xdr:colOff>333375</xdr:colOff>
      <xdr:row>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D0D2C-CE1A-4E18-8B28-9ACA1A7EC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3975" y="4376738"/>
          <a:ext cx="16002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4</xdr:col>
      <xdr:colOff>228600</xdr:colOff>
      <xdr:row>9</xdr:row>
      <xdr:rowOff>190500</xdr:rowOff>
    </xdr:to>
    <xdr:pic>
      <xdr:nvPicPr>
        <xdr:cNvPr id="4" name="Picture 43">
          <a:extLst>
            <a:ext uri="{FF2B5EF4-FFF2-40B4-BE49-F238E27FC236}">
              <a16:creationId xmlns:a16="http://schemas.microsoft.com/office/drawing/2014/main" id="{F9C29CE5-1C6A-4180-9A40-9FA0D78F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4557713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38100</xdr:colOff>
      <xdr:row>9</xdr:row>
      <xdr:rowOff>180975</xdr:rowOff>
    </xdr:from>
    <xdr:to>
      <xdr:col>4</xdr:col>
      <xdr:colOff>266700</xdr:colOff>
      <xdr:row>10</xdr:row>
      <xdr:rowOff>180975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96BE1273-4289-482B-8736-D2D892B9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3500" y="4738688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383380</xdr:colOff>
      <xdr:row>2</xdr:row>
      <xdr:rowOff>2381</xdr:rowOff>
    </xdr:from>
    <xdr:to>
      <xdr:col>21</xdr:col>
      <xdr:colOff>421480</xdr:colOff>
      <xdr:row>16</xdr:row>
      <xdr:rowOff>140493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041802-E053-4AB6-9D73-08F039DE6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33338</xdr:colOff>
      <xdr:row>11</xdr:row>
      <xdr:rowOff>161926</xdr:rowOff>
    </xdr:from>
    <xdr:to>
      <xdr:col>4</xdr:col>
      <xdr:colOff>100013</xdr:colOff>
      <xdr:row>12</xdr:row>
      <xdr:rowOff>161926</xdr:rowOff>
    </xdr:to>
    <xdr:pic>
      <xdr:nvPicPr>
        <xdr:cNvPr id="7" name="Picture 27">
          <a:extLst>
            <a:ext uri="{FF2B5EF4-FFF2-40B4-BE49-F238E27FC236}">
              <a16:creationId xmlns:a16="http://schemas.microsoft.com/office/drawing/2014/main" id="{69BEB592-E2D6-4BD9-9D71-8DC952A7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8738" y="2805114"/>
          <a:ext cx="1362075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33338</xdr:colOff>
      <xdr:row>27</xdr:row>
      <xdr:rowOff>161926</xdr:rowOff>
    </xdr:from>
    <xdr:to>
      <xdr:col>4</xdr:col>
      <xdr:colOff>100013</xdr:colOff>
      <xdr:row>28</xdr:row>
      <xdr:rowOff>161926</xdr:rowOff>
    </xdr:to>
    <xdr:pic>
      <xdr:nvPicPr>
        <xdr:cNvPr id="8" name="Picture 27">
          <a:extLst>
            <a:ext uri="{FF2B5EF4-FFF2-40B4-BE49-F238E27FC236}">
              <a16:creationId xmlns:a16="http://schemas.microsoft.com/office/drawing/2014/main" id="{9A8B9EAC-B49E-41EF-9B8C-4C8BF4AA7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8738" y="6996114"/>
          <a:ext cx="1362075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9525</xdr:colOff>
      <xdr:row>23</xdr:row>
      <xdr:rowOff>180975</xdr:rowOff>
    </xdr:from>
    <xdr:to>
      <xdr:col>4</xdr:col>
      <xdr:colOff>238125</xdr:colOff>
      <xdr:row>24</xdr:row>
      <xdr:rowOff>166686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40AA52-3BAB-4675-93A5-7FE11D0B9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6286500"/>
          <a:ext cx="1524000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28574</xdr:colOff>
      <xdr:row>25</xdr:row>
      <xdr:rowOff>176213</xdr:rowOff>
    </xdr:from>
    <xdr:to>
      <xdr:col>4</xdr:col>
      <xdr:colOff>185737</xdr:colOff>
      <xdr:row>27</xdr:row>
      <xdr:rowOff>4763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5A6E37-0BF2-4638-87F7-C078E2F0B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4" y="6648451"/>
          <a:ext cx="145256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</xdr:colOff>
      <xdr:row>26</xdr:row>
      <xdr:rowOff>161925</xdr:rowOff>
    </xdr:from>
    <xdr:to>
      <xdr:col>4</xdr:col>
      <xdr:colOff>533400</xdr:colOff>
      <xdr:row>27</xdr:row>
      <xdr:rowOff>161925</xdr:rowOff>
    </xdr:to>
    <xdr:pic>
      <xdr:nvPicPr>
        <xdr:cNvPr id="11" name="Picture 30">
          <a:extLst>
            <a:ext uri="{FF2B5EF4-FFF2-40B4-BE49-F238E27FC236}">
              <a16:creationId xmlns:a16="http://schemas.microsoft.com/office/drawing/2014/main" id="{97119157-6A19-47F2-ACCA-A41117B5F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450" y="6815138"/>
          <a:ext cx="1809750" cy="1809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647700</xdr:colOff>
      <xdr:row>24</xdr:row>
      <xdr:rowOff>166688</xdr:rowOff>
    </xdr:from>
    <xdr:to>
      <xdr:col>4</xdr:col>
      <xdr:colOff>209550</xdr:colOff>
      <xdr:row>25</xdr:row>
      <xdr:rowOff>176213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4549F98-8A29-4606-9E45-BC7D38920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457951"/>
          <a:ext cx="15049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411956</xdr:colOff>
      <xdr:row>20</xdr:row>
      <xdr:rowOff>111918</xdr:rowOff>
    </xdr:from>
    <xdr:to>
      <xdr:col>21</xdr:col>
      <xdr:colOff>450056</xdr:colOff>
      <xdr:row>35</xdr:row>
      <xdr:rowOff>64293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0DF60D-5438-4C7B-8DE8-2DC26A360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4</xdr:col>
      <xdr:colOff>228600</xdr:colOff>
      <xdr:row>8</xdr:row>
      <xdr:rowOff>190500</xdr:rowOff>
    </xdr:to>
    <xdr:pic>
      <xdr:nvPicPr>
        <xdr:cNvPr id="2" name="Picture 49">
          <a:extLst>
            <a:ext uri="{FF2B5EF4-FFF2-40B4-BE49-F238E27FC236}">
              <a16:creationId xmlns:a16="http://schemas.microsoft.com/office/drawing/2014/main" id="{B43692A2-5FA4-4577-B1E0-EE8D289B7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2100263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4</xdr:col>
      <xdr:colOff>466725</xdr:colOff>
      <xdr:row>10</xdr:row>
      <xdr:rowOff>190500</xdr:rowOff>
    </xdr:to>
    <xdr:pic>
      <xdr:nvPicPr>
        <xdr:cNvPr id="3" name="Picture 35">
          <a:extLst>
            <a:ext uri="{FF2B5EF4-FFF2-40B4-BE49-F238E27FC236}">
              <a16:creationId xmlns:a16="http://schemas.microsoft.com/office/drawing/2014/main" id="{AECBC968-E5A3-4F8D-A02A-75191A84F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2462213"/>
          <a:ext cx="1762125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4</xdr:col>
      <xdr:colOff>495300</xdr:colOff>
      <xdr:row>9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2E5D4F-59D9-4323-965D-8D9ED1696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2281238"/>
          <a:ext cx="17907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4</xdr:col>
      <xdr:colOff>438150</xdr:colOff>
      <xdr:row>12</xdr:row>
      <xdr:rowOff>0</xdr:rowOff>
    </xdr:to>
    <xdr:pic>
      <xdr:nvPicPr>
        <xdr:cNvPr id="5" name="Picture 32">
          <a:extLst>
            <a:ext uri="{FF2B5EF4-FFF2-40B4-BE49-F238E27FC236}">
              <a16:creationId xmlns:a16="http://schemas.microsoft.com/office/drawing/2014/main" id="{7E341097-4944-4AF4-832D-1BAC266A9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2643188"/>
          <a:ext cx="17335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33338</xdr:colOff>
      <xdr:row>11</xdr:row>
      <xdr:rowOff>161926</xdr:rowOff>
    </xdr:from>
    <xdr:to>
      <xdr:col>4</xdr:col>
      <xdr:colOff>100013</xdr:colOff>
      <xdr:row>12</xdr:row>
      <xdr:rowOff>161926</xdr:rowOff>
    </xdr:to>
    <xdr:pic>
      <xdr:nvPicPr>
        <xdr:cNvPr id="6" name="Picture 27">
          <a:extLst>
            <a:ext uri="{FF2B5EF4-FFF2-40B4-BE49-F238E27FC236}">
              <a16:creationId xmlns:a16="http://schemas.microsoft.com/office/drawing/2014/main" id="{1747033A-2A66-49CC-9B29-C546FA2DE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8738" y="2805114"/>
          <a:ext cx="1362075" cy="180975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354805</xdr:colOff>
      <xdr:row>5</xdr:row>
      <xdr:rowOff>16668</xdr:rowOff>
    </xdr:from>
    <xdr:to>
      <xdr:col>21</xdr:col>
      <xdr:colOff>392905</xdr:colOff>
      <xdr:row>17</xdr:row>
      <xdr:rowOff>159543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69CB2E-1B35-4845-BAAB-35892D6B7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531018</xdr:colOff>
      <xdr:row>19</xdr:row>
      <xdr:rowOff>26193</xdr:rowOff>
    </xdr:from>
    <xdr:to>
      <xdr:col>21</xdr:col>
      <xdr:colOff>569118</xdr:colOff>
      <xdr:row>34</xdr:row>
      <xdr:rowOff>54768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81A716-217D-41DF-9515-C628540FA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166687</xdr:rowOff>
    </xdr:from>
    <xdr:to>
      <xdr:col>4</xdr:col>
      <xdr:colOff>304800</xdr:colOff>
      <xdr:row>5</xdr:row>
      <xdr:rowOff>161925</xdr:rowOff>
    </xdr:to>
    <xdr:pic>
      <xdr:nvPicPr>
        <xdr:cNvPr id="2" name="Picture 47">
          <a:extLst>
            <a:ext uri="{FF2B5EF4-FFF2-40B4-BE49-F238E27FC236}">
              <a16:creationId xmlns:a16="http://schemas.microsoft.com/office/drawing/2014/main" id="{09EC356F-C9F1-4CB3-940C-20D517845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8320087"/>
          <a:ext cx="1600200" cy="180976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4</xdr:col>
      <xdr:colOff>228600</xdr:colOff>
      <xdr:row>6</xdr:row>
      <xdr:rowOff>190500</xdr:rowOff>
    </xdr:to>
    <xdr:pic>
      <xdr:nvPicPr>
        <xdr:cNvPr id="3" name="Picture 42">
          <a:extLst>
            <a:ext uri="{FF2B5EF4-FFF2-40B4-BE49-F238E27FC236}">
              <a16:creationId xmlns:a16="http://schemas.microsoft.com/office/drawing/2014/main" id="{188945BA-56A8-4949-939B-3B9D0AA7A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8520113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42863</xdr:colOff>
      <xdr:row>6</xdr:row>
      <xdr:rowOff>180974</xdr:rowOff>
    </xdr:from>
    <xdr:to>
      <xdr:col>4</xdr:col>
      <xdr:colOff>271463</xdr:colOff>
      <xdr:row>7</xdr:row>
      <xdr:rowOff>180974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A65517-66DB-4D72-BC5C-34E4C004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38263" y="8701087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19050</xdr:colOff>
      <xdr:row>7</xdr:row>
      <xdr:rowOff>161925</xdr:rowOff>
    </xdr:from>
    <xdr:to>
      <xdr:col>4</xdr:col>
      <xdr:colOff>533400</xdr:colOff>
      <xdr:row>8</xdr:row>
      <xdr:rowOff>161925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66F9C9-B37D-45B3-AA77-DCC6B2430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4450" y="8863013"/>
          <a:ext cx="18097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33338</xdr:colOff>
      <xdr:row>8</xdr:row>
      <xdr:rowOff>161926</xdr:rowOff>
    </xdr:from>
    <xdr:to>
      <xdr:col>4</xdr:col>
      <xdr:colOff>100013</xdr:colOff>
      <xdr:row>9</xdr:row>
      <xdr:rowOff>161926</xdr:rowOff>
    </xdr:to>
    <xdr:pic>
      <xdr:nvPicPr>
        <xdr:cNvPr id="6" name="Picture 27">
          <a:extLst>
            <a:ext uri="{FF2B5EF4-FFF2-40B4-BE49-F238E27FC236}">
              <a16:creationId xmlns:a16="http://schemas.microsoft.com/office/drawing/2014/main" id="{49C13AD5-64AA-4B29-98F0-C58A5EF020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8738" y="9043989"/>
          <a:ext cx="1362075" cy="180975"/>
        </a:xfrm>
        <a:prstGeom prst="rect">
          <a:avLst/>
        </a:prstGeom>
        <a:noFill/>
      </xdr:spPr>
    </xdr:pic>
    <xdr:clientData/>
  </xdr:twoCellAnchor>
  <xdr:twoCellAnchor>
    <xdr:from>
      <xdr:col>14</xdr:col>
      <xdr:colOff>407193</xdr:colOff>
      <xdr:row>2</xdr:row>
      <xdr:rowOff>92868</xdr:rowOff>
    </xdr:from>
    <xdr:to>
      <xdr:col>21</xdr:col>
      <xdr:colOff>445293</xdr:colOff>
      <xdr:row>17</xdr:row>
      <xdr:rowOff>92868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C5F476-903B-46AB-8D31-25411B2A6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85726</xdr:colOff>
      <xdr:row>49</xdr:row>
      <xdr:rowOff>180975</xdr:rowOff>
    </xdr:from>
    <xdr:to>
      <xdr:col>4</xdr:col>
      <xdr:colOff>233364</xdr:colOff>
      <xdr:row>50</xdr:row>
      <xdr:rowOff>180974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3A008E5-2071-4409-BB7F-F73F2980E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6" y="9972675"/>
          <a:ext cx="1443038" cy="18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51</xdr:row>
      <xdr:rowOff>0</xdr:rowOff>
    </xdr:from>
    <xdr:to>
      <xdr:col>4</xdr:col>
      <xdr:colOff>228600</xdr:colOff>
      <xdr:row>51</xdr:row>
      <xdr:rowOff>190500</xdr:rowOff>
    </xdr:to>
    <xdr:pic>
      <xdr:nvPicPr>
        <xdr:cNvPr id="9" name="Picture 42">
          <a:extLst>
            <a:ext uri="{FF2B5EF4-FFF2-40B4-BE49-F238E27FC236}">
              <a16:creationId xmlns:a16="http://schemas.microsoft.com/office/drawing/2014/main" id="{A09DFF2A-1A51-467E-8128-39A2D463B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8520113"/>
          <a:ext cx="152400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28574</xdr:colOff>
      <xdr:row>51</xdr:row>
      <xdr:rowOff>176213</xdr:rowOff>
    </xdr:from>
    <xdr:to>
      <xdr:col>4</xdr:col>
      <xdr:colOff>185737</xdr:colOff>
      <xdr:row>53</xdr:row>
      <xdr:rowOff>4763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3FA0E2E-533F-44B9-96C5-769952067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4" y="4881563"/>
          <a:ext cx="145256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407192</xdr:colOff>
      <xdr:row>49</xdr:row>
      <xdr:rowOff>183355</xdr:rowOff>
    </xdr:from>
    <xdr:to>
      <xdr:col>21</xdr:col>
      <xdr:colOff>445292</xdr:colOff>
      <xdr:row>67</xdr:row>
      <xdr:rowOff>16667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6FD024-6EC4-4B61-AF5B-F74854A98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435769</xdr:colOff>
      <xdr:row>18</xdr:row>
      <xdr:rowOff>26193</xdr:rowOff>
    </xdr:from>
    <xdr:to>
      <xdr:col>21</xdr:col>
      <xdr:colOff>473869</xdr:colOff>
      <xdr:row>33</xdr:row>
      <xdr:rowOff>54768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017B3B-E6FC-4637-B1E7-D0C8A6648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383380</xdr:colOff>
      <xdr:row>34</xdr:row>
      <xdr:rowOff>21431</xdr:rowOff>
    </xdr:from>
    <xdr:to>
      <xdr:col>21</xdr:col>
      <xdr:colOff>421480</xdr:colOff>
      <xdr:row>49</xdr:row>
      <xdr:rowOff>40481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79E2E92-00D8-4EB6-8644-AB7866DF7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21431</xdr:colOff>
      <xdr:row>68</xdr:row>
      <xdr:rowOff>26192</xdr:rowOff>
    </xdr:from>
    <xdr:to>
      <xdr:col>22</xdr:col>
      <xdr:colOff>59531</xdr:colOff>
      <xdr:row>83</xdr:row>
      <xdr:rowOff>54767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F13D8C-CBA5-4833-A0BC-F12E6E69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435769</xdr:colOff>
      <xdr:row>68</xdr:row>
      <xdr:rowOff>16668</xdr:rowOff>
    </xdr:from>
    <xdr:to>
      <xdr:col>14</xdr:col>
      <xdr:colOff>473869</xdr:colOff>
      <xdr:row>83</xdr:row>
      <xdr:rowOff>45243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41DAA3D-3080-436B-A0E6-07849427F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176213</xdr:rowOff>
    </xdr:from>
    <xdr:to>
      <xdr:col>4</xdr:col>
      <xdr:colOff>600075</xdr:colOff>
      <xdr:row>2</xdr:row>
      <xdr:rowOff>171451</xdr:rowOff>
    </xdr:to>
    <xdr:pic>
      <xdr:nvPicPr>
        <xdr:cNvPr id="2" name="Picture 46">
          <a:extLst>
            <a:ext uri="{FF2B5EF4-FFF2-40B4-BE49-F238E27FC236}">
              <a16:creationId xmlns:a16="http://schemas.microsoft.com/office/drawing/2014/main" id="{3680FA6B-F1FC-442E-A8EA-443F41347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23975" y="12139613"/>
          <a:ext cx="1866900" cy="180976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4</xdr:col>
      <xdr:colOff>247650</xdr:colOff>
      <xdr:row>3</xdr:row>
      <xdr:rowOff>190500</xdr:rowOff>
    </xdr:to>
    <xdr:pic>
      <xdr:nvPicPr>
        <xdr:cNvPr id="3" name="Picture 41">
          <a:extLst>
            <a:ext uri="{FF2B5EF4-FFF2-40B4-BE49-F238E27FC236}">
              <a16:creationId xmlns:a16="http://schemas.microsoft.com/office/drawing/2014/main" id="{470AD1D4-73D3-495F-A561-A477B98D3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12330113"/>
          <a:ext cx="1543050" cy="1809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4</xdr:col>
      <xdr:colOff>66675</xdr:colOff>
      <xdr:row>6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98BD4E-7FCC-4920-B71A-E3913EA02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12873038"/>
          <a:ext cx="1362075" cy="185738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3</xdr:row>
      <xdr:rowOff>166688</xdr:rowOff>
    </xdr:from>
    <xdr:to>
      <xdr:col>4</xdr:col>
      <xdr:colOff>33338</xdr:colOff>
      <xdr:row>4</xdr:row>
      <xdr:rowOff>157163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54296C-1351-4919-973C-8C8B63A2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2496801"/>
          <a:ext cx="1328738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</xdr:colOff>
      <xdr:row>4</xdr:row>
      <xdr:rowOff>166688</xdr:rowOff>
    </xdr:from>
    <xdr:to>
      <xdr:col>4</xdr:col>
      <xdr:colOff>90488</xdr:colOff>
      <xdr:row>5</xdr:row>
      <xdr:rowOff>176213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E05C0A-96BF-43F2-82E4-4EEB63D91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2677776"/>
          <a:ext cx="135731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133349</xdr:colOff>
      <xdr:row>36</xdr:row>
      <xdr:rowOff>4763</xdr:rowOff>
    </xdr:from>
    <xdr:to>
      <xdr:col>4</xdr:col>
      <xdr:colOff>566737</xdr:colOff>
      <xdr:row>37</xdr:row>
      <xdr:rowOff>4763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2ACB631-CF61-4529-B0E1-C047B08DD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49" y="10701338"/>
          <a:ext cx="1728788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36</xdr:row>
      <xdr:rowOff>166689</xdr:rowOff>
    </xdr:from>
    <xdr:to>
      <xdr:col>4</xdr:col>
      <xdr:colOff>114300</xdr:colOff>
      <xdr:row>37</xdr:row>
      <xdr:rowOff>161370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07672B6-573D-4695-9E1B-E2200FB8F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10863264"/>
          <a:ext cx="1352550" cy="175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37</xdr:row>
      <xdr:rowOff>166688</xdr:rowOff>
    </xdr:from>
    <xdr:to>
      <xdr:col>4</xdr:col>
      <xdr:colOff>33338</xdr:colOff>
      <xdr:row>38</xdr:row>
      <xdr:rowOff>157163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5983A6-9D01-479C-B016-A71501C86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714376"/>
          <a:ext cx="1328738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40</xdr:row>
      <xdr:rowOff>0</xdr:rowOff>
    </xdr:from>
    <xdr:to>
      <xdr:col>4</xdr:col>
      <xdr:colOff>66675</xdr:colOff>
      <xdr:row>40</xdr:row>
      <xdr:rowOff>190500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FA18FC6-954D-4A39-85E4-0F0ACB804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95400" y="1090613"/>
          <a:ext cx="1362075" cy="185738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38</xdr:row>
      <xdr:rowOff>166688</xdr:rowOff>
    </xdr:from>
    <xdr:to>
      <xdr:col>4</xdr:col>
      <xdr:colOff>90488</xdr:colOff>
      <xdr:row>39</xdr:row>
      <xdr:rowOff>176213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1869CC7-785A-49EF-BC80-D428B839A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95351"/>
          <a:ext cx="1357313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559594</xdr:colOff>
      <xdr:row>32</xdr:row>
      <xdr:rowOff>83343</xdr:rowOff>
    </xdr:from>
    <xdr:to>
      <xdr:col>21</xdr:col>
      <xdr:colOff>597694</xdr:colOff>
      <xdr:row>47</xdr:row>
      <xdr:rowOff>102393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D0976A6-1F33-499E-8575-A35C46290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116680</xdr:colOff>
      <xdr:row>0</xdr:row>
      <xdr:rowOff>178594</xdr:rowOff>
    </xdr:from>
    <xdr:to>
      <xdr:col>23</xdr:col>
      <xdr:colOff>154780</xdr:colOff>
      <xdr:row>15</xdr:row>
      <xdr:rowOff>140494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4AD5A5-65C2-4BC8-8056-46D1B77B9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321467</xdr:colOff>
      <xdr:row>14</xdr:row>
      <xdr:rowOff>21431</xdr:rowOff>
    </xdr:from>
    <xdr:to>
      <xdr:col>16</xdr:col>
      <xdr:colOff>50005</xdr:colOff>
      <xdr:row>29</xdr:row>
      <xdr:rowOff>50006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8BC01B-EB91-461F-A82A-87EC9D2DF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mn/Desktop/heptane_2312/data_heptane_0201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t of reaction data"/>
      <sheetName val="sp.heat data"/>
      <sheetName val="Olahova data"/>
      <sheetName val="temp profile"/>
      <sheetName val="prop_data"/>
      <sheetName val="exit comp calculation"/>
      <sheetName val="exit composition by weight"/>
      <sheetName val="equilibrium constant"/>
      <sheetName val="stoichi_order_2312"/>
      <sheetName val="rxn_scheme_1"/>
      <sheetName val="simulation_ohalava_1 "/>
      <sheetName val="simulation_ohalava_2"/>
      <sheetName val="data_validation_1"/>
      <sheetName val="data_analysis1"/>
      <sheetName val="data_analysis2"/>
      <sheetName val="data_analysis3"/>
      <sheetName val="data_analysis4"/>
      <sheetName val="hept_freq"/>
      <sheetName val="rev_rxn_2312"/>
      <sheetName val="data_anal_freq_1"/>
      <sheetName val="data_anal_freq_2"/>
      <sheetName val="simulation_ohalava_freq"/>
      <sheetName val="data_validation _freq"/>
      <sheetName val="Sheet1"/>
      <sheetName val="simu_olahav1_OFV6.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7">
          <cell r="K7">
            <v>7</v>
          </cell>
          <cell r="L7">
            <v>7.7038743448367836E-3</v>
          </cell>
        </row>
        <row r="8">
          <cell r="K8">
            <v>6</v>
          </cell>
          <cell r="L8">
            <v>2.2992180081147802</v>
          </cell>
        </row>
        <row r="9">
          <cell r="K9">
            <v>5</v>
          </cell>
          <cell r="L9">
            <v>2.4972933571104154</v>
          </cell>
        </row>
        <row r="10">
          <cell r="K10">
            <v>4</v>
          </cell>
          <cell r="L10">
            <v>2.7328806755849513</v>
          </cell>
        </row>
        <row r="11">
          <cell r="K11">
            <v>3</v>
          </cell>
          <cell r="L11">
            <v>4.5156263729848716</v>
          </cell>
        </row>
        <row r="12">
          <cell r="K12">
            <v>2</v>
          </cell>
          <cell r="L12">
            <v>1805.3144619719837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@873" TargetMode="External"/><Relationship Id="rId1" Type="http://schemas.openxmlformats.org/officeDocument/2006/relationships/hyperlink" Target="mailto:k@77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07E2-7A62-42F1-B135-BF4903C62879}">
  <sheetPr codeName="Sheet1"/>
  <dimension ref="A2:M76"/>
  <sheetViews>
    <sheetView topLeftCell="A46" workbookViewId="0">
      <selection activeCell="L64" sqref="L64:L68"/>
    </sheetView>
  </sheetViews>
  <sheetFormatPr defaultRowHeight="14.25" x14ac:dyDescent="0.45"/>
  <cols>
    <col min="6" max="6" width="11.59765625" bestFit="1" customWidth="1"/>
    <col min="9" max="9" width="11.59765625" bestFit="1" customWidth="1"/>
  </cols>
  <sheetData>
    <row r="2" spans="1:13" ht="18" x14ac:dyDescent="0.45">
      <c r="C2" s="1" t="s">
        <v>0</v>
      </c>
    </row>
    <row r="3" spans="1:13" x14ac:dyDescent="0.45">
      <c r="A3" t="s">
        <v>1</v>
      </c>
      <c r="C3" t="s">
        <v>2</v>
      </c>
      <c r="E3" t="s">
        <v>3</v>
      </c>
      <c r="F3">
        <v>9.83</v>
      </c>
      <c r="I3" s="113" t="s">
        <v>4</v>
      </c>
      <c r="J3" s="113"/>
      <c r="K3" s="113"/>
      <c r="L3" s="113"/>
    </row>
    <row r="4" spans="1:13" x14ac:dyDescent="0.45">
      <c r="D4" t="s">
        <v>5</v>
      </c>
      <c r="E4">
        <v>8.3140000000000001</v>
      </c>
      <c r="I4">
        <v>773</v>
      </c>
      <c r="J4">
        <v>873</v>
      </c>
    </row>
    <row r="6" spans="1:13" x14ac:dyDescent="0.45">
      <c r="A6" s="5"/>
      <c r="B6" s="6"/>
      <c r="C6" s="7"/>
      <c r="D6" s="7"/>
      <c r="E6" s="7"/>
      <c r="F6" s="8"/>
      <c r="G6" s="9"/>
      <c r="H6" s="9"/>
      <c r="I6" s="8"/>
      <c r="J6" s="8"/>
      <c r="K6" s="2"/>
      <c r="L6" s="3"/>
      <c r="M6" s="3"/>
    </row>
    <row r="7" spans="1:13" x14ac:dyDescent="0.45">
      <c r="A7" s="9" t="s">
        <v>1</v>
      </c>
      <c r="B7" s="9"/>
      <c r="C7" s="9" t="s">
        <v>2</v>
      </c>
      <c r="D7" s="9"/>
      <c r="E7" s="9" t="s">
        <v>3</v>
      </c>
      <c r="F7" s="9">
        <v>9.83</v>
      </c>
      <c r="G7" s="9"/>
      <c r="H7" s="9" t="s">
        <v>14</v>
      </c>
      <c r="I7" s="9"/>
      <c r="J7" s="9"/>
      <c r="K7" s="2"/>
      <c r="L7" s="3"/>
      <c r="M7" s="3"/>
    </row>
    <row r="8" spans="1:13" ht="14.65" thickBot="1" x14ac:dyDescent="0.5">
      <c r="A8" s="9"/>
      <c r="B8" s="9"/>
      <c r="C8" s="10"/>
      <c r="D8" s="9"/>
      <c r="E8" s="9"/>
      <c r="F8" s="9"/>
      <c r="G8" s="9"/>
      <c r="H8" s="9"/>
      <c r="I8" s="9"/>
      <c r="J8" s="9"/>
      <c r="K8" s="2"/>
      <c r="L8" s="3"/>
      <c r="M8" s="3"/>
    </row>
    <row r="9" spans="1:13" ht="47.25" x14ac:dyDescent="0.45">
      <c r="A9" s="11" t="s">
        <v>6</v>
      </c>
      <c r="B9" s="12" t="s">
        <v>7</v>
      </c>
      <c r="C9" s="13" t="s">
        <v>8</v>
      </c>
      <c r="D9" s="13"/>
      <c r="E9" s="13"/>
      <c r="F9" s="14" t="s">
        <v>9</v>
      </c>
      <c r="G9" s="14" t="s">
        <v>10</v>
      </c>
      <c r="H9" s="14" t="s">
        <v>11</v>
      </c>
      <c r="I9" s="15" t="s">
        <v>12</v>
      </c>
      <c r="J9" s="16" t="s">
        <v>13</v>
      </c>
      <c r="K9" s="2"/>
      <c r="L9" s="3"/>
      <c r="M9" s="3"/>
    </row>
    <row r="10" spans="1:13" x14ac:dyDescent="0.45">
      <c r="A10" s="17">
        <v>17</v>
      </c>
      <c r="B10" s="18">
        <v>9</v>
      </c>
      <c r="C10" s="19"/>
      <c r="D10" s="19"/>
      <c r="E10" s="19"/>
      <c r="F10" s="22">
        <v>346185000000000</v>
      </c>
      <c r="G10" s="22">
        <v>249.71</v>
      </c>
      <c r="H10" s="20">
        <v>7</v>
      </c>
      <c r="I10" s="21">
        <f>($F10*EXP((-$G10*1000)/($E$4*I$4)))</f>
        <v>4.6218441507856157E-3</v>
      </c>
      <c r="J10" s="22">
        <f>($F10*EXP((-$G10*1000)/($E$4*J$4)))</f>
        <v>0.39604716260996975</v>
      </c>
      <c r="K10" s="2"/>
      <c r="L10" s="3"/>
      <c r="M10" s="3"/>
    </row>
    <row r="11" spans="1:13" x14ac:dyDescent="0.45">
      <c r="A11" s="17">
        <v>43</v>
      </c>
      <c r="B11" s="18">
        <v>35</v>
      </c>
      <c r="C11" s="23"/>
      <c r="D11" s="23"/>
      <c r="E11" s="23"/>
      <c r="F11" s="22">
        <v>3471844916964280</v>
      </c>
      <c r="G11" s="22">
        <v>249.71</v>
      </c>
      <c r="H11" s="20">
        <v>6</v>
      </c>
      <c r="I11" s="21">
        <f t="shared" ref="I11:J14" si="0">($F11*EXP((-$G11*1000)/($E$4*I$4)))</f>
        <v>4.6351881571720696E-2</v>
      </c>
      <c r="J11" s="22">
        <f t="shared" si="0"/>
        <v>3.9719061437830905</v>
      </c>
    </row>
    <row r="12" spans="1:13" x14ac:dyDescent="0.45">
      <c r="A12" s="17">
        <v>46</v>
      </c>
      <c r="B12" s="18">
        <v>38</v>
      </c>
      <c r="C12" s="23"/>
      <c r="D12" s="23"/>
      <c r="E12" s="23"/>
      <c r="F12" s="22">
        <v>6423440166964280</v>
      </c>
      <c r="G12" s="22">
        <v>249.71</v>
      </c>
      <c r="H12" s="20">
        <v>5</v>
      </c>
      <c r="I12" s="21">
        <f t="shared" si="0"/>
        <v>8.5758017717709412E-2</v>
      </c>
      <c r="J12" s="22">
        <f t="shared" si="0"/>
        <v>7.3486293522859549</v>
      </c>
    </row>
    <row r="13" spans="1:13" x14ac:dyDescent="0.45">
      <c r="A13" s="17">
        <v>30</v>
      </c>
      <c r="B13" s="18">
        <v>22</v>
      </c>
      <c r="C13" s="19"/>
      <c r="D13" s="19"/>
      <c r="E13" s="19"/>
      <c r="F13" s="22">
        <v>4.36E+16</v>
      </c>
      <c r="G13" s="22">
        <v>249.71</v>
      </c>
      <c r="H13" s="20">
        <v>4</v>
      </c>
      <c r="I13" s="21">
        <f t="shared" si="0"/>
        <v>0.58209455919306974</v>
      </c>
      <c r="J13" s="22">
        <f t="shared" si="0"/>
        <v>49.87985120613164</v>
      </c>
    </row>
    <row r="14" spans="1:13" ht="14.65" thickBot="1" x14ac:dyDescent="0.5">
      <c r="A14" s="24">
        <v>33</v>
      </c>
      <c r="B14" s="25">
        <v>25</v>
      </c>
      <c r="C14" s="97"/>
      <c r="D14" s="97"/>
      <c r="E14" s="97"/>
      <c r="F14" s="22">
        <v>3.9406249999999898E+17</v>
      </c>
      <c r="G14" s="22">
        <v>211.69999999999899</v>
      </c>
      <c r="H14" s="27">
        <v>3</v>
      </c>
      <c r="I14" s="26">
        <f t="shared" si="0"/>
        <v>1948.2721247361283</v>
      </c>
      <c r="J14" s="28">
        <f t="shared" si="0"/>
        <v>84792.414889784981</v>
      </c>
    </row>
    <row r="15" spans="1:13" x14ac:dyDescent="0.45">
      <c r="A15" s="9"/>
      <c r="B15" s="6"/>
      <c r="C15" s="7"/>
      <c r="D15" s="7"/>
      <c r="E15" s="7"/>
      <c r="F15" s="9"/>
      <c r="G15" s="29"/>
      <c r="H15" s="9"/>
      <c r="I15" s="8"/>
      <c r="J15" s="8"/>
    </row>
    <row r="16" spans="1:13" ht="18" x14ac:dyDescent="0.45">
      <c r="D16" s="1" t="s">
        <v>15</v>
      </c>
    </row>
    <row r="17" spans="1:10" ht="18" x14ac:dyDescent="0.45">
      <c r="D17" s="1"/>
    </row>
    <row r="18" spans="1:10" x14ac:dyDescent="0.45">
      <c r="I18" s="31"/>
      <c r="J18" s="31"/>
    </row>
    <row r="19" spans="1:10" x14ac:dyDescent="0.45">
      <c r="A19" s="9"/>
      <c r="B19" s="9"/>
      <c r="C19" s="9"/>
      <c r="D19" s="9"/>
      <c r="E19" s="9"/>
      <c r="F19" s="9"/>
      <c r="G19" s="9"/>
      <c r="H19" s="9"/>
      <c r="I19" s="8"/>
      <c r="J19" s="8"/>
    </row>
    <row r="20" spans="1:10" x14ac:dyDescent="0.45">
      <c r="A20" s="9" t="s">
        <v>1</v>
      </c>
      <c r="B20" s="9"/>
      <c r="C20" s="9" t="s">
        <v>2</v>
      </c>
      <c r="D20" s="9"/>
      <c r="E20" s="9" t="s">
        <v>3</v>
      </c>
      <c r="F20" s="9">
        <v>9.83</v>
      </c>
      <c r="G20" s="9"/>
      <c r="H20" s="9" t="s">
        <v>14</v>
      </c>
      <c r="I20" s="9"/>
      <c r="J20" s="8"/>
    </row>
    <row r="21" spans="1:10" ht="14.65" thickBot="1" x14ac:dyDescent="0.5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ht="14.65" thickBot="1" x14ac:dyDescent="0.5">
      <c r="A22" s="11">
        <v>18</v>
      </c>
      <c r="B22" s="12">
        <v>10</v>
      </c>
      <c r="C22" s="98"/>
      <c r="D22" s="98"/>
      <c r="E22" s="98"/>
      <c r="F22" s="26">
        <v>1.04E+18</v>
      </c>
      <c r="G22" s="28">
        <v>256.69999999999902</v>
      </c>
      <c r="H22" s="34">
        <v>7</v>
      </c>
      <c r="I22" s="33">
        <f t="shared" ref="I22:J25" si="1">($F22*EXP((-$G22*1000)/($E$4*I$4)))</f>
        <v>4.6793079876152772</v>
      </c>
      <c r="J22" s="35">
        <f t="shared" si="1"/>
        <v>454.17243572947416</v>
      </c>
    </row>
    <row r="23" spans="1:10" ht="14.65" thickBot="1" x14ac:dyDescent="0.5">
      <c r="A23" s="17">
        <v>44</v>
      </c>
      <c r="B23" s="18">
        <v>36</v>
      </c>
      <c r="C23" s="100"/>
      <c r="D23" s="100"/>
      <c r="E23" s="100"/>
      <c r="F23" s="26">
        <v>1.12E+18</v>
      </c>
      <c r="G23" s="28">
        <v>256.69999999999902</v>
      </c>
      <c r="H23" s="20">
        <v>6</v>
      </c>
      <c r="I23" s="21">
        <f t="shared" si="1"/>
        <v>5.039254755893376</v>
      </c>
      <c r="J23" s="22">
        <f t="shared" si="1"/>
        <v>489.10877693943371</v>
      </c>
    </row>
    <row r="24" spans="1:10" ht="14.65" thickBot="1" x14ac:dyDescent="0.5">
      <c r="A24" s="36">
        <v>47</v>
      </c>
      <c r="B24" s="18">
        <v>39</v>
      </c>
      <c r="C24" s="100"/>
      <c r="D24" s="100"/>
      <c r="E24" s="100"/>
      <c r="F24" s="26">
        <v>1.55E+18</v>
      </c>
      <c r="G24" s="28">
        <v>256.7</v>
      </c>
      <c r="H24" s="20">
        <v>5</v>
      </c>
      <c r="I24" s="21">
        <f t="shared" si="1"/>
        <v>6.9739686353870631</v>
      </c>
      <c r="J24" s="22">
        <f t="shared" si="1"/>
        <v>676.89161094287488</v>
      </c>
    </row>
    <row r="25" spans="1:10" ht="14.65" thickBot="1" x14ac:dyDescent="0.5">
      <c r="A25" s="24">
        <v>32</v>
      </c>
      <c r="B25" s="37">
        <v>24</v>
      </c>
      <c r="C25" s="97"/>
      <c r="D25" s="97"/>
      <c r="E25" s="97"/>
      <c r="F25" s="26">
        <v>7.76E+19</v>
      </c>
      <c r="G25" s="28">
        <v>256.7</v>
      </c>
      <c r="H25" s="27">
        <v>4</v>
      </c>
      <c r="I25" s="26">
        <f t="shared" si="1"/>
        <v>349.14836522970074</v>
      </c>
      <c r="J25" s="28">
        <f t="shared" si="1"/>
        <v>33888.250973656184</v>
      </c>
    </row>
    <row r="26" spans="1:10" x14ac:dyDescent="0.45">
      <c r="F26" s="45"/>
      <c r="I26" s="31"/>
      <c r="J26" s="31"/>
    </row>
    <row r="27" spans="1:10" ht="18" x14ac:dyDescent="0.55000000000000004">
      <c r="A27" s="38"/>
      <c r="B27" s="38"/>
      <c r="C27" s="38"/>
      <c r="D27" s="1" t="s">
        <v>16</v>
      </c>
      <c r="E27" s="38"/>
      <c r="F27" s="38"/>
    </row>
    <row r="28" spans="1:10" ht="18" x14ac:dyDescent="0.55000000000000004">
      <c r="A28" s="38"/>
      <c r="B28" s="38"/>
      <c r="C28" s="38"/>
      <c r="D28" s="1"/>
      <c r="E28" s="38"/>
      <c r="F28" s="38"/>
    </row>
    <row r="30" spans="1:10" x14ac:dyDescent="0.45">
      <c r="A30" s="9" t="s">
        <v>1</v>
      </c>
      <c r="B30" s="9"/>
      <c r="C30" s="9" t="s">
        <v>2</v>
      </c>
      <c r="D30" s="9"/>
      <c r="E30" s="9" t="s">
        <v>3</v>
      </c>
      <c r="F30" s="9">
        <v>9.83</v>
      </c>
      <c r="G30" s="9"/>
      <c r="H30" s="9" t="s">
        <v>14</v>
      </c>
      <c r="I30" s="9"/>
      <c r="J30" s="9"/>
    </row>
    <row r="31" spans="1:10" ht="14.65" thickBot="1" x14ac:dyDescent="0.5">
      <c r="A31" s="9"/>
      <c r="B31" s="9"/>
      <c r="C31" s="9"/>
      <c r="D31" s="9"/>
      <c r="E31" s="9"/>
      <c r="F31" s="9"/>
      <c r="G31" s="9"/>
      <c r="H31" s="9"/>
      <c r="I31" s="9"/>
      <c r="J31" s="9"/>
    </row>
    <row r="32" spans="1:10" ht="14.65" thickBot="1" x14ac:dyDescent="0.5">
      <c r="A32" s="11">
        <v>20</v>
      </c>
      <c r="B32" s="12">
        <v>12</v>
      </c>
      <c r="C32" s="107"/>
      <c r="D32" s="108"/>
      <c r="E32" s="109"/>
      <c r="F32" s="33">
        <v>1874452685</v>
      </c>
      <c r="G32" s="35">
        <v>256.69999999999902</v>
      </c>
      <c r="H32" s="34">
        <v>7</v>
      </c>
      <c r="I32" s="33">
        <f t="shared" ref="I32:J36" si="2">($F32*EXP((-$G32*1000)/($E$4*I$4)))</f>
        <v>8.4337898281994263E-9</v>
      </c>
      <c r="J32" s="35">
        <f t="shared" si="2"/>
        <v>8.1858148231356031E-7</v>
      </c>
    </row>
    <row r="33" spans="1:10" ht="14.65" thickBot="1" x14ac:dyDescent="0.5">
      <c r="A33" s="36">
        <v>48</v>
      </c>
      <c r="B33" s="18">
        <v>40</v>
      </c>
      <c r="C33" s="110"/>
      <c r="D33" s="111"/>
      <c r="E33" s="112"/>
      <c r="F33" s="33">
        <v>2041288787</v>
      </c>
      <c r="G33" s="35">
        <v>256.69999999999902</v>
      </c>
      <c r="H33" s="20">
        <v>6</v>
      </c>
      <c r="I33" s="21">
        <f t="shared" si="2"/>
        <v>9.1844412750371166E-9</v>
      </c>
      <c r="J33" s="22">
        <f t="shared" si="2"/>
        <v>8.9143951963370552E-7</v>
      </c>
    </row>
    <row r="34" spans="1:10" ht="14.65" thickBot="1" x14ac:dyDescent="0.5">
      <c r="A34" s="41">
        <v>49</v>
      </c>
      <c r="B34" s="18">
        <v>41</v>
      </c>
      <c r="C34" s="110"/>
      <c r="D34" s="111"/>
      <c r="E34" s="112"/>
      <c r="F34" s="33">
        <v>62023774696</v>
      </c>
      <c r="G34" s="35">
        <v>256.69999999999902</v>
      </c>
      <c r="H34" s="20">
        <v>5</v>
      </c>
      <c r="I34" s="21">
        <f t="shared" si="2"/>
        <v>2.7906571572792608E-7</v>
      </c>
      <c r="J34" s="22">
        <f t="shared" si="2"/>
        <v>2.7086046948863889E-5</v>
      </c>
    </row>
    <row r="35" spans="1:10" ht="14.65" thickBot="1" x14ac:dyDescent="0.5">
      <c r="A35" s="17">
        <v>32</v>
      </c>
      <c r="B35" s="18">
        <v>24</v>
      </c>
      <c r="C35" s="101"/>
      <c r="D35" s="102"/>
      <c r="E35" s="103"/>
      <c r="F35" s="33">
        <v>7.76E+19</v>
      </c>
      <c r="G35" s="35">
        <v>256.7</v>
      </c>
      <c r="H35" s="20">
        <v>4</v>
      </c>
      <c r="I35" s="21">
        <f t="shared" si="2"/>
        <v>349.14836522970074</v>
      </c>
      <c r="J35" s="22">
        <f t="shared" si="2"/>
        <v>33888.250973656184</v>
      </c>
    </row>
    <row r="36" spans="1:10" ht="14.65" thickBot="1" x14ac:dyDescent="0.5">
      <c r="A36" s="24">
        <v>33</v>
      </c>
      <c r="B36" s="25">
        <v>25</v>
      </c>
      <c r="C36" s="104"/>
      <c r="D36" s="105"/>
      <c r="E36" s="106"/>
      <c r="F36" s="33">
        <v>3.9406249999999898E+17</v>
      </c>
      <c r="G36" s="35">
        <v>211.69999999999899</v>
      </c>
      <c r="H36" s="27">
        <v>3</v>
      </c>
      <c r="I36" s="26">
        <f t="shared" si="2"/>
        <v>1948.2721247361283</v>
      </c>
      <c r="J36" s="28">
        <f t="shared" si="2"/>
        <v>84792.414889784981</v>
      </c>
    </row>
    <row r="38" spans="1:10" ht="18" x14ac:dyDescent="0.45">
      <c r="D38" s="1" t="s">
        <v>17</v>
      </c>
    </row>
    <row r="41" spans="1:10" x14ac:dyDescent="0.45">
      <c r="A41" s="9" t="s">
        <v>1</v>
      </c>
      <c r="B41" s="9"/>
      <c r="C41" s="9" t="s">
        <v>2</v>
      </c>
      <c r="D41" s="9"/>
      <c r="E41" s="9" t="s">
        <v>3</v>
      </c>
      <c r="F41" s="9">
        <v>9.83</v>
      </c>
      <c r="G41" s="9"/>
      <c r="H41" s="9" t="s">
        <v>14</v>
      </c>
      <c r="I41" s="9"/>
      <c r="J41" s="9"/>
    </row>
    <row r="42" spans="1:10" ht="14.65" thickBot="1" x14ac:dyDescent="0.5">
      <c r="A42" s="9"/>
      <c r="B42" s="9"/>
      <c r="C42" s="10"/>
      <c r="D42" s="9"/>
      <c r="E42" s="9"/>
      <c r="F42" s="9"/>
      <c r="G42" s="9"/>
      <c r="H42" s="9"/>
      <c r="I42" s="9"/>
      <c r="J42" s="9"/>
    </row>
    <row r="43" spans="1:10" x14ac:dyDescent="0.45">
      <c r="A43" s="11">
        <v>19</v>
      </c>
      <c r="B43" s="12">
        <v>11</v>
      </c>
      <c r="C43" s="98"/>
      <c r="D43" s="98"/>
      <c r="E43" s="98"/>
      <c r="F43" s="33">
        <v>3582070000000</v>
      </c>
      <c r="G43" s="35">
        <v>255</v>
      </c>
      <c r="H43" s="34">
        <v>7</v>
      </c>
      <c r="I43" s="33">
        <f t="shared" ref="I43:J47" si="3">($F43*EXP((-$G43*1000)/($E$4*I$4)))</f>
        <v>2.099723809141101E-5</v>
      </c>
      <c r="J43" s="35">
        <f t="shared" si="3"/>
        <v>1.9771613629745517E-3</v>
      </c>
    </row>
    <row r="44" spans="1:10" ht="14.65" thickBot="1" x14ac:dyDescent="0.5">
      <c r="A44" s="17">
        <v>45</v>
      </c>
      <c r="B44" s="18">
        <v>37</v>
      </c>
      <c r="C44" s="100"/>
      <c r="D44" s="100"/>
      <c r="E44" s="100"/>
      <c r="F44" s="21">
        <v>213943000000000</v>
      </c>
      <c r="G44" s="22">
        <v>237</v>
      </c>
      <c r="H44" s="20">
        <v>6</v>
      </c>
      <c r="I44" s="21">
        <f t="shared" si="3"/>
        <v>2.0639571301728214E-2</v>
      </c>
      <c r="J44" s="22">
        <f t="shared" si="3"/>
        <v>1.4100935071936935</v>
      </c>
    </row>
    <row r="45" spans="1:10" x14ac:dyDescent="0.45">
      <c r="A45" s="17">
        <v>46</v>
      </c>
      <c r="B45" s="18">
        <v>39</v>
      </c>
      <c r="C45" s="100"/>
      <c r="D45" s="100"/>
      <c r="E45" s="100"/>
      <c r="F45" s="33">
        <v>1.55E+18</v>
      </c>
      <c r="G45" s="35">
        <v>256.7</v>
      </c>
      <c r="H45" s="20">
        <v>5</v>
      </c>
      <c r="I45" s="21">
        <f t="shared" si="3"/>
        <v>6.9739686353870631</v>
      </c>
      <c r="J45" s="22">
        <f t="shared" si="3"/>
        <v>676.89161094287488</v>
      </c>
    </row>
    <row r="46" spans="1:10" ht="14.65" thickBot="1" x14ac:dyDescent="0.5">
      <c r="A46" s="17">
        <v>32</v>
      </c>
      <c r="B46" s="18">
        <v>24</v>
      </c>
      <c r="C46" s="96"/>
      <c r="D46" s="96"/>
      <c r="E46" s="96"/>
      <c r="F46" s="21">
        <v>7.76E+19</v>
      </c>
      <c r="G46" s="22">
        <v>256.69999999999902</v>
      </c>
      <c r="H46" s="20">
        <v>4</v>
      </c>
      <c r="I46" s="21">
        <f t="shared" si="3"/>
        <v>349.14836522975531</v>
      </c>
      <c r="J46" s="22">
        <f t="shared" si="3"/>
        <v>33888.250973660761</v>
      </c>
    </row>
    <row r="47" spans="1:10" ht="14.65" thickBot="1" x14ac:dyDescent="0.5">
      <c r="A47" s="24">
        <v>33</v>
      </c>
      <c r="B47" s="25">
        <v>25</v>
      </c>
      <c r="C47" s="97"/>
      <c r="D47" s="97"/>
      <c r="E47" s="97"/>
      <c r="F47" s="33">
        <v>3.9406249999999898E+17</v>
      </c>
      <c r="G47" s="35">
        <v>211.69999999999899</v>
      </c>
      <c r="H47" s="27">
        <v>3</v>
      </c>
      <c r="I47" s="26">
        <f t="shared" si="3"/>
        <v>1948.2721247361283</v>
      </c>
      <c r="J47" s="28">
        <f t="shared" si="3"/>
        <v>84792.414889784981</v>
      </c>
    </row>
    <row r="48" spans="1:10" x14ac:dyDescent="0.45">
      <c r="A48" s="9"/>
      <c r="B48" s="42"/>
      <c r="C48" s="7"/>
      <c r="D48" s="7"/>
      <c r="E48" s="7"/>
      <c r="F48" s="8"/>
      <c r="G48" s="9"/>
      <c r="H48" s="9"/>
      <c r="I48" s="8"/>
      <c r="J48" s="8"/>
    </row>
    <row r="49" spans="1:12" x14ac:dyDescent="0.45">
      <c r="B49" s="31"/>
      <c r="C49" s="40"/>
      <c r="E49" s="31"/>
      <c r="F49" s="31"/>
      <c r="G49" s="40"/>
      <c r="I49" s="31"/>
      <c r="J49" s="31"/>
    </row>
    <row r="50" spans="1:12" x14ac:dyDescent="0.45">
      <c r="A50" s="39"/>
      <c r="B50" s="43"/>
      <c r="C50" s="44"/>
      <c r="D50" s="44"/>
      <c r="E50" s="44"/>
      <c r="F50" s="45"/>
      <c r="G50" s="46"/>
      <c r="H50" s="39"/>
      <c r="I50" s="45"/>
      <c r="J50" s="45"/>
    </row>
    <row r="51" spans="1:12" ht="14.65" thickBot="1" x14ac:dyDescent="0.5">
      <c r="A51" s="9" t="s">
        <v>1</v>
      </c>
      <c r="B51" s="9"/>
      <c r="C51" s="9" t="s">
        <v>2</v>
      </c>
      <c r="D51" s="9"/>
      <c r="E51" s="9" t="s">
        <v>3</v>
      </c>
      <c r="F51" s="9">
        <v>9.83</v>
      </c>
      <c r="G51" s="9"/>
      <c r="H51" s="9" t="s">
        <v>14</v>
      </c>
      <c r="I51" s="9"/>
      <c r="J51" s="8"/>
    </row>
    <row r="52" spans="1:12" x14ac:dyDescent="0.45">
      <c r="A52" s="20">
        <v>21</v>
      </c>
      <c r="B52" s="47">
        <v>13</v>
      </c>
      <c r="C52" s="99"/>
      <c r="D52" s="99"/>
      <c r="E52" s="99"/>
      <c r="F52" s="33">
        <v>2.7299999999999901E+17</v>
      </c>
      <c r="G52" s="35">
        <v>255</v>
      </c>
      <c r="H52" s="20">
        <v>7</v>
      </c>
      <c r="I52" s="21">
        <f>($F52*EXP((-$G52*1000)/($E$4*I$4)))</f>
        <v>1.6002607427982103</v>
      </c>
      <c r="J52" s="21">
        <f>($F52*EXP((-$G52*1000)/($E$4*J$4)))</f>
        <v>150.68523286592688</v>
      </c>
    </row>
    <row r="53" spans="1:12" x14ac:dyDescent="0.45">
      <c r="A53" s="39"/>
      <c r="B53" s="45"/>
      <c r="C53" s="46"/>
      <c r="D53" s="39"/>
      <c r="E53" s="45"/>
      <c r="F53" s="45"/>
      <c r="G53" s="46"/>
      <c r="H53" s="39"/>
      <c r="I53" s="45"/>
      <c r="J53" s="45"/>
    </row>
    <row r="54" spans="1:12" x14ac:dyDescent="0.45">
      <c r="A54" s="30"/>
      <c r="B54" s="4"/>
      <c r="C54" s="48"/>
      <c r="D54" s="48"/>
      <c r="E54" s="48"/>
      <c r="F54" s="32"/>
      <c r="G54" s="30"/>
      <c r="H54" s="30"/>
      <c r="I54" s="32"/>
      <c r="J54" s="32"/>
    </row>
    <row r="55" spans="1:12" x14ac:dyDescent="0.45">
      <c r="A55" s="9" t="s">
        <v>1</v>
      </c>
      <c r="B55" s="9"/>
      <c r="C55" s="9" t="s">
        <v>2</v>
      </c>
      <c r="D55" s="9"/>
      <c r="E55" s="9" t="s">
        <v>3</v>
      </c>
      <c r="F55" s="9">
        <v>9.83</v>
      </c>
      <c r="G55" s="9"/>
      <c r="H55" s="9" t="s">
        <v>14</v>
      </c>
      <c r="I55" s="9"/>
      <c r="J55" s="49"/>
    </row>
    <row r="56" spans="1:12" x14ac:dyDescent="0.45">
      <c r="A56" s="20">
        <v>23</v>
      </c>
      <c r="B56" s="18">
        <v>15</v>
      </c>
      <c r="C56" s="96"/>
      <c r="D56" s="96"/>
      <c r="E56" s="96"/>
      <c r="F56" s="21">
        <v>8.97E+19</v>
      </c>
      <c r="G56" s="20">
        <v>237</v>
      </c>
      <c r="H56" s="20">
        <v>7</v>
      </c>
      <c r="I56" s="21">
        <f>($F56*EXP((-$G56*1000)/($E$4*I$4)))</f>
        <v>8653.564481030091</v>
      </c>
      <c r="J56" s="21">
        <f>($F56*EXP((-$G56*1000)/($E$4*J$4)))</f>
        <v>591210.68506693048</v>
      </c>
    </row>
    <row r="57" spans="1:12" x14ac:dyDescent="0.45">
      <c r="A57" s="20">
        <v>25</v>
      </c>
      <c r="B57" s="47">
        <v>17</v>
      </c>
      <c r="C57" s="96"/>
      <c r="D57" s="96"/>
      <c r="E57" s="96"/>
      <c r="F57" s="21">
        <v>8.54E+19</v>
      </c>
      <c r="G57" s="20">
        <v>237</v>
      </c>
      <c r="H57" s="20">
        <v>6</v>
      </c>
      <c r="I57" s="21">
        <f>($F57*EXP((-$G57*1000)/($E$4*I$4)))</f>
        <v>8238.7336307688947</v>
      </c>
      <c r="J57" s="21">
        <f>($F57*EXP((-$G57*1000)/($E$4*J$4)))</f>
        <v>562869.48165792495</v>
      </c>
    </row>
    <row r="58" spans="1:12" x14ac:dyDescent="0.45">
      <c r="B58" s="31"/>
      <c r="C58" s="40"/>
      <c r="E58" s="31"/>
      <c r="F58" s="31"/>
      <c r="G58" s="40"/>
      <c r="I58" s="31"/>
      <c r="J58" s="31"/>
    </row>
    <row r="59" spans="1:12" x14ac:dyDescent="0.45">
      <c r="B59" t="s">
        <v>18</v>
      </c>
    </row>
    <row r="62" spans="1:12" x14ac:dyDescent="0.45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2" ht="14.65" thickBot="1" x14ac:dyDescent="0.5">
      <c r="A63" s="9" t="s">
        <v>1</v>
      </c>
      <c r="B63" s="9"/>
      <c r="C63" s="9" t="s">
        <v>2</v>
      </c>
      <c r="D63" s="9"/>
      <c r="E63" s="9" t="s">
        <v>3</v>
      </c>
      <c r="F63" s="9">
        <v>9.83</v>
      </c>
      <c r="G63" s="9"/>
      <c r="H63" s="9" t="s">
        <v>14</v>
      </c>
      <c r="I63" s="9"/>
      <c r="J63" s="9"/>
    </row>
    <row r="64" spans="1:12" x14ac:dyDescent="0.45">
      <c r="A64" s="11">
        <v>22</v>
      </c>
      <c r="B64" s="50">
        <v>14</v>
      </c>
      <c r="C64" s="98"/>
      <c r="D64" s="98"/>
      <c r="E64" s="98"/>
      <c r="F64" s="21">
        <v>2.4705000000000002E+22</v>
      </c>
      <c r="G64" s="21">
        <v>237</v>
      </c>
      <c r="H64" s="34">
        <v>7</v>
      </c>
      <c r="I64" s="21">
        <f>($F64*EXP((-$G64*1000)/($E$4*I$4)))</f>
        <v>2383347.9431867157</v>
      </c>
      <c r="J64" s="21">
        <f>($L64*EXP((-$G64*1000)/($E$4*J$4)))</f>
        <v>790917.30443735863</v>
      </c>
      <c r="L64" s="33">
        <v>1.19999999999999E+20</v>
      </c>
    </row>
    <row r="65" spans="1:12" x14ac:dyDescent="0.45">
      <c r="A65" s="17">
        <v>24</v>
      </c>
      <c r="B65" s="18">
        <v>16</v>
      </c>
      <c r="C65" s="96"/>
      <c r="D65" s="96"/>
      <c r="E65" s="96"/>
      <c r="F65" s="21">
        <v>1.4625E+19</v>
      </c>
      <c r="G65" s="21">
        <v>237</v>
      </c>
      <c r="H65" s="20">
        <v>6</v>
      </c>
      <c r="I65" s="21">
        <f>($F65*EXP((-$G65*1000)/($E$4*I$4)))</f>
        <v>1410.9072523418627</v>
      </c>
      <c r="J65" s="21">
        <f>($L65*EXP((-$G65*1000)/($E$4*J$4)))</f>
        <v>78432.632690038721</v>
      </c>
      <c r="L65" s="21">
        <v>1.19E+19</v>
      </c>
    </row>
    <row r="66" spans="1:12" x14ac:dyDescent="0.45">
      <c r="A66" s="17">
        <v>26</v>
      </c>
      <c r="B66" s="18">
        <v>18</v>
      </c>
      <c r="C66" s="96"/>
      <c r="D66" s="96"/>
      <c r="E66" s="96"/>
      <c r="F66" s="21">
        <v>4.54E+18</v>
      </c>
      <c r="G66" s="21">
        <v>237</v>
      </c>
      <c r="H66" s="20">
        <v>5</v>
      </c>
      <c r="I66" s="21">
        <f>($F66*EXP((-$G66*1000)/($E$4*I$4)))</f>
        <v>437.98420004321753</v>
      </c>
      <c r="J66" s="21">
        <f>($L66*EXP((-$G66*1000)/($E$4*J$4)))</f>
        <v>13495.026506962544</v>
      </c>
      <c r="L66" s="21">
        <v>2.0475E+18</v>
      </c>
    </row>
    <row r="67" spans="1:12" x14ac:dyDescent="0.45">
      <c r="A67" s="17">
        <v>29</v>
      </c>
      <c r="B67" s="18">
        <v>21</v>
      </c>
      <c r="C67" s="96"/>
      <c r="D67" s="96"/>
      <c r="E67" s="96"/>
      <c r="F67" s="21">
        <v>2824870000000000</v>
      </c>
      <c r="G67" s="21">
        <v>237</v>
      </c>
      <c r="H67" s="20">
        <v>4</v>
      </c>
      <c r="I67" s="21">
        <f>($F67*EXP((-$G67*1000)/($E$4*I$4)))</f>
        <v>0.27252167999473215</v>
      </c>
      <c r="J67" s="21">
        <f>($L67*EXP((-$G67*1000)/($E$4*J$4)))</f>
        <v>116.8809833681169</v>
      </c>
      <c r="L67">
        <v>1.773348228125E+16</v>
      </c>
    </row>
    <row r="68" spans="1:12" ht="14.65" thickBot="1" x14ac:dyDescent="0.5">
      <c r="A68" s="24">
        <v>13</v>
      </c>
      <c r="B68" s="51" t="s">
        <v>19</v>
      </c>
      <c r="C68" s="97"/>
      <c r="D68" s="97"/>
      <c r="E68" s="97"/>
      <c r="F68" s="21">
        <v>1.6996875E+17</v>
      </c>
      <c r="G68" s="21">
        <v>248.5</v>
      </c>
      <c r="H68" s="27">
        <v>3</v>
      </c>
      <c r="I68" s="21">
        <f>($F68*EXP((-$G68*1000)/($E$4*I$4)))</f>
        <v>2.7393247869399202</v>
      </c>
      <c r="J68" s="21">
        <f>($L68*EXP((-$G68*1000)/($E$4*J$4)))</f>
        <v>202.73608762759048</v>
      </c>
      <c r="L68" s="26">
        <v>1.5E+17</v>
      </c>
    </row>
    <row r="76" spans="1:12" x14ac:dyDescent="0.45">
      <c r="L76" s="39"/>
    </row>
  </sheetData>
  <mergeCells count="24">
    <mergeCell ref="I3:L3"/>
    <mergeCell ref="C22:E22"/>
    <mergeCell ref="C23:E23"/>
    <mergeCell ref="C24:E24"/>
    <mergeCell ref="C25:E25"/>
    <mergeCell ref="C14:E14"/>
    <mergeCell ref="C35:E35"/>
    <mergeCell ref="C36:E36"/>
    <mergeCell ref="C32:E32"/>
    <mergeCell ref="C33:E33"/>
    <mergeCell ref="C34:E34"/>
    <mergeCell ref="C52:E52"/>
    <mergeCell ref="C56:E56"/>
    <mergeCell ref="C57:E57"/>
    <mergeCell ref="C43:E43"/>
    <mergeCell ref="C44:E44"/>
    <mergeCell ref="C45:E45"/>
    <mergeCell ref="C46:E46"/>
    <mergeCell ref="C47:E47"/>
    <mergeCell ref="C65:E65"/>
    <mergeCell ref="C66:E66"/>
    <mergeCell ref="C67:E67"/>
    <mergeCell ref="C68:E68"/>
    <mergeCell ref="C64:E64"/>
  </mergeCells>
  <hyperlinks>
    <hyperlink ref="I9" r:id="rId1" xr:uid="{A1FABC51-7CC5-4562-9AE2-B7C32447FC3B}"/>
    <hyperlink ref="J9" r:id="rId2" xr:uid="{3998608A-2608-4FF9-B577-469C401DE416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3AEB-87BE-4477-B786-8B148730437D}">
  <dimension ref="A1:V44"/>
  <sheetViews>
    <sheetView topLeftCell="I1" workbookViewId="0">
      <selection activeCell="Y47" sqref="Y47"/>
    </sheetView>
  </sheetViews>
  <sheetFormatPr defaultRowHeight="14.25" x14ac:dyDescent="0.45"/>
  <cols>
    <col min="6" max="10" width="11.59765625" bestFit="1" customWidth="1"/>
    <col min="14" max="14" width="11.59765625" bestFit="1" customWidth="1"/>
  </cols>
  <sheetData>
    <row r="1" spans="1:17" x14ac:dyDescent="0.45">
      <c r="A1" t="s">
        <v>1</v>
      </c>
      <c r="C1" t="s">
        <v>2</v>
      </c>
      <c r="E1" t="s">
        <v>3</v>
      </c>
      <c r="F1">
        <v>11</v>
      </c>
    </row>
    <row r="2" spans="1:17" x14ac:dyDescent="0.45">
      <c r="D2" t="s">
        <v>5</v>
      </c>
      <c r="E2">
        <v>8.3140000000000001</v>
      </c>
      <c r="F2" t="s">
        <v>26</v>
      </c>
      <c r="H2">
        <v>573</v>
      </c>
      <c r="I2">
        <v>873</v>
      </c>
    </row>
    <row r="3" spans="1:17" x14ac:dyDescent="0.45">
      <c r="D3" s="59"/>
      <c r="E3" s="59"/>
    </row>
    <row r="4" spans="1:17" x14ac:dyDescent="0.45">
      <c r="C4" s="60"/>
    </row>
    <row r="5" spans="1:17" ht="15.4" customHeight="1" thickBot="1" x14ac:dyDescent="0.5">
      <c r="D5" s="59"/>
      <c r="E5" s="59"/>
      <c r="I5" s="113" t="s">
        <v>46</v>
      </c>
      <c r="J5" s="113"/>
      <c r="K5" s="113"/>
      <c r="L5" s="113"/>
      <c r="M5" s="113"/>
      <c r="N5" s="113"/>
      <c r="O5" s="113"/>
    </row>
    <row r="6" spans="1:17" ht="47.25" x14ac:dyDescent="0.45">
      <c r="A6" s="61" t="s">
        <v>6</v>
      </c>
      <c r="B6" s="62" t="s">
        <v>7</v>
      </c>
      <c r="C6" s="115" t="s">
        <v>8</v>
      </c>
      <c r="D6" s="115"/>
      <c r="E6" s="115"/>
      <c r="F6" s="63" t="s">
        <v>9</v>
      </c>
      <c r="G6" s="63" t="s">
        <v>10</v>
      </c>
      <c r="H6" t="s">
        <v>44</v>
      </c>
      <c r="I6" s="64">
        <v>773</v>
      </c>
      <c r="J6" s="65">
        <v>798</v>
      </c>
      <c r="K6">
        <v>823</v>
      </c>
      <c r="L6" s="66">
        <v>848</v>
      </c>
      <c r="M6" s="67">
        <v>873</v>
      </c>
      <c r="N6">
        <v>898</v>
      </c>
      <c r="O6">
        <v>923</v>
      </c>
      <c r="P6">
        <v>948</v>
      </c>
      <c r="Q6">
        <v>973</v>
      </c>
    </row>
    <row r="7" spans="1:17" x14ac:dyDescent="0.45">
      <c r="A7" s="68">
        <v>1</v>
      </c>
      <c r="B7" s="4" t="s">
        <v>31</v>
      </c>
      <c r="C7" s="114"/>
      <c r="D7" s="114"/>
      <c r="E7" s="114"/>
      <c r="F7" s="31">
        <v>17370600000000</v>
      </c>
      <c r="G7">
        <v>217.4</v>
      </c>
      <c r="H7">
        <v>7</v>
      </c>
      <c r="I7" s="31">
        <f t="shared" ref="I7:O7" si="0">$F7*EXP((-$G7*1000)/($E$2*I$6))</f>
        <v>3.5376435705692343E-2</v>
      </c>
      <c r="J7" s="31">
        <f t="shared" si="0"/>
        <v>0.10208491964021377</v>
      </c>
      <c r="K7" s="31">
        <f t="shared" si="0"/>
        <v>0.27621517446791144</v>
      </c>
      <c r="L7" s="31">
        <f t="shared" si="0"/>
        <v>0.7047659580363792</v>
      </c>
      <c r="M7" s="31">
        <f t="shared" si="0"/>
        <v>1.7042899527764472</v>
      </c>
      <c r="N7" s="31">
        <f t="shared" si="0"/>
        <v>3.9236397191001391</v>
      </c>
      <c r="O7" s="31">
        <f t="shared" si="0"/>
        <v>8.6340966111005581</v>
      </c>
      <c r="P7" s="31">
        <f t="shared" ref="P7:Q17" si="1">$F7*EXP((-$G7*1000)/($E$2*P$6))</f>
        <v>18.22547576926576</v>
      </c>
      <c r="Q7" s="31">
        <f t="shared" si="1"/>
        <v>37.022655644844228</v>
      </c>
    </row>
    <row r="8" spans="1:17" x14ac:dyDescent="0.45">
      <c r="A8" s="68">
        <v>2</v>
      </c>
      <c r="B8" s="4" t="s">
        <v>32</v>
      </c>
      <c r="C8" s="114"/>
      <c r="D8" s="114"/>
      <c r="E8" s="114"/>
      <c r="F8" s="31"/>
      <c r="I8" s="31"/>
      <c r="J8" s="31"/>
      <c r="K8" s="31"/>
      <c r="L8" s="31"/>
      <c r="M8" s="31"/>
      <c r="N8" s="31"/>
      <c r="O8" s="31"/>
      <c r="P8" s="31"/>
      <c r="Q8" s="31"/>
    </row>
    <row r="9" spans="1:17" x14ac:dyDescent="0.45">
      <c r="A9" s="68">
        <v>3</v>
      </c>
      <c r="B9" s="4" t="s">
        <v>33</v>
      </c>
      <c r="C9" s="114"/>
      <c r="D9" s="114"/>
      <c r="E9" s="114"/>
      <c r="F9" s="31">
        <v>1.04E+17</v>
      </c>
      <c r="G9">
        <v>261</v>
      </c>
      <c r="H9">
        <v>6</v>
      </c>
      <c r="I9" s="31">
        <f t="shared" ref="I9:N9" si="2">$F9*EXP((-$G9*1000)/($E$2*I$6))</f>
        <v>0.23966426374969241</v>
      </c>
      <c r="J9" s="31">
        <f t="shared" si="2"/>
        <v>0.85537065777823962</v>
      </c>
      <c r="K9" s="31">
        <f t="shared" si="2"/>
        <v>2.8257653256607398</v>
      </c>
      <c r="L9" s="31">
        <f t="shared" si="2"/>
        <v>8.6999648186299652</v>
      </c>
      <c r="M9" s="31">
        <f t="shared" si="2"/>
        <v>25.114668931089149</v>
      </c>
      <c r="N9" s="31">
        <f t="shared" si="2"/>
        <v>68.344271745607287</v>
      </c>
      <c r="O9" s="31">
        <f t="shared" ref="O9:O17" si="3">$F9*EXP((-$G9*1000)/($E$2*O$6))</f>
        <v>176.16698670124038</v>
      </c>
      <c r="P9" s="31">
        <f t="shared" si="1"/>
        <v>431.97437620165169</v>
      </c>
      <c r="Q9" s="31">
        <f t="shared" si="1"/>
        <v>1011.5196193998935</v>
      </c>
    </row>
    <row r="10" spans="1:17" x14ac:dyDescent="0.45">
      <c r="A10" s="68">
        <v>4</v>
      </c>
      <c r="B10" s="4" t="s">
        <v>34</v>
      </c>
      <c r="C10" s="114"/>
      <c r="D10" s="114"/>
      <c r="E10" s="114"/>
      <c r="F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 x14ac:dyDescent="0.45">
      <c r="A11" s="68">
        <v>5</v>
      </c>
      <c r="B11" s="4" t="s">
        <v>35</v>
      </c>
      <c r="C11" s="114"/>
      <c r="D11" s="114"/>
      <c r="E11" s="114"/>
      <c r="F11" s="31">
        <v>3.72E+17</v>
      </c>
      <c r="G11">
        <v>261</v>
      </c>
      <c r="H11">
        <v>5</v>
      </c>
      <c r="I11" s="31">
        <f t="shared" ref="I11:N11" si="4">$F11*EXP((-$G11*1000)/($E$2*I$6))</f>
        <v>0.85726063572005362</v>
      </c>
      <c r="J11" s="31">
        <f t="shared" si="4"/>
        <v>3.059595045129857</v>
      </c>
      <c r="K11" s="31">
        <f t="shared" si="4"/>
        <v>10.107545203324953</v>
      </c>
      <c r="L11" s="31">
        <f t="shared" si="4"/>
        <v>31.119104928176412</v>
      </c>
      <c r="M11" s="31">
        <f t="shared" si="4"/>
        <v>89.833238868895805</v>
      </c>
      <c r="N11" s="31">
        <f t="shared" si="4"/>
        <v>244.4622027823645</v>
      </c>
      <c r="O11" s="31">
        <f t="shared" si="3"/>
        <v>630.13576012366752</v>
      </c>
      <c r="P11" s="31">
        <f t="shared" si="1"/>
        <v>1545.1391148751388</v>
      </c>
      <c r="Q11" s="31">
        <f t="shared" si="1"/>
        <v>3618.1278693919267</v>
      </c>
    </row>
    <row r="12" spans="1:17" x14ac:dyDescent="0.45">
      <c r="A12" s="68">
        <v>6</v>
      </c>
      <c r="B12" s="70" t="s">
        <v>36</v>
      </c>
      <c r="C12" s="114"/>
      <c r="D12" s="114"/>
      <c r="E12" s="114"/>
      <c r="F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45">
      <c r="A13" s="68">
        <v>7</v>
      </c>
      <c r="B13" s="4" t="s">
        <v>37</v>
      </c>
      <c r="C13" s="114"/>
      <c r="D13" s="114"/>
      <c r="E13" s="114"/>
      <c r="F13" s="31">
        <v>6.48E+17</v>
      </c>
      <c r="G13">
        <v>261.10000000000002</v>
      </c>
      <c r="H13">
        <v>4</v>
      </c>
      <c r="I13" s="31">
        <f t="shared" ref="I13:N13" si="5">$F13*EXP((-$G13*1000)/($E$2*I$6))</f>
        <v>1.4702368777692436</v>
      </c>
      <c r="J13" s="31">
        <f t="shared" si="5"/>
        <v>5.2498885550227943</v>
      </c>
      <c r="K13" s="31">
        <f t="shared" si="5"/>
        <v>17.351246163355491</v>
      </c>
      <c r="L13" s="31">
        <f t="shared" si="5"/>
        <v>53.444029521026515</v>
      </c>
      <c r="M13" s="31">
        <f t="shared" si="5"/>
        <v>154.34250997762757</v>
      </c>
      <c r="N13" s="31">
        <f t="shared" si="5"/>
        <v>420.17170363970905</v>
      </c>
      <c r="O13" s="31">
        <f t="shared" si="3"/>
        <v>1083.4447358190503</v>
      </c>
      <c r="P13" s="31">
        <f t="shared" si="1"/>
        <v>2657.5991157156268</v>
      </c>
      <c r="Q13" s="31">
        <f t="shared" si="1"/>
        <v>6225.1149071863665</v>
      </c>
    </row>
    <row r="14" spans="1:17" x14ac:dyDescent="0.45">
      <c r="A14" s="68">
        <v>8</v>
      </c>
      <c r="B14" s="4" t="s">
        <v>38</v>
      </c>
      <c r="C14" s="114"/>
      <c r="D14" s="114"/>
      <c r="E14" s="114"/>
      <c r="F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45">
      <c r="A15" s="68">
        <v>9</v>
      </c>
      <c r="B15" s="71" t="s">
        <v>39</v>
      </c>
      <c r="C15" s="114"/>
      <c r="D15" s="114"/>
      <c r="E15" s="114"/>
      <c r="F15">
        <v>9120000000000000</v>
      </c>
      <c r="G15">
        <v>214.599999999999</v>
      </c>
      <c r="H15">
        <v>3</v>
      </c>
      <c r="I15" s="31">
        <f t="shared" ref="I15:N15" si="6">$F15*EXP((-$G15*1000)/($E$2*I$6))</f>
        <v>28.71493924967961</v>
      </c>
      <c r="J15" s="31">
        <f t="shared" si="6"/>
        <v>81.738689032527148</v>
      </c>
      <c r="K15" s="31">
        <f t="shared" si="6"/>
        <v>218.3463770938379</v>
      </c>
      <c r="L15" s="31">
        <f t="shared" si="6"/>
        <v>550.43245626283431</v>
      </c>
      <c r="M15" s="31">
        <f t="shared" si="6"/>
        <v>1316.0225638899799</v>
      </c>
      <c r="N15" s="31">
        <f t="shared" si="6"/>
        <v>2997.4001507974167</v>
      </c>
      <c r="O15" s="31">
        <f t="shared" si="3"/>
        <v>6529.2143293448371</v>
      </c>
      <c r="P15" s="31">
        <f t="shared" si="1"/>
        <v>13650.356456634039</v>
      </c>
      <c r="Q15" s="31">
        <f t="shared" si="1"/>
        <v>27476.950159162567</v>
      </c>
    </row>
    <row r="16" spans="1:17" x14ac:dyDescent="0.45">
      <c r="A16" s="68">
        <v>10</v>
      </c>
      <c r="B16" s="71" t="s">
        <v>40</v>
      </c>
      <c r="C16" s="114"/>
      <c r="D16" s="114"/>
      <c r="E16" s="114"/>
      <c r="F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22" x14ac:dyDescent="0.45">
      <c r="A17" s="68">
        <v>11</v>
      </c>
      <c r="B17" s="4" t="s">
        <v>41</v>
      </c>
      <c r="C17" s="114"/>
      <c r="D17" s="114"/>
      <c r="E17" s="114"/>
      <c r="F17" s="31">
        <v>2.71E+20</v>
      </c>
      <c r="G17">
        <v>272.8</v>
      </c>
      <c r="H17">
        <v>2</v>
      </c>
      <c r="I17" s="31">
        <f t="shared" ref="I17:N17" si="7">$F17*EXP((-$G17*1000)/($E$2*I$6))</f>
        <v>99.572217827436859</v>
      </c>
      <c r="J17" s="31">
        <f t="shared" si="7"/>
        <v>376.41808720830937</v>
      </c>
      <c r="K17" s="31">
        <f t="shared" si="7"/>
        <v>1312.5497368389574</v>
      </c>
      <c r="L17" s="31">
        <f t="shared" si="7"/>
        <v>4251.8433233382075</v>
      </c>
      <c r="M17" s="31">
        <f t="shared" si="7"/>
        <v>12876.643836420364</v>
      </c>
      <c r="N17" s="31">
        <f t="shared" si="7"/>
        <v>36663.49185236801</v>
      </c>
      <c r="O17" s="31">
        <f t="shared" si="3"/>
        <v>98638.826102653082</v>
      </c>
      <c r="P17" s="31">
        <f t="shared" si="1"/>
        <v>251879.28201551753</v>
      </c>
      <c r="Q17" s="31">
        <f t="shared" si="1"/>
        <v>612935.63795144111</v>
      </c>
    </row>
    <row r="18" spans="1:22" ht="14.65" thickBot="1" x14ac:dyDescent="0.5">
      <c r="A18" s="72">
        <v>12</v>
      </c>
      <c r="B18" s="73" t="s">
        <v>42</v>
      </c>
      <c r="C18" s="116"/>
      <c r="D18" s="116"/>
      <c r="E18" s="116"/>
      <c r="F18" s="74"/>
      <c r="G18" s="75"/>
      <c r="H18" s="76"/>
      <c r="I18" s="58"/>
    </row>
    <row r="21" spans="1:22" x14ac:dyDescent="0.45">
      <c r="P21" t="s">
        <v>11</v>
      </c>
    </row>
    <row r="22" spans="1:22" ht="14.65" thickBot="1" x14ac:dyDescent="0.5">
      <c r="A22" t="s">
        <v>44</v>
      </c>
      <c r="M22" t="s">
        <v>26</v>
      </c>
      <c r="P22">
        <v>8</v>
      </c>
      <c r="Q22">
        <v>9</v>
      </c>
      <c r="R22">
        <v>10</v>
      </c>
      <c r="S22">
        <v>11</v>
      </c>
      <c r="T22">
        <v>12</v>
      </c>
    </row>
    <row r="23" spans="1:22" ht="15.75" x14ac:dyDescent="0.45">
      <c r="C23" s="64">
        <v>773</v>
      </c>
      <c r="D23" s="65">
        <v>798</v>
      </c>
      <c r="E23">
        <v>823</v>
      </c>
      <c r="F23" s="66">
        <v>848</v>
      </c>
      <c r="G23" s="67">
        <v>873</v>
      </c>
      <c r="H23">
        <v>898</v>
      </c>
      <c r="I23">
        <v>923</v>
      </c>
      <c r="J23">
        <v>948</v>
      </c>
      <c r="K23">
        <v>973</v>
      </c>
      <c r="M23">
        <v>773</v>
      </c>
      <c r="N23" t="s">
        <v>47</v>
      </c>
      <c r="P23">
        <f>(1980.7*EXP(-1.56*P$22))</f>
        <v>7.5304957443318235E-3</v>
      </c>
      <c r="Q23">
        <f t="shared" ref="Q23:T23" si="8">(1980.7*EXP(-1.56*Q$22))</f>
        <v>1.5824287899079673E-3</v>
      </c>
      <c r="R23">
        <f t="shared" si="8"/>
        <v>3.3252536886624041E-4</v>
      </c>
      <c r="S23">
        <f t="shared" si="8"/>
        <v>6.9875574588136935E-5</v>
      </c>
      <c r="T23">
        <f t="shared" si="8"/>
        <v>1.4683378716847111E-5</v>
      </c>
    </row>
    <row r="24" spans="1:22" ht="15.75" x14ac:dyDescent="0.45">
      <c r="A24">
        <v>2</v>
      </c>
      <c r="C24">
        <v>99.572217827436859</v>
      </c>
      <c r="D24">
        <v>376.41808720830937</v>
      </c>
      <c r="E24">
        <v>1312.5497368389574</v>
      </c>
      <c r="F24">
        <v>4251.8433233382075</v>
      </c>
      <c r="G24">
        <v>12876.643836420364</v>
      </c>
      <c r="H24">
        <v>36663.49185236801</v>
      </c>
      <c r="I24">
        <v>98638.826102653082</v>
      </c>
      <c r="J24">
        <v>251879.28201551753</v>
      </c>
      <c r="K24">
        <v>612935.63795144111</v>
      </c>
      <c r="M24">
        <v>823</v>
      </c>
      <c r="N24" t="s">
        <v>48</v>
      </c>
      <c r="P24">
        <f>(24418*EXP(-1.598*P$22))</f>
        <v>6.8499820389314361E-2</v>
      </c>
      <c r="Q24">
        <f t="shared" ref="Q24:T24" si="9">(24418*EXP(-1.598*Q$22))</f>
        <v>1.3857562648501081E-2</v>
      </c>
      <c r="R24">
        <f t="shared" si="9"/>
        <v>2.8033948332379672E-3</v>
      </c>
      <c r="S24">
        <f t="shared" si="9"/>
        <v>5.6712877945209279E-4</v>
      </c>
      <c r="T24">
        <f t="shared" si="9"/>
        <v>1.1473055763298446E-4</v>
      </c>
    </row>
    <row r="25" spans="1:22" ht="15.75" x14ac:dyDescent="0.45">
      <c r="A25">
        <v>3</v>
      </c>
      <c r="C25">
        <v>28.71493924967961</v>
      </c>
      <c r="D25">
        <v>81.738689032527148</v>
      </c>
      <c r="E25">
        <v>218.3463770938379</v>
      </c>
      <c r="F25">
        <v>550.43245626283431</v>
      </c>
      <c r="G25">
        <v>1316.0225638899799</v>
      </c>
      <c r="H25">
        <v>2997.4001507974167</v>
      </c>
      <c r="I25">
        <v>6529.2143293448371</v>
      </c>
      <c r="J25">
        <v>13650.356456634039</v>
      </c>
      <c r="K25">
        <v>27476.950159162567</v>
      </c>
      <c r="M25">
        <v>873</v>
      </c>
      <c r="N25" t="s">
        <v>49</v>
      </c>
      <c r="P25">
        <f>(225754*EXP(-1.631*P$22))</f>
        <v>0.48636358856776291</v>
      </c>
      <c r="Q25">
        <f t="shared" ref="Q25:T25" si="10">(225754*EXP(-1.631*Q$22))</f>
        <v>9.5197765398765385E-2</v>
      </c>
      <c r="R25">
        <f t="shared" si="10"/>
        <v>1.8633414897702059E-2</v>
      </c>
      <c r="S25">
        <f t="shared" si="10"/>
        <v>3.6471880332015374E-3</v>
      </c>
      <c r="T25">
        <f t="shared" si="10"/>
        <v>7.1387776328476137E-4</v>
      </c>
    </row>
    <row r="26" spans="1:22" ht="15.75" x14ac:dyDescent="0.45">
      <c r="A26">
        <v>4</v>
      </c>
      <c r="C26">
        <v>1.4702368777692436</v>
      </c>
      <c r="D26">
        <v>5.2498885550227943</v>
      </c>
      <c r="E26">
        <v>17.351246163355491</v>
      </c>
      <c r="F26">
        <v>53.444029521026515</v>
      </c>
      <c r="G26">
        <v>154.34250997762757</v>
      </c>
      <c r="H26">
        <v>420.17170363970905</v>
      </c>
      <c r="I26">
        <v>1083.4447358190503</v>
      </c>
      <c r="J26">
        <v>2657.5991157156268</v>
      </c>
      <c r="K26">
        <v>6225.1149071863665</v>
      </c>
      <c r="M26">
        <v>923</v>
      </c>
      <c r="N26" t="s">
        <v>50</v>
      </c>
      <c r="P26">
        <f>(2000000*EXP(-1.66*P$22))</f>
        <v>3.416640432261087</v>
      </c>
      <c r="Q26">
        <f t="shared" ref="Q26:T26" si="11">(2000000*EXP(-1.66*Q$22))</f>
        <v>0.64963652716374121</v>
      </c>
      <c r="R26">
        <f t="shared" si="11"/>
        <v>0.12352122671160769</v>
      </c>
      <c r="S26">
        <f t="shared" si="11"/>
        <v>2.3486200067833776E-2</v>
      </c>
      <c r="T26">
        <f t="shared" si="11"/>
        <v>4.4656421273581758E-3</v>
      </c>
    </row>
    <row r="27" spans="1:22" ht="15.75" x14ac:dyDescent="0.45">
      <c r="A27">
        <v>5</v>
      </c>
      <c r="C27" s="31">
        <v>0.85726063572005362</v>
      </c>
      <c r="D27" s="31">
        <v>3.059595045129857</v>
      </c>
      <c r="E27" s="31">
        <v>10.107545203324953</v>
      </c>
      <c r="F27" s="31">
        <v>31.119104928176412</v>
      </c>
      <c r="G27" s="31">
        <v>89.833238868895805</v>
      </c>
      <c r="H27" s="31">
        <v>244.4622027823645</v>
      </c>
      <c r="I27" s="31">
        <v>630.13576012366752</v>
      </c>
      <c r="J27" s="31">
        <v>1545.1391148751388</v>
      </c>
      <c r="K27" s="31">
        <v>3618.1278693919267</v>
      </c>
      <c r="M27" s="81">
        <v>973</v>
      </c>
      <c r="N27" t="s">
        <v>51</v>
      </c>
      <c r="P27">
        <f>(10000000*EXP(-1.686*P$22))</f>
        <v>13.875097004984877</v>
      </c>
      <c r="Q27">
        <f t="shared" ref="Q27:T27" si="12">(10000000*EXP(-1.686*Q$22))</f>
        <v>2.5704877090419953</v>
      </c>
      <c r="R27">
        <f t="shared" si="12"/>
        <v>0.47620618868193398</v>
      </c>
      <c r="S27">
        <f t="shared" si="12"/>
        <v>8.8221520508063561E-2</v>
      </c>
      <c r="T27">
        <f t="shared" si="12"/>
        <v>1.6343837744521836E-2</v>
      </c>
    </row>
    <row r="28" spans="1:22" x14ac:dyDescent="0.45">
      <c r="A28">
        <v>6</v>
      </c>
      <c r="C28">
        <v>0.23966426374969241</v>
      </c>
      <c r="D28">
        <v>0.85537065777823962</v>
      </c>
      <c r="E28">
        <v>2.8257653256607398</v>
      </c>
      <c r="F28">
        <v>8.6999648186299652</v>
      </c>
      <c r="G28">
        <v>25.114668931089149</v>
      </c>
      <c r="H28">
        <v>68.344271745607287</v>
      </c>
      <c r="I28">
        <v>176.16698670124038</v>
      </c>
      <c r="J28">
        <v>431.97437620165169</v>
      </c>
      <c r="K28">
        <v>1011.5196193998935</v>
      </c>
    </row>
    <row r="29" spans="1:22" ht="14.65" thickBot="1" x14ac:dyDescent="0.5">
      <c r="A29">
        <v>7</v>
      </c>
      <c r="C29">
        <v>3.5376435705692343E-2</v>
      </c>
      <c r="D29">
        <v>0.10208491964021377</v>
      </c>
      <c r="E29">
        <v>0.27621517446791144</v>
      </c>
      <c r="F29">
        <v>0.7047659580363792</v>
      </c>
      <c r="G29">
        <v>1.7042899527764472</v>
      </c>
      <c r="H29">
        <v>3.9236397191001391</v>
      </c>
      <c r="I29">
        <v>8.6340966111005581</v>
      </c>
      <c r="J29">
        <v>18.22547576926576</v>
      </c>
      <c r="K29">
        <v>37.022655644844228</v>
      </c>
      <c r="M29" t="s">
        <v>52</v>
      </c>
    </row>
    <row r="30" spans="1:22" x14ac:dyDescent="0.45">
      <c r="A30">
        <v>8</v>
      </c>
      <c r="E30" s="56"/>
      <c r="F30" s="64"/>
      <c r="G30" s="65"/>
      <c r="N30" s="82">
        <v>8</v>
      </c>
      <c r="O30" s="82">
        <v>9</v>
      </c>
      <c r="P30" s="82">
        <v>10</v>
      </c>
      <c r="Q30" s="82">
        <v>11</v>
      </c>
      <c r="R30" s="82">
        <v>12</v>
      </c>
      <c r="T30" s="82"/>
      <c r="V30" s="82"/>
    </row>
    <row r="31" spans="1:22" x14ac:dyDescent="0.45">
      <c r="A31">
        <v>9</v>
      </c>
      <c r="E31" s="77"/>
      <c r="F31" s="78"/>
      <c r="G31" s="69"/>
      <c r="M31" t="s">
        <v>20</v>
      </c>
      <c r="N31" s="113" t="s">
        <v>27</v>
      </c>
      <c r="O31" s="113"/>
      <c r="P31" s="113"/>
      <c r="Q31" s="113"/>
      <c r="R31" s="113"/>
    </row>
    <row r="32" spans="1:22" ht="14.65" thickBot="1" x14ac:dyDescent="0.5">
      <c r="E32" s="57"/>
      <c r="F32" s="76"/>
      <c r="G32" s="58"/>
      <c r="M32">
        <f>(1/$M23)</f>
        <v>1.29366106080207E-3</v>
      </c>
      <c r="N32">
        <f>LN($P23)</f>
        <v>-4.8887944034367816</v>
      </c>
      <c r="O32">
        <f>LN(Q23)</f>
        <v>-6.4487944034367821</v>
      </c>
    </row>
    <row r="33" spans="3:15" ht="14.65" thickBot="1" x14ac:dyDescent="0.5">
      <c r="C33" s="113"/>
      <c r="D33" s="113"/>
      <c r="E33" s="113"/>
      <c r="F33" s="113"/>
      <c r="G33" s="113"/>
      <c r="H33" s="113"/>
      <c r="I33" s="113"/>
      <c r="M33">
        <f t="shared" ref="M33:M36" si="13">(1/$M24)</f>
        <v>1.215066828675577E-3</v>
      </c>
      <c r="N33">
        <f t="shared" ref="N33:N36" si="14">LN($P24)</f>
        <v>-2.6809241557712</v>
      </c>
      <c r="O33">
        <f t="shared" ref="O33:O36" si="15">LN(Q24)</f>
        <v>-4.2789241557712003</v>
      </c>
    </row>
    <row r="34" spans="3:15" x14ac:dyDescent="0.45">
      <c r="C34" s="64"/>
      <c r="D34" s="65"/>
      <c r="F34" s="66"/>
      <c r="G34" s="67"/>
      <c r="M34">
        <f t="shared" si="13"/>
        <v>1.145475372279496E-3</v>
      </c>
      <c r="N34">
        <f t="shared" si="14"/>
        <v>-0.72079881016234959</v>
      </c>
      <c r="O34">
        <f t="shared" si="15"/>
        <v>-2.3517988101623497</v>
      </c>
    </row>
    <row r="35" spans="3:15" x14ac:dyDescent="0.45">
      <c r="M35">
        <f t="shared" si="13"/>
        <v>1.0834236186348862E-3</v>
      </c>
      <c r="N35">
        <f t="shared" si="14"/>
        <v>1.2286577385242201</v>
      </c>
      <c r="O35">
        <f t="shared" si="15"/>
        <v>-0.43134226147578014</v>
      </c>
    </row>
    <row r="36" spans="3:15" ht="14.65" thickBot="1" x14ac:dyDescent="0.5">
      <c r="M36">
        <f t="shared" si="13"/>
        <v>1.0277492291880781E-3</v>
      </c>
      <c r="N36">
        <f t="shared" si="14"/>
        <v>2.6300956509583204</v>
      </c>
      <c r="O36">
        <f t="shared" si="15"/>
        <v>0.94409565095832026</v>
      </c>
    </row>
    <row r="37" spans="3:15" x14ac:dyDescent="0.45">
      <c r="K37" s="56" t="s">
        <v>55</v>
      </c>
      <c r="L37" s="64"/>
      <c r="M37" s="64"/>
      <c r="N37" s="65"/>
    </row>
    <row r="38" spans="3:15" x14ac:dyDescent="0.45">
      <c r="K38" s="77" t="s">
        <v>54</v>
      </c>
      <c r="L38" s="78"/>
      <c r="M38" s="78" t="s">
        <v>21</v>
      </c>
      <c r="N38" s="69">
        <f>EXP(32.051)</f>
        <v>83094530721645.141</v>
      </c>
    </row>
    <row r="39" spans="3:15" ht="14.65" thickBot="1" x14ac:dyDescent="0.5">
      <c r="K39" s="57"/>
      <c r="L39" s="76"/>
      <c r="M39" s="76" t="s">
        <v>22</v>
      </c>
      <c r="N39" s="58">
        <f>28565*8.314/1000</f>
        <v>237.48940999999999</v>
      </c>
    </row>
    <row r="40" spans="3:15" ht="14.65" thickBot="1" x14ac:dyDescent="0.5"/>
    <row r="41" spans="3:15" x14ac:dyDescent="0.45">
      <c r="K41" s="56" t="s">
        <v>56</v>
      </c>
      <c r="L41" s="64"/>
      <c r="M41" s="64"/>
      <c r="N41" s="65"/>
    </row>
    <row r="42" spans="3:15" x14ac:dyDescent="0.45">
      <c r="K42" s="77" t="s">
        <v>57</v>
      </c>
      <c r="L42" s="78"/>
      <c r="M42" s="78" t="s">
        <v>21</v>
      </c>
      <c r="N42" s="69">
        <f>EXP(29.878)</f>
        <v>9459115540881.1738</v>
      </c>
    </row>
    <row r="43" spans="3:15" x14ac:dyDescent="0.45">
      <c r="K43" s="77"/>
      <c r="L43" s="78"/>
      <c r="M43" s="78" t="s">
        <v>22</v>
      </c>
      <c r="N43" s="69">
        <f>(28091*8.314/1000)</f>
        <v>233.548574</v>
      </c>
    </row>
    <row r="44" spans="3:15" ht="14.65" thickBot="1" x14ac:dyDescent="0.5">
      <c r="K44" s="57"/>
      <c r="L44" s="76"/>
      <c r="M44" s="76"/>
      <c r="N44" s="58"/>
    </row>
  </sheetData>
  <mergeCells count="16">
    <mergeCell ref="N31:R31"/>
    <mergeCell ref="I5:O5"/>
    <mergeCell ref="C33:I33"/>
    <mergeCell ref="C11:E11"/>
    <mergeCell ref="C6:E6"/>
    <mergeCell ref="C7:E7"/>
    <mergeCell ref="C8:E8"/>
    <mergeCell ref="C9:E9"/>
    <mergeCell ref="C10:E10"/>
    <mergeCell ref="C17:E17"/>
    <mergeCell ref="C18:E18"/>
    <mergeCell ref="C12:E12"/>
    <mergeCell ref="C13:E13"/>
    <mergeCell ref="C14:E14"/>
    <mergeCell ref="C15:E15"/>
    <mergeCell ref="C16:E16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EEE4-4971-45A8-BF16-4B3B40D17744}">
  <dimension ref="A3:N32"/>
  <sheetViews>
    <sheetView topLeftCell="A13" workbookViewId="0">
      <selection activeCell="I8" sqref="I8:N8"/>
    </sheetView>
  </sheetViews>
  <sheetFormatPr defaultRowHeight="14.25" x14ac:dyDescent="0.45"/>
  <sheetData>
    <row r="3" spans="1:14" ht="18" x14ac:dyDescent="0.45">
      <c r="D3" s="1" t="s">
        <v>15</v>
      </c>
    </row>
    <row r="4" spans="1:14" x14ac:dyDescent="0.45">
      <c r="D4" t="s">
        <v>5</v>
      </c>
      <c r="E4">
        <v>8.3140000000000001</v>
      </c>
    </row>
    <row r="5" spans="1:14" x14ac:dyDescent="0.45">
      <c r="I5" s="31"/>
      <c r="J5" s="31"/>
    </row>
    <row r="6" spans="1:14" x14ac:dyDescent="0.45">
      <c r="A6" s="9"/>
      <c r="B6" s="9"/>
      <c r="C6" s="9"/>
      <c r="D6" s="9"/>
      <c r="E6" s="9"/>
      <c r="F6" s="9"/>
      <c r="G6" s="9"/>
      <c r="H6" s="9"/>
      <c r="I6" s="8"/>
      <c r="J6" s="8"/>
    </row>
    <row r="7" spans="1:14" ht="14.65" thickBot="1" x14ac:dyDescent="0.5">
      <c r="A7" s="9" t="s">
        <v>1</v>
      </c>
      <c r="B7" s="9"/>
      <c r="C7" s="9" t="s">
        <v>43</v>
      </c>
      <c r="D7" s="9"/>
      <c r="E7" s="9" t="s">
        <v>3</v>
      </c>
      <c r="F7" s="9">
        <v>9.83</v>
      </c>
      <c r="G7" s="9"/>
      <c r="H7" s="9" t="s">
        <v>14</v>
      </c>
      <c r="I7" s="9"/>
      <c r="J7" s="8"/>
    </row>
    <row r="8" spans="1:14" ht="14.65" thickBot="1" x14ac:dyDescent="0.5">
      <c r="A8" s="9"/>
      <c r="B8" s="9"/>
      <c r="C8" s="9"/>
      <c r="D8" s="9"/>
      <c r="E8" s="9"/>
      <c r="F8" s="9"/>
      <c r="G8" s="9"/>
      <c r="H8" s="9"/>
      <c r="I8" s="34">
        <v>573</v>
      </c>
      <c r="J8" s="34">
        <v>673</v>
      </c>
      <c r="K8" s="34">
        <v>773</v>
      </c>
      <c r="L8" s="34">
        <v>873</v>
      </c>
      <c r="M8" s="34">
        <v>973</v>
      </c>
      <c r="N8" s="34">
        <v>1073</v>
      </c>
    </row>
    <row r="9" spans="1:14" ht="14.65" thickBot="1" x14ac:dyDescent="0.5">
      <c r="A9" s="11">
        <v>18</v>
      </c>
      <c r="B9" s="12">
        <v>10</v>
      </c>
      <c r="C9" s="98"/>
      <c r="D9" s="98"/>
      <c r="E9" s="98"/>
      <c r="F9" s="34">
        <v>1.04E+18</v>
      </c>
      <c r="G9" s="34">
        <v>256.69999999999902</v>
      </c>
      <c r="H9" s="34">
        <v>7</v>
      </c>
      <c r="I9" s="33">
        <f>($F9*EXP((-$G9*1000)/($E$4*I$8)))</f>
        <v>4.1250962738327181E-6</v>
      </c>
      <c r="J9" s="33">
        <f t="shared" ref="J9:N13" si="0">($F9*EXP((-$G9*1000)/($E$4*J$8)))</f>
        <v>1.2377716043216835E-2</v>
      </c>
      <c r="K9" s="33">
        <f t="shared" si="0"/>
        <v>4.6793079876152772</v>
      </c>
      <c r="L9" s="33">
        <f t="shared" si="0"/>
        <v>454.17243572947416</v>
      </c>
      <c r="M9" s="33">
        <f t="shared" si="0"/>
        <v>17211.722101423213</v>
      </c>
      <c r="N9" s="33">
        <f t="shared" si="0"/>
        <v>331273.55512370006</v>
      </c>
    </row>
    <row r="10" spans="1:14" ht="14.65" thickBot="1" x14ac:dyDescent="0.5">
      <c r="A10" s="17">
        <v>44</v>
      </c>
      <c r="B10" s="18">
        <v>36</v>
      </c>
      <c r="C10" s="100"/>
      <c r="D10" s="100"/>
      <c r="E10" s="100"/>
      <c r="F10" s="34">
        <v>1.12E+18</v>
      </c>
      <c r="G10" s="34">
        <v>256.69999999999902</v>
      </c>
      <c r="H10" s="20">
        <v>6</v>
      </c>
      <c r="I10" s="33">
        <f>($F10*EXP((-$G10*1000)/($E$4*I$8)))</f>
        <v>4.4424113718198507E-6</v>
      </c>
      <c r="J10" s="33">
        <f t="shared" si="0"/>
        <v>1.3329848046541207E-2</v>
      </c>
      <c r="K10" s="33">
        <f t="shared" si="0"/>
        <v>5.039254755893376</v>
      </c>
      <c r="L10" s="33">
        <f t="shared" si="0"/>
        <v>489.10877693943371</v>
      </c>
      <c r="M10" s="33">
        <f t="shared" si="0"/>
        <v>18535.700724609615</v>
      </c>
      <c r="N10" s="33">
        <f t="shared" si="0"/>
        <v>356756.13628706161</v>
      </c>
    </row>
    <row r="11" spans="1:14" ht="14.65" thickBot="1" x14ac:dyDescent="0.5">
      <c r="A11" s="36">
        <v>47</v>
      </c>
      <c r="B11" s="18">
        <v>39</v>
      </c>
      <c r="C11" s="100"/>
      <c r="D11" s="100"/>
      <c r="E11" s="100"/>
      <c r="F11" s="34">
        <v>1.55E+18</v>
      </c>
      <c r="G11" s="34">
        <v>256.7</v>
      </c>
      <c r="H11" s="20">
        <v>5</v>
      </c>
      <c r="I11" s="33">
        <f>($F11*EXP((-$G11*1000)/($E$4*I$8)))</f>
        <v>6.1479800234994203E-6</v>
      </c>
      <c r="J11" s="33">
        <f t="shared" si="0"/>
        <v>1.8447557564406428E-2</v>
      </c>
      <c r="K11" s="33">
        <f t="shared" si="0"/>
        <v>6.9739686353870631</v>
      </c>
      <c r="L11" s="33">
        <f t="shared" si="0"/>
        <v>676.89161094287488</v>
      </c>
      <c r="M11" s="33">
        <f t="shared" si="0"/>
        <v>25652.085824233331</v>
      </c>
      <c r="N11" s="33">
        <f t="shared" si="0"/>
        <v>493725.01004007552</v>
      </c>
    </row>
    <row r="12" spans="1:14" ht="14.65" thickBot="1" x14ac:dyDescent="0.5">
      <c r="A12" s="24">
        <v>32</v>
      </c>
      <c r="B12" s="37">
        <v>24</v>
      </c>
      <c r="C12" s="97"/>
      <c r="D12" s="97"/>
      <c r="E12" s="97"/>
      <c r="F12" s="34">
        <v>7.76E+19</v>
      </c>
      <c r="G12" s="34">
        <v>256.7</v>
      </c>
      <c r="H12" s="27">
        <v>4</v>
      </c>
      <c r="I12" s="33">
        <f>($F12*EXP((-$G12*1000)/($E$4*I$8)))</f>
        <v>3.0779564504745483E-4</v>
      </c>
      <c r="J12" s="33">
        <f t="shared" si="0"/>
        <v>0.92356804322447672</v>
      </c>
      <c r="K12" s="33">
        <f t="shared" si="0"/>
        <v>349.14836522970074</v>
      </c>
      <c r="L12" s="33">
        <f t="shared" si="0"/>
        <v>33888.250973656184</v>
      </c>
      <c r="M12" s="33">
        <f t="shared" si="0"/>
        <v>1284259.2644906493</v>
      </c>
      <c r="N12" s="33">
        <f t="shared" si="0"/>
        <v>24718103.728457972</v>
      </c>
    </row>
    <row r="13" spans="1:14" ht="14.65" thickBot="1" x14ac:dyDescent="0.5">
      <c r="A13" s="24">
        <v>33</v>
      </c>
      <c r="B13" s="25">
        <v>25</v>
      </c>
      <c r="C13" s="97"/>
      <c r="D13" s="97"/>
      <c r="E13" s="97"/>
      <c r="F13" s="34">
        <v>3.9406249999999898E+17</v>
      </c>
      <c r="G13" s="34">
        <v>211.69999999999899</v>
      </c>
      <c r="H13" s="27">
        <v>3</v>
      </c>
      <c r="I13" s="33">
        <f>($F13*EXP((-$G13*1000)/($E$4*I$8)))</f>
        <v>1.9783852996901972E-2</v>
      </c>
      <c r="J13" s="33">
        <f t="shared" si="0"/>
        <v>14.586677423350968</v>
      </c>
      <c r="K13" s="33">
        <f t="shared" si="0"/>
        <v>1948.2721247361283</v>
      </c>
      <c r="L13" s="33">
        <f t="shared" si="0"/>
        <v>84792.414889784981</v>
      </c>
      <c r="M13" s="33">
        <f t="shared" si="0"/>
        <v>1699136.7792197093</v>
      </c>
      <c r="N13" s="33">
        <f t="shared" si="0"/>
        <v>19473301.850521896</v>
      </c>
    </row>
    <row r="16" spans="1:14" x14ac:dyDescent="0.45">
      <c r="A16" t="s">
        <v>23</v>
      </c>
    </row>
    <row r="20" spans="1:14" ht="18" x14ac:dyDescent="0.55000000000000004">
      <c r="A20" s="38"/>
      <c r="B20" s="38"/>
      <c r="C20" s="38"/>
      <c r="D20" s="1" t="s">
        <v>16</v>
      </c>
      <c r="E20" s="38"/>
      <c r="F20" s="38"/>
    </row>
    <row r="21" spans="1:14" ht="18" x14ac:dyDescent="0.55000000000000004">
      <c r="A21" s="38"/>
      <c r="B21" s="38"/>
      <c r="C21" s="38"/>
      <c r="D21" s="1"/>
      <c r="E21" s="38"/>
      <c r="F21" s="38"/>
    </row>
    <row r="23" spans="1:14" ht="14.65" thickBot="1" x14ac:dyDescent="0.5">
      <c r="A23" s="9" t="s">
        <v>1</v>
      </c>
      <c r="B23" s="9"/>
      <c r="C23" s="9" t="s">
        <v>43</v>
      </c>
      <c r="D23" s="9"/>
      <c r="E23" s="9" t="s">
        <v>3</v>
      </c>
      <c r="F23" s="9"/>
      <c r="G23" s="9"/>
      <c r="H23" s="9" t="s">
        <v>14</v>
      </c>
      <c r="I23" s="9"/>
      <c r="J23" s="9"/>
    </row>
    <row r="24" spans="1:14" ht="14.65" thickBot="1" x14ac:dyDescent="0.5">
      <c r="A24" s="9"/>
      <c r="B24" s="9"/>
      <c r="C24" s="9"/>
      <c r="D24" s="9"/>
      <c r="E24" s="9"/>
      <c r="F24" s="9"/>
      <c r="G24" s="9"/>
      <c r="H24" s="34"/>
      <c r="I24" s="34">
        <v>573</v>
      </c>
      <c r="J24" s="34">
        <v>673</v>
      </c>
      <c r="K24" s="34">
        <v>773</v>
      </c>
      <c r="L24" s="34">
        <v>873</v>
      </c>
      <c r="M24" s="34">
        <v>973</v>
      </c>
      <c r="N24" s="34">
        <v>1073</v>
      </c>
    </row>
    <row r="25" spans="1:14" ht="14.65" thickBot="1" x14ac:dyDescent="0.5">
      <c r="A25" s="11">
        <v>20</v>
      </c>
      <c r="B25" s="12">
        <v>12</v>
      </c>
      <c r="C25" s="118"/>
      <c r="D25" s="118"/>
      <c r="E25" s="118"/>
      <c r="F25" s="34">
        <v>1874452685</v>
      </c>
      <c r="G25" s="34">
        <v>256.69999999999902</v>
      </c>
      <c r="H25" s="20">
        <v>7</v>
      </c>
      <c r="I25" s="20">
        <f>($F25*EXP((-$G25*1000)/($E$4*I$8)))</f>
        <v>7.4349017176627257E-15</v>
      </c>
      <c r="J25" s="20">
        <f t="shared" ref="J25:N29" si="1">($F25*EXP((-$G25*1000)/($E$4*J$8)))</f>
        <v>2.2309079876322472E-11</v>
      </c>
      <c r="K25" s="20">
        <f t="shared" si="1"/>
        <v>8.4337898281994263E-9</v>
      </c>
      <c r="L25" s="20">
        <f t="shared" si="1"/>
        <v>8.1858148231356031E-7</v>
      </c>
      <c r="M25" s="20">
        <f t="shared" si="1"/>
        <v>3.1021691063929409E-5</v>
      </c>
      <c r="N25" s="20">
        <f t="shared" si="1"/>
        <v>5.9707365852991836E-4</v>
      </c>
    </row>
    <row r="26" spans="1:14" ht="14.65" thickBot="1" x14ac:dyDescent="0.5">
      <c r="A26" s="36">
        <v>48</v>
      </c>
      <c r="B26" s="18">
        <v>40</v>
      </c>
      <c r="C26" s="117"/>
      <c r="D26" s="117"/>
      <c r="E26" s="117"/>
      <c r="F26" s="20">
        <v>2041288787</v>
      </c>
      <c r="G26" s="20">
        <v>256.69999999999902</v>
      </c>
      <c r="H26" s="20">
        <v>6</v>
      </c>
      <c r="I26" s="33">
        <f>($F26*EXP((-$G26*1000)/($E$4*I$8)))</f>
        <v>8.0966468933367405E-15</v>
      </c>
      <c r="J26" s="33">
        <f t="shared" si="1"/>
        <v>2.4294704776623588E-11</v>
      </c>
      <c r="K26" s="33">
        <f t="shared" si="1"/>
        <v>9.1844412750371166E-9</v>
      </c>
      <c r="L26" s="33">
        <f t="shared" si="1"/>
        <v>8.9143951963370552E-7</v>
      </c>
      <c r="M26" s="33">
        <f t="shared" si="1"/>
        <v>3.3782783971726231E-5</v>
      </c>
      <c r="N26" s="33">
        <f t="shared" si="1"/>
        <v>6.5021633990734165E-4</v>
      </c>
    </row>
    <row r="27" spans="1:14" ht="14.65" thickBot="1" x14ac:dyDescent="0.5">
      <c r="A27" s="41">
        <v>49</v>
      </c>
      <c r="B27" s="18">
        <v>41</v>
      </c>
      <c r="C27" s="117"/>
      <c r="D27" s="117"/>
      <c r="E27" s="117"/>
      <c r="F27" s="20">
        <v>62023774696</v>
      </c>
      <c r="G27" s="20">
        <v>256.69999999999902</v>
      </c>
      <c r="H27" s="20">
        <v>5</v>
      </c>
      <c r="I27" s="33">
        <f>($F27*EXP((-$G27*1000)/($E$4*I$8)))</f>
        <v>2.4601350181491315E-13</v>
      </c>
      <c r="J27" s="33">
        <f t="shared" si="1"/>
        <v>7.3818526068802453E-10</v>
      </c>
      <c r="K27" s="33">
        <f t="shared" si="1"/>
        <v>2.7906571572792608E-7</v>
      </c>
      <c r="L27" s="33">
        <f t="shared" si="1"/>
        <v>2.7086046948863889E-5</v>
      </c>
      <c r="M27" s="33">
        <f t="shared" si="1"/>
        <v>1.0264768978354201E-3</v>
      </c>
      <c r="N27" s="33">
        <f t="shared" si="1"/>
        <v>1.9756573409360875E-2</v>
      </c>
    </row>
    <row r="28" spans="1:14" ht="14.65" thickBot="1" x14ac:dyDescent="0.5">
      <c r="A28" s="17">
        <v>32</v>
      </c>
      <c r="B28" s="18">
        <v>24</v>
      </c>
      <c r="C28" s="96"/>
      <c r="D28" s="96"/>
      <c r="E28" s="96"/>
      <c r="F28" s="20">
        <v>7.76E+19</v>
      </c>
      <c r="G28" s="20">
        <v>256.7</v>
      </c>
      <c r="H28" s="20">
        <v>4</v>
      </c>
      <c r="I28" s="33">
        <f>($F28*EXP((-$G28*1000)/($E$4*I$8)))</f>
        <v>3.0779564504745483E-4</v>
      </c>
      <c r="J28" s="33">
        <f t="shared" si="1"/>
        <v>0.92356804322447672</v>
      </c>
      <c r="K28" s="33">
        <f t="shared" si="1"/>
        <v>349.14836522970074</v>
      </c>
      <c r="L28" s="33">
        <f t="shared" si="1"/>
        <v>33888.250973656184</v>
      </c>
      <c r="M28" s="33">
        <f t="shared" si="1"/>
        <v>1284259.2644906493</v>
      </c>
      <c r="N28" s="33">
        <f t="shared" si="1"/>
        <v>24718103.728457972</v>
      </c>
    </row>
    <row r="29" spans="1:14" ht="14.65" thickBot="1" x14ac:dyDescent="0.5">
      <c r="A29" s="24">
        <v>33</v>
      </c>
      <c r="B29" s="25">
        <v>25</v>
      </c>
      <c r="C29" s="97"/>
      <c r="D29" s="97"/>
      <c r="E29" s="97"/>
      <c r="F29" s="27">
        <v>3.9406249999999898E+17</v>
      </c>
      <c r="G29" s="27">
        <v>211.69999999999899</v>
      </c>
      <c r="H29" s="27">
        <v>3</v>
      </c>
      <c r="I29" s="33">
        <f>($F29*EXP((-$G29*1000)/($E$4*I$8)))</f>
        <v>1.9783852996901972E-2</v>
      </c>
      <c r="J29" s="33">
        <f t="shared" si="1"/>
        <v>14.586677423350968</v>
      </c>
      <c r="K29" s="33">
        <f t="shared" si="1"/>
        <v>1948.2721247361283</v>
      </c>
      <c r="L29" s="33">
        <f t="shared" si="1"/>
        <v>84792.414889784981</v>
      </c>
      <c r="M29" s="33">
        <f t="shared" si="1"/>
        <v>1699136.7792197093</v>
      </c>
      <c r="N29" s="33">
        <f t="shared" si="1"/>
        <v>19473301.850521896</v>
      </c>
    </row>
    <row r="32" spans="1:14" x14ac:dyDescent="0.45">
      <c r="A32" t="s">
        <v>24</v>
      </c>
    </row>
  </sheetData>
  <mergeCells count="10">
    <mergeCell ref="C26:E26"/>
    <mergeCell ref="C27:E27"/>
    <mergeCell ref="C28:E28"/>
    <mergeCell ref="C29:E29"/>
    <mergeCell ref="C9:E9"/>
    <mergeCell ref="C10:E10"/>
    <mergeCell ref="C11:E11"/>
    <mergeCell ref="C12:E12"/>
    <mergeCell ref="C13:E13"/>
    <mergeCell ref="C25:E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8ECC-7B74-4B7C-AE10-3997D3FF4E6F}">
  <sheetPr codeName="Sheet2"/>
  <dimension ref="A1:N40"/>
  <sheetViews>
    <sheetView topLeftCell="E19" workbookViewId="0">
      <selection activeCell="N31" sqref="N31"/>
    </sheetView>
  </sheetViews>
  <sheetFormatPr defaultRowHeight="14.25" x14ac:dyDescent="0.45"/>
  <cols>
    <col min="1" max="1" width="9.06640625" customWidth="1"/>
    <col min="4" max="4" width="11.59765625" bestFit="1" customWidth="1"/>
    <col min="8" max="8" width="11.59765625" bestFit="1" customWidth="1"/>
  </cols>
  <sheetData>
    <row r="1" spans="1:14" ht="18" x14ac:dyDescent="0.45">
      <c r="C1" s="1" t="s">
        <v>0</v>
      </c>
    </row>
    <row r="2" spans="1:14" x14ac:dyDescent="0.45">
      <c r="A2" t="s">
        <v>1</v>
      </c>
      <c r="C2" t="s">
        <v>2</v>
      </c>
      <c r="E2" t="s">
        <v>3</v>
      </c>
      <c r="I2" s="113" t="s">
        <v>4</v>
      </c>
      <c r="J2" s="113"/>
      <c r="K2" s="113"/>
      <c r="L2" s="113"/>
    </row>
    <row r="3" spans="1:14" x14ac:dyDescent="0.45">
      <c r="D3" t="s">
        <v>5</v>
      </c>
      <c r="E3">
        <v>8.3140000000000001</v>
      </c>
    </row>
    <row r="5" spans="1:14" x14ac:dyDescent="0.45">
      <c r="A5" s="5"/>
      <c r="B5" s="6"/>
      <c r="C5" s="7"/>
      <c r="D5" s="7"/>
      <c r="E5" s="7"/>
      <c r="F5" s="8"/>
      <c r="G5" s="9"/>
      <c r="H5" s="9"/>
      <c r="I5" s="8"/>
      <c r="J5" s="8"/>
      <c r="K5" s="2"/>
      <c r="L5" s="3"/>
    </row>
    <row r="6" spans="1:14" x14ac:dyDescent="0.45">
      <c r="A6" s="9" t="s">
        <v>1</v>
      </c>
      <c r="B6" s="9"/>
      <c r="C6" s="9" t="s">
        <v>2</v>
      </c>
      <c r="D6" s="9"/>
      <c r="E6" s="9" t="s">
        <v>3</v>
      </c>
      <c r="F6" s="9">
        <v>9.83</v>
      </c>
      <c r="G6" s="9"/>
      <c r="H6" s="9" t="s">
        <v>14</v>
      </c>
      <c r="I6" s="9"/>
      <c r="J6" s="9"/>
      <c r="K6" s="52"/>
      <c r="L6" s="53"/>
    </row>
    <row r="7" spans="1:14" ht="14.65" thickBot="1" x14ac:dyDescent="0.5">
      <c r="A7" s="9"/>
      <c r="B7" s="9"/>
      <c r="C7" s="10"/>
      <c r="D7" s="9"/>
      <c r="E7" s="9"/>
      <c r="F7" s="9"/>
      <c r="G7" s="9"/>
      <c r="H7" s="9"/>
      <c r="I7" s="110" t="s">
        <v>4</v>
      </c>
      <c r="J7" s="111"/>
      <c r="K7" s="111"/>
      <c r="L7" s="111"/>
      <c r="M7" s="111"/>
      <c r="N7" s="112"/>
    </row>
    <row r="8" spans="1:14" ht="47.25" x14ac:dyDescent="0.45">
      <c r="A8" s="11" t="s">
        <v>6</v>
      </c>
      <c r="B8" s="12" t="s">
        <v>7</v>
      </c>
      <c r="C8" s="13" t="s">
        <v>8</v>
      </c>
      <c r="D8" s="13"/>
      <c r="E8" s="13"/>
      <c r="F8" s="14" t="s">
        <v>9</v>
      </c>
      <c r="G8" s="14" t="s">
        <v>10</v>
      </c>
      <c r="H8" s="14"/>
      <c r="I8" s="3">
        <v>773</v>
      </c>
      <c r="J8" s="3">
        <v>823</v>
      </c>
      <c r="K8" s="3">
        <v>873</v>
      </c>
      <c r="L8" s="3">
        <v>923</v>
      </c>
      <c r="M8" s="3">
        <v>973</v>
      </c>
      <c r="N8" s="3"/>
    </row>
    <row r="9" spans="1:14" x14ac:dyDescent="0.45">
      <c r="A9" s="17">
        <v>17</v>
      </c>
      <c r="B9" s="18">
        <v>9</v>
      </c>
      <c r="C9" s="19"/>
      <c r="D9" s="19"/>
      <c r="E9" s="19"/>
      <c r="F9">
        <v>346185000000000</v>
      </c>
      <c r="G9">
        <v>249.71</v>
      </c>
      <c r="H9" s="20">
        <v>7</v>
      </c>
      <c r="I9" s="21">
        <f t="shared" ref="I9:M13" si="0">($F9*EXP((-$G9*1000)/($E$3*I$8)))</f>
        <v>4.6218441507856157E-3</v>
      </c>
      <c r="J9" s="21">
        <f t="shared" si="0"/>
        <v>4.8977558112654043E-2</v>
      </c>
      <c r="K9" s="21">
        <f t="shared" si="0"/>
        <v>0.39604716260996975</v>
      </c>
      <c r="L9" s="21">
        <f t="shared" si="0"/>
        <v>2.5535768293328589</v>
      </c>
      <c r="M9" s="21">
        <f t="shared" si="0"/>
        <v>13.594546396234213</v>
      </c>
      <c r="N9" s="21"/>
    </row>
    <row r="10" spans="1:14" x14ac:dyDescent="0.45">
      <c r="A10" s="17">
        <v>43</v>
      </c>
      <c r="B10" s="18">
        <v>35</v>
      </c>
      <c r="C10" s="23"/>
      <c r="D10" s="23"/>
      <c r="E10" s="23"/>
      <c r="F10" s="31">
        <v>3471844916964280</v>
      </c>
      <c r="G10">
        <v>249.71</v>
      </c>
      <c r="H10" s="20">
        <v>6</v>
      </c>
      <c r="I10" s="21">
        <f t="shared" si="0"/>
        <v>4.6351881571720696E-2</v>
      </c>
      <c r="J10" s="21">
        <f t="shared" si="0"/>
        <v>0.49118964189303571</v>
      </c>
      <c r="K10" s="21">
        <f t="shared" si="0"/>
        <v>3.9719061437830905</v>
      </c>
      <c r="L10" s="21">
        <f t="shared" si="0"/>
        <v>25.609494157739501</v>
      </c>
      <c r="M10" s="21">
        <f t="shared" si="0"/>
        <v>136.33796035125965</v>
      </c>
      <c r="N10" s="21"/>
    </row>
    <row r="11" spans="1:14" x14ac:dyDescent="0.45">
      <c r="A11" s="17">
        <v>46</v>
      </c>
      <c r="B11" s="18">
        <v>38</v>
      </c>
      <c r="C11" s="23"/>
      <c r="D11" s="23"/>
      <c r="E11" s="23"/>
      <c r="F11" s="31">
        <v>6423440166964280</v>
      </c>
      <c r="G11">
        <v>249.71</v>
      </c>
      <c r="H11" s="20">
        <v>5</v>
      </c>
      <c r="I11" s="21">
        <f t="shared" si="0"/>
        <v>8.5758017717709412E-2</v>
      </c>
      <c r="J11" s="21">
        <f t="shared" si="0"/>
        <v>0.90877540638863386</v>
      </c>
      <c r="K11" s="21">
        <f t="shared" si="0"/>
        <v>7.3486293522859549</v>
      </c>
      <c r="L11" s="21">
        <f t="shared" si="0"/>
        <v>47.381452041440198</v>
      </c>
      <c r="M11" s="21">
        <f t="shared" si="0"/>
        <v>252.24592450057148</v>
      </c>
      <c r="N11" s="21"/>
    </row>
    <row r="12" spans="1:14" x14ac:dyDescent="0.45">
      <c r="A12" s="17">
        <v>30</v>
      </c>
      <c r="B12" s="18">
        <v>22</v>
      </c>
      <c r="C12" s="19"/>
      <c r="D12" s="19"/>
      <c r="E12" s="19"/>
      <c r="F12" s="31">
        <v>4.36E+16</v>
      </c>
      <c r="G12">
        <v>249.71</v>
      </c>
      <c r="H12" s="20">
        <v>4</v>
      </c>
      <c r="I12" s="21">
        <f t="shared" si="0"/>
        <v>0.58209455919306974</v>
      </c>
      <c r="J12" s="21">
        <f t="shared" si="0"/>
        <v>6.1684403821994485</v>
      </c>
      <c r="K12" s="21">
        <f t="shared" si="0"/>
        <v>49.87985120613164</v>
      </c>
      <c r="L12" s="21">
        <f t="shared" si="0"/>
        <v>321.60824345050378</v>
      </c>
      <c r="M12" s="21">
        <f t="shared" si="0"/>
        <v>1712.15454995396</v>
      </c>
      <c r="N12" s="21"/>
    </row>
    <row r="13" spans="1:14" ht="14.65" thickBot="1" x14ac:dyDescent="0.5">
      <c r="A13" s="24">
        <v>33</v>
      </c>
      <c r="B13" s="25">
        <v>25</v>
      </c>
      <c r="C13" s="97"/>
      <c r="D13" s="97"/>
      <c r="E13" s="97"/>
      <c r="F13" s="83">
        <v>3.9406249999999898E+17</v>
      </c>
      <c r="G13">
        <v>211.69999999999899</v>
      </c>
      <c r="H13" s="27">
        <v>3</v>
      </c>
      <c r="I13" s="21">
        <f t="shared" si="0"/>
        <v>1948.2721247361283</v>
      </c>
      <c r="J13" s="21">
        <f t="shared" si="0"/>
        <v>14413.90930917904</v>
      </c>
      <c r="K13" s="21">
        <f t="shared" si="0"/>
        <v>84792.414889784981</v>
      </c>
      <c r="L13" s="21">
        <f t="shared" si="0"/>
        <v>411675.12521113135</v>
      </c>
      <c r="M13" s="21">
        <f t="shared" si="0"/>
        <v>1699136.7792197093</v>
      </c>
      <c r="N13" s="21"/>
    </row>
    <row r="14" spans="1:14" x14ac:dyDescent="0.45">
      <c r="H14" s="54"/>
      <c r="I14" s="21"/>
      <c r="J14" s="21"/>
      <c r="K14" s="21"/>
      <c r="L14" s="21"/>
      <c r="M14" s="21"/>
      <c r="N14" s="21"/>
    </row>
    <row r="16" spans="1:14" x14ac:dyDescent="0.45">
      <c r="E16" s="119" t="s">
        <v>45</v>
      </c>
      <c r="F16" s="119"/>
      <c r="G16" s="119"/>
      <c r="H16" s="119"/>
      <c r="I16" s="119"/>
      <c r="J16" s="119"/>
    </row>
    <row r="17" spans="1:10" x14ac:dyDescent="0.45">
      <c r="D17" t="s">
        <v>26</v>
      </c>
      <c r="E17" s="3">
        <v>8</v>
      </c>
      <c r="F17" s="3">
        <v>9</v>
      </c>
      <c r="G17" s="3">
        <v>10</v>
      </c>
      <c r="H17" s="3">
        <v>11</v>
      </c>
      <c r="I17" s="3">
        <v>12</v>
      </c>
      <c r="J17" s="3"/>
    </row>
    <row r="18" spans="1:10" ht="15.75" x14ac:dyDescent="0.45">
      <c r="A18" t="s">
        <v>58</v>
      </c>
      <c r="D18">
        <v>773</v>
      </c>
      <c r="E18">
        <f>(2000000000*(E17^-14.03))</f>
        <v>4.2724548130264122E-4</v>
      </c>
      <c r="F18">
        <f>(2000000000*(F17^-14.03))</f>
        <v>8.1847908892327127E-5</v>
      </c>
      <c r="G18">
        <f t="shared" ref="G18:I18" si="1">(2000000000*(G17^-14.03))</f>
        <v>1.8665086015939802E-5</v>
      </c>
      <c r="H18">
        <f t="shared" si="1"/>
        <v>4.901066811779773E-6</v>
      </c>
      <c r="I18">
        <f t="shared" si="1"/>
        <v>1.4458296064715553E-6</v>
      </c>
    </row>
    <row r="19" spans="1:10" ht="15.75" x14ac:dyDescent="0.45">
      <c r="A19" t="s">
        <v>61</v>
      </c>
      <c r="D19">
        <v>823</v>
      </c>
      <c r="E19">
        <f>(9000000000*(E17^-13.65))</f>
        <v>4.2370558342428935E-3</v>
      </c>
      <c r="F19">
        <f t="shared" ref="F19:I19" si="2">(9000000000*(F17^-13.65))</f>
        <v>8.4885254600279862E-4</v>
      </c>
      <c r="G19">
        <f t="shared" si="2"/>
        <v>2.0148490247114966E-4</v>
      </c>
      <c r="H19">
        <f t="shared" si="2"/>
        <v>5.4857038355302949E-5</v>
      </c>
      <c r="I19">
        <f t="shared" si="2"/>
        <v>1.6727017100201942E-5</v>
      </c>
    </row>
    <row r="20" spans="1:10" ht="15.75" x14ac:dyDescent="0.45">
      <c r="A20" t="s">
        <v>59</v>
      </c>
      <c r="D20">
        <v>873</v>
      </c>
      <c r="E20">
        <f>(40000000000*(E17^-13.32))</f>
        <v>3.7402563126527372E-2</v>
      </c>
      <c r="F20">
        <f t="shared" ref="F20:I20" si="3">(40000000000*(F17^-13.32))</f>
        <v>7.7902207720506956E-3</v>
      </c>
      <c r="G20">
        <f t="shared" si="3"/>
        <v>1.914520369290545E-3</v>
      </c>
      <c r="H20">
        <f t="shared" si="3"/>
        <v>5.3790976086021938E-4</v>
      </c>
      <c r="I20">
        <f t="shared" si="3"/>
        <v>1.6879741597647621E-4</v>
      </c>
    </row>
    <row r="21" spans="1:10" ht="15.75" x14ac:dyDescent="0.45">
      <c r="A21" t="s">
        <v>62</v>
      </c>
      <c r="D21">
        <v>923</v>
      </c>
      <c r="E21">
        <f>(200000000000*(E17^-13.03))</f>
        <v>0.34179638504211246</v>
      </c>
      <c r="F21">
        <f t="shared" ref="F21:I21" si="4">(200000000000*(F17^-13.03))</f>
        <v>7.366311800309458E-2</v>
      </c>
      <c r="G21">
        <f t="shared" si="4"/>
        <v>1.8665086015939823E-2</v>
      </c>
      <c r="H21">
        <f t="shared" si="4"/>
        <v>5.3911734929577605E-3</v>
      </c>
      <c r="I21">
        <f t="shared" si="4"/>
        <v>1.7349955277658688E-3</v>
      </c>
    </row>
    <row r="22" spans="1:10" ht="15.75" x14ac:dyDescent="0.45">
      <c r="A22" t="s">
        <v>60</v>
      </c>
      <c r="D22">
        <v>973</v>
      </c>
      <c r="E22">
        <f>(500000000000*(E17^-12.76))</f>
        <v>1.4981033332652731</v>
      </c>
      <c r="F22">
        <f t="shared" ref="F22:I22" si="5">(500000000000*(F17^-12.76))</f>
        <v>0.33330020738828564</v>
      </c>
      <c r="G22">
        <f t="shared" si="5"/>
        <v>8.6890041437468563E-2</v>
      </c>
      <c r="H22">
        <f t="shared" si="5"/>
        <v>2.5751310871460539E-2</v>
      </c>
      <c r="I22">
        <f t="shared" si="5"/>
        <v>8.4843251670136191E-3</v>
      </c>
    </row>
    <row r="24" spans="1:10" x14ac:dyDescent="0.45">
      <c r="B24" t="s">
        <v>27</v>
      </c>
    </row>
    <row r="25" spans="1:10" x14ac:dyDescent="0.45">
      <c r="A25" t="s">
        <v>20</v>
      </c>
      <c r="B25" s="3">
        <v>8</v>
      </c>
      <c r="C25" s="3">
        <v>9</v>
      </c>
      <c r="D25" s="3">
        <v>10</v>
      </c>
      <c r="E25" s="3">
        <v>11</v>
      </c>
      <c r="F25" s="3">
        <v>12</v>
      </c>
    </row>
    <row r="26" spans="1:10" x14ac:dyDescent="0.45">
      <c r="A26">
        <f>(1/D18)</f>
        <v>1.29366106080207E-3</v>
      </c>
      <c r="B26">
        <f>LN(E18)</f>
        <v>-7.7581518122617377</v>
      </c>
      <c r="C26">
        <f>LN(F18)</f>
        <v>-9.4106478025208045</v>
      </c>
      <c r="D26">
        <f>LN(G18)</f>
        <v>-10.888855837200106</v>
      </c>
      <c r="E26">
        <f>LN(H18)</f>
        <v>-12.226057659854783</v>
      </c>
      <c r="F26">
        <f>LN(I18)</f>
        <v>-13.44682727901929</v>
      </c>
    </row>
    <row r="27" spans="1:10" x14ac:dyDescent="0.45">
      <c r="A27">
        <f t="shared" ref="A27:A30" si="6">(1/D19)</f>
        <v>1.215066828675577E-3</v>
      </c>
      <c r="B27">
        <f t="shared" ref="B27:B30" si="7">LN(E19)</f>
        <v>-5.4638866296471296</v>
      </c>
      <c r="C27">
        <f t="shared" ref="C27:C30" si="8">LN(F19)</f>
        <v>-7.0716250663567681</v>
      </c>
      <c r="D27">
        <f t="shared" ref="D27:D30" si="9">LN(G19)</f>
        <v>-8.5097961050860977</v>
      </c>
      <c r="E27">
        <f t="shared" ref="E27:E30" si="10">LN(H19)</f>
        <v>-9.8107800594151318</v>
      </c>
      <c r="F27">
        <f t="shared" ref="F27:F30" si="11">LN(I19)</f>
        <v>-10.998485355323576</v>
      </c>
    </row>
    <row r="28" spans="1:10" x14ac:dyDescent="0.45">
      <c r="A28">
        <f t="shared" si="6"/>
        <v>1.145475372279496E-3</v>
      </c>
      <c r="B28">
        <f t="shared" si="7"/>
        <v>-3.2860160441150659</v>
      </c>
      <c r="C28">
        <f t="shared" si="8"/>
        <v>-4.8548860790580983</v>
      </c>
      <c r="D28">
        <f t="shared" si="9"/>
        <v>-6.2582881476203456</v>
      </c>
      <c r="E28">
        <f t="shared" si="10"/>
        <v>-7.5278197426139508</v>
      </c>
      <c r="F28">
        <f t="shared" si="11"/>
        <v>-8.6868112841158194</v>
      </c>
    </row>
    <row r="29" spans="1:10" x14ac:dyDescent="0.45">
      <c r="A29">
        <f t="shared" si="6"/>
        <v>1.0834236186348862E-3</v>
      </c>
      <c r="B29">
        <f t="shared" si="7"/>
        <v>-1.0735400845938121</v>
      </c>
      <c r="C29">
        <f t="shared" si="8"/>
        <v>-2.6082530391964909</v>
      </c>
      <c r="D29">
        <f t="shared" si="9"/>
        <v>-3.9811005582179675</v>
      </c>
      <c r="E29">
        <f t="shared" si="10"/>
        <v>-5.222992201068319</v>
      </c>
      <c r="F29">
        <f t="shared" si="11"/>
        <v>-6.3567504432431967</v>
      </c>
    </row>
    <row r="30" spans="1:10" x14ac:dyDescent="0.45">
      <c r="A30">
        <f t="shared" si="6"/>
        <v>1.0277492291880781E-3</v>
      </c>
      <c r="B30">
        <f t="shared" si="7"/>
        <v>0.40419986353389986</v>
      </c>
      <c r="C30">
        <f t="shared" si="8"/>
        <v>-1.098711671441557</v>
      </c>
      <c r="D30">
        <f t="shared" si="9"/>
        <v>-2.4431118512354226</v>
      </c>
      <c r="E30">
        <f t="shared" si="10"/>
        <v>-3.6592697455386056</v>
      </c>
      <c r="F30">
        <f t="shared" si="11"/>
        <v>-4.7695349159262799</v>
      </c>
    </row>
    <row r="31" spans="1:10" x14ac:dyDescent="0.45">
      <c r="A31" s="78"/>
      <c r="B31" s="78"/>
      <c r="C31" s="78"/>
      <c r="D31" s="78"/>
    </row>
    <row r="32" spans="1:10" x14ac:dyDescent="0.45">
      <c r="A32" s="84" t="s">
        <v>53</v>
      </c>
      <c r="B32" s="85"/>
      <c r="C32" s="85"/>
      <c r="D32" s="52"/>
    </row>
    <row r="33" spans="1:5" x14ac:dyDescent="0.45">
      <c r="A33" s="86" t="s">
        <v>63</v>
      </c>
      <c r="B33" s="78"/>
      <c r="C33" s="78" t="s">
        <v>21</v>
      </c>
      <c r="D33" s="87">
        <f>EXP(32.555)</f>
        <v>137548816621294.88</v>
      </c>
    </row>
    <row r="34" spans="1:5" x14ac:dyDescent="0.45">
      <c r="A34" s="86"/>
      <c r="B34" s="78"/>
      <c r="C34" s="78" t="s">
        <v>22</v>
      </c>
      <c r="D34" s="87">
        <f>(31212*8.314/1000)</f>
        <v>259.49656800000002</v>
      </c>
    </row>
    <row r="35" spans="1:5" x14ac:dyDescent="0.45">
      <c r="A35" s="88"/>
      <c r="B35" s="89"/>
      <c r="C35" s="89"/>
      <c r="D35" s="90"/>
    </row>
    <row r="37" spans="1:5" x14ac:dyDescent="0.45">
      <c r="A37" s="84" t="s">
        <v>56</v>
      </c>
      <c r="B37" s="85"/>
      <c r="C37" s="85"/>
      <c r="D37" s="52"/>
    </row>
    <row r="38" spans="1:5" x14ac:dyDescent="0.45">
      <c r="A38" t="s">
        <v>64</v>
      </c>
      <c r="B38" s="78"/>
      <c r="C38" s="78" t="s">
        <v>21</v>
      </c>
      <c r="D38" s="87">
        <f>EXP(31.628)</f>
        <v>54433451604202.195</v>
      </c>
    </row>
    <row r="39" spans="1:5" x14ac:dyDescent="0.45">
      <c r="A39" s="86"/>
      <c r="B39" s="78"/>
      <c r="C39" s="78" t="s">
        <v>22</v>
      </c>
      <c r="D39" s="87">
        <f>(31774*8.314/1000)</f>
        <v>264.16903600000001</v>
      </c>
      <c r="E39" s="55"/>
    </row>
    <row r="40" spans="1:5" x14ac:dyDescent="0.45">
      <c r="A40" s="88"/>
      <c r="B40" s="89"/>
      <c r="C40" s="89"/>
      <c r="D40" s="90"/>
    </row>
  </sheetData>
  <mergeCells count="4">
    <mergeCell ref="I2:L2"/>
    <mergeCell ref="C13:E13"/>
    <mergeCell ref="I7:N7"/>
    <mergeCell ref="E16:J16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0AD2-4AFF-4383-9586-7559A8B897E1}">
  <dimension ref="A4:N95"/>
  <sheetViews>
    <sheetView topLeftCell="D64" workbookViewId="0">
      <selection activeCell="I86" sqref="I86"/>
    </sheetView>
  </sheetViews>
  <sheetFormatPr defaultRowHeight="14.25" x14ac:dyDescent="0.45"/>
  <cols>
    <col min="4" max="5" width="11.59765625" bestFit="1" customWidth="1"/>
    <col min="7" max="7" width="11.59765625" bestFit="1" customWidth="1"/>
  </cols>
  <sheetData>
    <row r="4" spans="1:14" x14ac:dyDescent="0.45">
      <c r="D4" t="s">
        <v>5</v>
      </c>
      <c r="E4">
        <v>8.3140000000000001</v>
      </c>
    </row>
    <row r="5" spans="1:14" ht="14.65" thickBot="1" x14ac:dyDescent="0.5">
      <c r="I5" s="3">
        <v>773</v>
      </c>
      <c r="J5" s="3">
        <v>823</v>
      </c>
      <c r="K5" s="3">
        <v>873</v>
      </c>
      <c r="L5" s="3">
        <v>923</v>
      </c>
      <c r="M5" s="3">
        <v>973</v>
      </c>
      <c r="N5" s="3"/>
    </row>
    <row r="6" spans="1:14" ht="14.65" thickBot="1" x14ac:dyDescent="0.5">
      <c r="A6" s="11">
        <v>19</v>
      </c>
      <c r="B6" s="12">
        <v>11</v>
      </c>
      <c r="C6" s="98"/>
      <c r="D6" s="98"/>
      <c r="E6" s="98"/>
      <c r="F6">
        <v>3582070000000</v>
      </c>
      <c r="G6">
        <v>255</v>
      </c>
      <c r="H6" s="34">
        <v>7</v>
      </c>
      <c r="I6" s="33">
        <f>($F6*EXP((-$G6*1000)/($E$4*I$5)))</f>
        <v>2.099723809141101E-5</v>
      </c>
      <c r="J6" s="33">
        <f t="shared" ref="J6:M10" si="0">($F6*EXP((-$G6*1000)/($E$4*J$5)))</f>
        <v>2.3391713976962902E-4</v>
      </c>
      <c r="K6" s="33">
        <f t="shared" si="0"/>
        <v>1.9771613629745517E-3</v>
      </c>
      <c r="L6" s="33">
        <f t="shared" si="0"/>
        <v>1.3261448861673712E-2</v>
      </c>
      <c r="M6" s="33">
        <f t="shared" si="0"/>
        <v>7.3146127630150687E-2</v>
      </c>
      <c r="N6" s="33"/>
    </row>
    <row r="7" spans="1:14" ht="14.65" thickBot="1" x14ac:dyDescent="0.5">
      <c r="A7" s="17">
        <v>45</v>
      </c>
      <c r="B7" s="18">
        <v>37</v>
      </c>
      <c r="C7" s="100"/>
      <c r="D7" s="100"/>
      <c r="E7" s="100"/>
      <c r="F7">
        <v>213943000000000</v>
      </c>
      <c r="G7">
        <v>237</v>
      </c>
      <c r="H7" s="20">
        <v>6</v>
      </c>
      <c r="I7" s="33">
        <f>($F7*EXP((-$G7*1000)/($E$4*I$5)))</f>
        <v>2.0639571301728214E-2</v>
      </c>
      <c r="J7" s="33">
        <f t="shared" si="0"/>
        <v>0.19395533506756926</v>
      </c>
      <c r="K7" s="33">
        <f t="shared" si="0"/>
        <v>1.4100935071936935</v>
      </c>
      <c r="L7" s="33">
        <f t="shared" si="0"/>
        <v>8.2689839192736994</v>
      </c>
      <c r="M7" s="33">
        <f t="shared" si="0"/>
        <v>40.430047432831749</v>
      </c>
      <c r="N7" s="33"/>
    </row>
    <row r="8" spans="1:14" ht="14.65" thickBot="1" x14ac:dyDescent="0.5">
      <c r="A8" s="17">
        <v>46</v>
      </c>
      <c r="B8" s="18">
        <v>39</v>
      </c>
      <c r="C8" s="100"/>
      <c r="D8" s="100"/>
      <c r="E8" s="100"/>
      <c r="F8" s="31">
        <v>1.55E+18</v>
      </c>
      <c r="G8">
        <v>256.7</v>
      </c>
      <c r="H8" s="20">
        <v>5</v>
      </c>
      <c r="I8" s="33">
        <f>($F8*EXP((-$G8*1000)/($E$4*I$5)))</f>
        <v>6.9739686353870631</v>
      </c>
      <c r="J8" s="33">
        <f t="shared" si="0"/>
        <v>78.951283468242593</v>
      </c>
      <c r="K8" s="33">
        <f t="shared" si="0"/>
        <v>676.89161094287488</v>
      </c>
      <c r="L8" s="33">
        <f t="shared" si="0"/>
        <v>4598.0989962572085</v>
      </c>
      <c r="M8" s="33">
        <f t="shared" si="0"/>
        <v>25652.085824233331</v>
      </c>
      <c r="N8" s="33"/>
    </row>
    <row r="9" spans="1:14" ht="14.65" thickBot="1" x14ac:dyDescent="0.5">
      <c r="A9" s="17">
        <v>32</v>
      </c>
      <c r="B9" s="18">
        <v>24</v>
      </c>
      <c r="C9" s="96"/>
      <c r="D9" s="96"/>
      <c r="E9" s="96"/>
      <c r="F9" s="31">
        <v>7.76E+19</v>
      </c>
      <c r="G9">
        <v>256.69999999999902</v>
      </c>
      <c r="H9" s="20">
        <v>4</v>
      </c>
      <c r="I9" s="33">
        <f>($F9*EXP((-$G9*1000)/($E$4*I$5)))</f>
        <v>349.14836522975531</v>
      </c>
      <c r="J9" s="33">
        <f t="shared" si="0"/>
        <v>3952.6578046041914</v>
      </c>
      <c r="K9" s="33">
        <f t="shared" si="0"/>
        <v>33888.250973660761</v>
      </c>
      <c r="L9" s="33">
        <f t="shared" si="0"/>
        <v>230201.60136103551</v>
      </c>
      <c r="M9" s="33">
        <f t="shared" si="0"/>
        <v>1284259.2644908088</v>
      </c>
      <c r="N9" s="33"/>
    </row>
    <row r="10" spans="1:14" ht="14.65" thickBot="1" x14ac:dyDescent="0.5">
      <c r="A10" s="24">
        <v>33</v>
      </c>
      <c r="B10" s="25">
        <v>25</v>
      </c>
      <c r="C10" s="97"/>
      <c r="D10" s="97"/>
      <c r="E10" s="97"/>
      <c r="F10" s="45">
        <v>3.9406249999999898E+17</v>
      </c>
      <c r="G10">
        <v>211.69999999999899</v>
      </c>
      <c r="H10" s="27">
        <v>3</v>
      </c>
      <c r="I10" s="33">
        <f>($F10*EXP((-$G10*1000)/($E$4*I$5)))</f>
        <v>1948.2721247361283</v>
      </c>
      <c r="J10" s="33">
        <f t="shared" si="0"/>
        <v>14413.90930917904</v>
      </c>
      <c r="K10" s="33">
        <f t="shared" si="0"/>
        <v>84792.414889784981</v>
      </c>
      <c r="L10" s="33">
        <f t="shared" si="0"/>
        <v>411675.12521113135</v>
      </c>
      <c r="M10" s="33">
        <f t="shared" si="0"/>
        <v>1699136.7792197093</v>
      </c>
      <c r="N10" s="33"/>
    </row>
    <row r="12" spans="1:14" x14ac:dyDescent="0.45">
      <c r="B12" s="119" t="s">
        <v>27</v>
      </c>
      <c r="C12" s="119"/>
      <c r="D12" s="119"/>
      <c r="E12" s="119"/>
      <c r="F12" s="119"/>
      <c r="G12" s="79"/>
    </row>
    <row r="13" spans="1:14" x14ac:dyDescent="0.45">
      <c r="B13" s="3">
        <v>773</v>
      </c>
      <c r="C13" s="3">
        <v>823</v>
      </c>
      <c r="D13" s="3">
        <v>873</v>
      </c>
      <c r="E13" s="3">
        <v>923</v>
      </c>
      <c r="F13" s="3">
        <v>973</v>
      </c>
    </row>
    <row r="14" spans="1:14" x14ac:dyDescent="0.45">
      <c r="A14" t="s">
        <v>11</v>
      </c>
    </row>
    <row r="15" spans="1:14" x14ac:dyDescent="0.45">
      <c r="A15">
        <v>7</v>
      </c>
      <c r="B15">
        <f>LN($I6)</f>
        <v>-10.771119648346911</v>
      </c>
      <c r="C15">
        <f>LN($J6)</f>
        <v>-8.3605436088646332</v>
      </c>
      <c r="D15">
        <f>LN($K6)</f>
        <v>-6.2260931180057577</v>
      </c>
      <c r="E15">
        <f>LN($L6)</f>
        <v>-4.3228940346072173</v>
      </c>
      <c r="F15">
        <f>LN($M6)</f>
        <v>-2.6152960903041036</v>
      </c>
    </row>
    <row r="16" spans="1:14" x14ac:dyDescent="0.45">
      <c r="A16">
        <v>6</v>
      </c>
      <c r="B16">
        <f>LN($I7)</f>
        <v>-3.8805451088495859</v>
      </c>
      <c r="C16">
        <f>LN($J7)</f>
        <v>-1.6401273780366425</v>
      </c>
      <c r="D16">
        <f>LN($K7)</f>
        <v>0.34365601934983925</v>
      </c>
      <c r="E16">
        <f>LN($L7)</f>
        <v>2.1125116380378968</v>
      </c>
      <c r="F16">
        <f>LN($M7)</f>
        <v>3.6995732568607904</v>
      </c>
    </row>
    <row r="17" spans="1:11" x14ac:dyDescent="0.45">
      <c r="A17">
        <v>5</v>
      </c>
      <c r="B17">
        <f>LN($I8)</f>
        <v>1.9421844508798622</v>
      </c>
      <c r="C17">
        <f>LN($J8)</f>
        <v>4.3688309972920276</v>
      </c>
      <c r="D17">
        <f>LN($K8)</f>
        <v>6.517511158089965</v>
      </c>
      <c r="E17">
        <f>LN($L8)</f>
        <v>8.4333982353778278</v>
      </c>
      <c r="F17">
        <f>LN($M8)</f>
        <v>10.152380165976291</v>
      </c>
    </row>
    <row r="18" spans="1:11" x14ac:dyDescent="0.45">
      <c r="A18">
        <v>4</v>
      </c>
      <c r="B18">
        <f>LN($I9)</f>
        <v>5.8554969471380369</v>
      </c>
      <c r="C18">
        <f>LN($J9)</f>
        <v>8.282143493550187</v>
      </c>
      <c r="D18">
        <f>LN($K9)</f>
        <v>10.430823654348117</v>
      </c>
      <c r="E18">
        <f>LN($L9)</f>
        <v>12.346710731635973</v>
      </c>
      <c r="F18">
        <f>LN($M9)</f>
        <v>14.065692662234433</v>
      </c>
    </row>
    <row r="19" spans="1:11" x14ac:dyDescent="0.45">
      <c r="A19">
        <v>3</v>
      </c>
      <c r="B19">
        <f>LN($I10)</f>
        <v>7.5746981688691868</v>
      </c>
      <c r="C19">
        <f>LN($J10)</f>
        <v>9.5759489436079974</v>
      </c>
      <c r="D19">
        <f>LN($K10)</f>
        <v>11.347961370724946</v>
      </c>
      <c r="E19">
        <f>LN($L10)</f>
        <v>12.927989786236591</v>
      </c>
      <c r="F19">
        <f>LN($M10)</f>
        <v>14.345630903134499</v>
      </c>
    </row>
    <row r="20" spans="1:11" x14ac:dyDescent="0.45">
      <c r="E20" s="113" t="s">
        <v>70</v>
      </c>
      <c r="F20" s="113"/>
      <c r="G20" s="113"/>
      <c r="H20" s="113"/>
      <c r="I20" s="113"/>
      <c r="K20" t="s">
        <v>20</v>
      </c>
    </row>
    <row r="21" spans="1:11" x14ac:dyDescent="0.45">
      <c r="D21" t="s">
        <v>26</v>
      </c>
      <c r="E21">
        <v>8</v>
      </c>
      <c r="F21">
        <v>9</v>
      </c>
      <c r="G21">
        <v>10</v>
      </c>
      <c r="H21">
        <v>11</v>
      </c>
      <c r="I21">
        <v>12</v>
      </c>
      <c r="J21">
        <v>7</v>
      </c>
    </row>
    <row r="22" spans="1:11" ht="15.75" x14ac:dyDescent="0.45">
      <c r="A22" t="s">
        <v>65</v>
      </c>
      <c r="D22">
        <v>773</v>
      </c>
      <c r="E22">
        <f>(-0.8752*E21^2+4.1088*E21+3.2294)</f>
        <v>-19.913000000000004</v>
      </c>
      <c r="F22">
        <f t="shared" ref="F22:J22" si="1">(-0.8752*F21^2+4.1088*F21+3.2294)</f>
        <v>-30.682600000000001</v>
      </c>
      <c r="G22">
        <f t="shared" si="1"/>
        <v>-43.202600000000004</v>
      </c>
      <c r="H22">
        <f t="shared" si="1"/>
        <v>-57.472999999999999</v>
      </c>
      <c r="I22">
        <f t="shared" si="1"/>
        <v>-73.493799999999993</v>
      </c>
      <c r="J22">
        <f t="shared" si="1"/>
        <v>-10.893800000000001</v>
      </c>
      <c r="K22">
        <f>(1/D22)</f>
        <v>1.29366106080207E-3</v>
      </c>
    </row>
    <row r="23" spans="1:11" ht="15.75" x14ac:dyDescent="0.45">
      <c r="A23" t="s">
        <v>67</v>
      </c>
      <c r="D23">
        <v>823</v>
      </c>
      <c r="E23">
        <f>-0.9249*E21^2+4.6697*E21+4.0697</f>
        <v>-17.766300000000005</v>
      </c>
      <c r="F23">
        <f t="shared" ref="F23:J23" si="2">-0.9249*F21^2+4.6697*F21+4.0697</f>
        <v>-28.819900000000001</v>
      </c>
      <c r="G23">
        <f t="shared" si="2"/>
        <v>-41.723300000000016</v>
      </c>
      <c r="H23">
        <f t="shared" si="2"/>
        <v>-56.476500000000016</v>
      </c>
      <c r="I23">
        <f t="shared" si="2"/>
        <v>-73.079500000000024</v>
      </c>
      <c r="J23">
        <f t="shared" si="2"/>
        <v>-8.5625000000000036</v>
      </c>
      <c r="K23">
        <f>(1/D23)</f>
        <v>1.215066828675577E-3</v>
      </c>
    </row>
    <row r="24" spans="1:11" ht="15.75" x14ac:dyDescent="0.45">
      <c r="A24" t="s">
        <v>68</v>
      </c>
      <c r="D24">
        <v>873</v>
      </c>
      <c r="E24">
        <f>(-0.969*E21^2+5.1663*E21+4.8138)</f>
        <v>-15.8718</v>
      </c>
      <c r="F24">
        <f t="shared" ref="F24:J24" si="3">(-0.969*F21^2+5.1663*F21+4.8138)</f>
        <v>-27.178500000000007</v>
      </c>
      <c r="G24">
        <f t="shared" si="3"/>
        <v>-40.423199999999994</v>
      </c>
      <c r="H24">
        <f t="shared" si="3"/>
        <v>-55.605899999999998</v>
      </c>
      <c r="I24">
        <f t="shared" si="3"/>
        <v>-72.726600000000005</v>
      </c>
      <c r="J24">
        <f t="shared" si="3"/>
        <v>-6.5031000000000043</v>
      </c>
      <c r="K24">
        <f>(1/D24)</f>
        <v>1.145475372279496E-3</v>
      </c>
    </row>
    <row r="25" spans="1:11" ht="15.75" x14ac:dyDescent="0.45">
      <c r="A25" t="s">
        <v>66</v>
      </c>
      <c r="D25">
        <v>923</v>
      </c>
      <c r="E25">
        <f>(-1.0083*E21^2+5.6091*E21+5.4772)</f>
        <v>-14.1812</v>
      </c>
      <c r="F25">
        <f t="shared" ref="F25:J25" si="4">(-1.0083*F21^2+5.6091*F21+5.4772)</f>
        <v>-25.713199999999997</v>
      </c>
      <c r="G25">
        <f t="shared" si="4"/>
        <v>-39.261800000000008</v>
      </c>
      <c r="H25">
        <f t="shared" si="4"/>
        <v>-54.826999999999998</v>
      </c>
      <c r="I25">
        <f t="shared" si="4"/>
        <v>-72.408799999999999</v>
      </c>
      <c r="J25">
        <f t="shared" si="4"/>
        <v>-4.6658000000000008</v>
      </c>
      <c r="K25">
        <f>(1/D25)</f>
        <v>1.0834236186348862E-3</v>
      </c>
    </row>
    <row r="26" spans="1:11" ht="15.75" x14ac:dyDescent="0.45">
      <c r="A26" t="s">
        <v>69</v>
      </c>
      <c r="D26">
        <v>973</v>
      </c>
      <c r="E26">
        <f>(-1.0435*E21^2+6.0065*E21+6.0725)</f>
        <v>-12.659500000000007</v>
      </c>
      <c r="F26">
        <f t="shared" ref="F26:J26" si="5">(-1.0435*F21^2+6.0065*F21+6.0725)</f>
        <v>-24.392500000000013</v>
      </c>
      <c r="G26">
        <f t="shared" si="5"/>
        <v>-38.212500000000013</v>
      </c>
      <c r="H26">
        <f t="shared" si="5"/>
        <v>-54.119500000000009</v>
      </c>
      <c r="I26">
        <f t="shared" si="5"/>
        <v>-72.113500000000002</v>
      </c>
      <c r="J26">
        <f t="shared" si="5"/>
        <v>-3.0135000000000058</v>
      </c>
      <c r="K26">
        <f>(1/D26)</f>
        <v>1.0277492291880781E-3</v>
      </c>
    </row>
    <row r="29" spans="1:11" x14ac:dyDescent="0.45">
      <c r="A29" s="84" t="s">
        <v>53</v>
      </c>
      <c r="B29" s="85"/>
      <c r="C29" s="85" t="s">
        <v>28</v>
      </c>
      <c r="D29" s="91">
        <f>EXP(15.365)</f>
        <v>4709065.3179292232</v>
      </c>
    </row>
    <row r="30" spans="1:11" x14ac:dyDescent="0.45">
      <c r="A30" s="86" t="s">
        <v>71</v>
      </c>
      <c r="B30" s="78"/>
      <c r="C30" s="78" t="s">
        <v>22</v>
      </c>
      <c r="D30" s="87">
        <f>(27269*8.314/1000)</f>
        <v>226.71446600000002</v>
      </c>
    </row>
    <row r="31" spans="1:11" x14ac:dyDescent="0.45">
      <c r="A31" s="86"/>
      <c r="B31" s="78"/>
      <c r="C31" s="78"/>
      <c r="D31" s="87"/>
    </row>
    <row r="32" spans="1:11" x14ac:dyDescent="0.45">
      <c r="A32" s="88"/>
      <c r="B32" s="89"/>
      <c r="C32" s="89"/>
      <c r="D32" s="90"/>
    </row>
    <row r="34" spans="1:5" x14ac:dyDescent="0.45">
      <c r="A34" s="84" t="s">
        <v>56</v>
      </c>
      <c r="B34" s="85"/>
      <c r="C34" s="85"/>
      <c r="D34" s="52"/>
    </row>
    <row r="35" spans="1:5" x14ac:dyDescent="0.45">
      <c r="A35" s="86" t="s">
        <v>72</v>
      </c>
      <c r="B35" s="78"/>
      <c r="C35" s="78" t="s">
        <v>28</v>
      </c>
      <c r="D35" s="93">
        <f>EXP(-0.0943)</f>
        <v>0.91000971837072309</v>
      </c>
      <c r="E35" s="31">
        <v>0.91</v>
      </c>
    </row>
    <row r="36" spans="1:5" x14ac:dyDescent="0.45">
      <c r="A36" s="86"/>
      <c r="B36" s="78"/>
      <c r="C36" t="s">
        <v>22</v>
      </c>
      <c r="D36">
        <f>23644*8.314/1000</f>
        <v>196.57621600000002</v>
      </c>
      <c r="E36" s="78"/>
    </row>
    <row r="37" spans="1:5" x14ac:dyDescent="0.45">
      <c r="A37" s="88"/>
      <c r="B37" s="89"/>
      <c r="C37" s="89"/>
      <c r="D37" s="90"/>
      <c r="E37" s="78"/>
    </row>
    <row r="39" spans="1:5" x14ac:dyDescent="0.45">
      <c r="C39" s="78"/>
      <c r="D39" s="92"/>
    </row>
    <row r="44" spans="1:5" x14ac:dyDescent="0.45">
      <c r="D44" s="78"/>
      <c r="E44" s="78"/>
    </row>
    <row r="50" spans="1:14" ht="14.65" thickBot="1" x14ac:dyDescent="0.5">
      <c r="I50" s="3">
        <v>773</v>
      </c>
      <c r="J50" s="3">
        <v>823</v>
      </c>
      <c r="K50" s="3">
        <v>873</v>
      </c>
      <c r="L50" s="3">
        <v>923</v>
      </c>
      <c r="M50" s="3">
        <v>973</v>
      </c>
    </row>
    <row r="51" spans="1:14" ht="14.65" thickBot="1" x14ac:dyDescent="0.5">
      <c r="A51" s="20">
        <v>21</v>
      </c>
      <c r="B51" s="47">
        <v>13</v>
      </c>
      <c r="C51" s="99"/>
      <c r="D51" s="99"/>
      <c r="E51" s="99"/>
      <c r="F51" s="31">
        <v>2.7299999999999901E+17</v>
      </c>
      <c r="G51" s="31">
        <v>255</v>
      </c>
      <c r="H51" s="20">
        <v>7</v>
      </c>
      <c r="I51" s="33">
        <f t="shared" ref="I51:M53" si="6">($F51*EXP((-$G51*1000)/($E$4*I$5)))</f>
        <v>1.6002607427982103</v>
      </c>
      <c r="J51" s="33">
        <f t="shared" si="6"/>
        <v>17.827507323170259</v>
      </c>
      <c r="K51" s="33">
        <f t="shared" si="6"/>
        <v>150.68523286592688</v>
      </c>
      <c r="L51" s="33">
        <f t="shared" si="6"/>
        <v>1010.6936880733514</v>
      </c>
      <c r="M51" s="33">
        <f t="shared" si="6"/>
        <v>5574.6796804727619</v>
      </c>
      <c r="N51" s="33"/>
    </row>
    <row r="52" spans="1:14" ht="14.65" thickBot="1" x14ac:dyDescent="0.5">
      <c r="A52" s="17">
        <v>45</v>
      </c>
      <c r="B52" s="18">
        <v>37</v>
      </c>
      <c r="C52" s="100"/>
      <c r="D52" s="100"/>
      <c r="E52" s="100"/>
      <c r="F52" s="31">
        <v>214115672366071</v>
      </c>
      <c r="G52" s="20">
        <v>237</v>
      </c>
      <c r="H52" s="20">
        <v>6</v>
      </c>
      <c r="I52" s="33">
        <f t="shared" si="6"/>
        <v>2.0656229400433761E-2</v>
      </c>
      <c r="J52" s="33">
        <f t="shared" si="6"/>
        <v>0.19411187548542921</v>
      </c>
      <c r="K52" s="33">
        <f t="shared" si="6"/>
        <v>1.4112315868797245</v>
      </c>
      <c r="L52" s="33">
        <f t="shared" si="6"/>
        <v>8.2756577764148265</v>
      </c>
      <c r="M52" s="33">
        <f t="shared" si="6"/>
        <v>40.462678329615422</v>
      </c>
      <c r="N52" s="33"/>
    </row>
    <row r="53" spans="1:14" x14ac:dyDescent="0.45">
      <c r="A53" s="41">
        <v>49</v>
      </c>
      <c r="B53" s="18">
        <v>41</v>
      </c>
      <c r="C53" s="117"/>
      <c r="D53" s="117"/>
      <c r="E53" s="117"/>
      <c r="F53" s="31">
        <v>62033220959.131798</v>
      </c>
      <c r="G53">
        <v>256.69999999999902</v>
      </c>
      <c r="H53" s="20">
        <v>5</v>
      </c>
      <c r="I53" s="33">
        <f t="shared" si="6"/>
        <v>2.7910821762650851E-7</v>
      </c>
      <c r="J53" s="33">
        <f t="shared" si="6"/>
        <v>3.1597434918666057E-6</v>
      </c>
      <c r="K53" s="33">
        <f t="shared" si="6"/>
        <v>2.7090172172263036E-5</v>
      </c>
      <c r="L53" s="33">
        <f t="shared" si="6"/>
        <v>1.8402251033988517E-4</v>
      </c>
      <c r="M53" s="33">
        <f t="shared" si="6"/>
        <v>1.0266332309661137E-3</v>
      </c>
      <c r="N53" s="33"/>
    </row>
    <row r="56" spans="1:14" x14ac:dyDescent="0.45">
      <c r="C56" s="113" t="s">
        <v>27</v>
      </c>
      <c r="D56" s="113"/>
      <c r="E56" s="113"/>
      <c r="F56" s="113"/>
      <c r="G56" s="113"/>
      <c r="H56" s="113"/>
    </row>
    <row r="57" spans="1:14" x14ac:dyDescent="0.45">
      <c r="B57" t="s">
        <v>11</v>
      </c>
      <c r="C57" s="3">
        <v>773</v>
      </c>
      <c r="D57" s="3">
        <v>823</v>
      </c>
      <c r="E57" s="3">
        <v>873</v>
      </c>
      <c r="F57" s="3">
        <v>923</v>
      </c>
      <c r="G57" s="3">
        <v>973</v>
      </c>
    </row>
    <row r="58" spans="1:14" x14ac:dyDescent="0.45">
      <c r="B58">
        <v>7</v>
      </c>
      <c r="C58">
        <f>LN(I51)</f>
        <v>0.47016658021738622</v>
      </c>
      <c r="D58">
        <f t="shared" ref="D58:G60" si="7">LN(J51)</f>
        <v>2.8807426196996655</v>
      </c>
      <c r="E58">
        <f t="shared" si="7"/>
        <v>5.0151931105585401</v>
      </c>
      <c r="F58">
        <f t="shared" si="7"/>
        <v>6.9183921939570805</v>
      </c>
      <c r="G58">
        <f t="shared" si="7"/>
        <v>8.6259901382601942</v>
      </c>
    </row>
    <row r="59" spans="1:14" x14ac:dyDescent="0.45">
      <c r="B59">
        <v>6</v>
      </c>
      <c r="C59">
        <f>LN(I52)</f>
        <v>-3.8797383391865288</v>
      </c>
      <c r="D59">
        <f t="shared" si="7"/>
        <v>-1.6393206083735854</v>
      </c>
      <c r="E59">
        <f t="shared" si="7"/>
        <v>0.3444627890128964</v>
      </c>
      <c r="F59">
        <f t="shared" si="7"/>
        <v>2.1133184077009539</v>
      </c>
      <c r="G59">
        <f t="shared" si="7"/>
        <v>3.7003800265238476</v>
      </c>
    </row>
    <row r="60" spans="1:14" x14ac:dyDescent="0.45">
      <c r="B60">
        <v>5</v>
      </c>
      <c r="C60">
        <f>LN(I53)</f>
        <v>-15.091666253532283</v>
      </c>
      <c r="D60">
        <f t="shared" si="7"/>
        <v>-12.665019707120132</v>
      </c>
      <c r="E60">
        <f t="shared" si="7"/>
        <v>-10.516339546322202</v>
      </c>
      <c r="F60">
        <f t="shared" si="7"/>
        <v>-8.6004524690343462</v>
      </c>
      <c r="G60">
        <f t="shared" si="7"/>
        <v>-6.8814705384358863</v>
      </c>
    </row>
    <row r="62" spans="1:14" x14ac:dyDescent="0.45">
      <c r="D62" t="s">
        <v>26</v>
      </c>
      <c r="E62">
        <v>8</v>
      </c>
      <c r="F62">
        <v>9</v>
      </c>
      <c r="G62">
        <v>10</v>
      </c>
      <c r="H62">
        <v>11</v>
      </c>
      <c r="I62">
        <v>12</v>
      </c>
      <c r="J62">
        <v>7</v>
      </c>
      <c r="K62" t="s">
        <v>20</v>
      </c>
    </row>
    <row r="63" spans="1:14" ht="15.75" x14ac:dyDescent="0.45">
      <c r="A63" t="s">
        <v>73</v>
      </c>
      <c r="D63">
        <v>773</v>
      </c>
      <c r="E63">
        <f>(-3.431*E62^2+48.953*E62-174.08)</f>
        <v>-2.039999999999992</v>
      </c>
      <c r="F63">
        <f t="shared" ref="F63:J63" si="8">(-3.431*F62^2+48.953*F62-174.08)</f>
        <v>-11.414000000000016</v>
      </c>
      <c r="G63">
        <f t="shared" si="8"/>
        <v>-27.650000000000006</v>
      </c>
      <c r="H63">
        <f t="shared" si="8"/>
        <v>-50.747999999999962</v>
      </c>
      <c r="I63">
        <f t="shared" si="8"/>
        <v>-80.707999999999998</v>
      </c>
      <c r="J63">
        <f t="shared" si="8"/>
        <v>0.47200000000003683</v>
      </c>
      <c r="K63">
        <f>(1/D63)</f>
        <v>1.29366106080207E-3</v>
      </c>
    </row>
    <row r="64" spans="1:14" ht="15.75" x14ac:dyDescent="0.45">
      <c r="A64" t="s">
        <v>77</v>
      </c>
      <c r="D64">
        <v>823</v>
      </c>
      <c r="E64">
        <f>(-3.2528*E62^2+46.807*E62-165.38)</f>
        <v>0.89680000000001314</v>
      </c>
      <c r="F64">
        <f t="shared" ref="F64:J64" si="9">(-3.2528*F62^2+46.807*F62-165.38)</f>
        <v>-7.5937999999999874</v>
      </c>
      <c r="G64">
        <f t="shared" si="9"/>
        <v>-22.589999999999975</v>
      </c>
      <c r="H64">
        <f t="shared" si="9"/>
        <v>-44.091799999999921</v>
      </c>
      <c r="I64">
        <f t="shared" si="9"/>
        <v>-72.099200000000053</v>
      </c>
      <c r="J64">
        <f t="shared" si="9"/>
        <v>2.8817999999999984</v>
      </c>
      <c r="K64">
        <f t="shared" ref="K64:K67" si="10">(1/D64)</f>
        <v>1.215066828675577E-3</v>
      </c>
    </row>
    <row r="65" spans="1:11" ht="15.75" x14ac:dyDescent="0.45">
      <c r="A65" t="s">
        <v>74</v>
      </c>
      <c r="C65" s="80"/>
      <c r="D65">
        <v>873</v>
      </c>
      <c r="E65">
        <f>(-3.095*E62^2+44.906*E62-157.67)</f>
        <v>3.4979999999999905</v>
      </c>
      <c r="F65">
        <f t="shared" ref="F65:J65" si="11">(-3.095*F62^2+44.906*F62-157.67)</f>
        <v>-4.2110000000000127</v>
      </c>
      <c r="G65">
        <f t="shared" si="11"/>
        <v>-18.109999999999985</v>
      </c>
      <c r="H65">
        <f t="shared" si="11"/>
        <v>-38.198999999999984</v>
      </c>
      <c r="I65">
        <f t="shared" si="11"/>
        <v>-64.478000000000037</v>
      </c>
      <c r="J65">
        <f t="shared" si="11"/>
        <v>5.0169999999999959</v>
      </c>
      <c r="K65">
        <f t="shared" si="10"/>
        <v>1.145475372279496E-3</v>
      </c>
    </row>
    <row r="66" spans="1:11" ht="15.75" x14ac:dyDescent="0.45">
      <c r="A66" t="s">
        <v>75</v>
      </c>
      <c r="D66">
        <v>923</v>
      </c>
      <c r="E66">
        <f>(-2.9543*E62^2 + 43.212*E62 - 150.8)</f>
        <v>5.8208000000000197</v>
      </c>
      <c r="F66">
        <f t="shared" ref="F66:J66" si="12">(-2.9543*F62^2 + 43.212*F62 - 150.8)</f>
        <v>-1.1902999999999793</v>
      </c>
      <c r="G66">
        <f t="shared" si="12"/>
        <v>-14.110000000000014</v>
      </c>
      <c r="H66">
        <f t="shared" si="12"/>
        <v>-32.93829999999997</v>
      </c>
      <c r="I66">
        <f t="shared" si="12"/>
        <v>-57.675199999999904</v>
      </c>
      <c r="J66">
        <f t="shared" si="12"/>
        <v>6.9233000000000402</v>
      </c>
      <c r="K66">
        <f t="shared" si="10"/>
        <v>1.0834236186348862E-3</v>
      </c>
    </row>
    <row r="67" spans="1:11" ht="15.75" x14ac:dyDescent="0.45">
      <c r="A67" t="s">
        <v>76</v>
      </c>
      <c r="D67">
        <v>973</v>
      </c>
      <c r="E67">
        <f>(-2.8281*E62^2 + 41.691*E62 - 144.63)</f>
        <v>7.8996000000000208</v>
      </c>
      <c r="F67">
        <f t="shared" ref="F67:J67" si="13">(-2.8281*F62^2 + 41.691*F62 - 144.63)</f>
        <v>1.5129000000000588</v>
      </c>
      <c r="G67">
        <f t="shared" si="13"/>
        <v>-10.529999999999973</v>
      </c>
      <c r="H67">
        <f t="shared" si="13"/>
        <v>-28.229100000000017</v>
      </c>
      <c r="I67">
        <f t="shared" si="13"/>
        <v>-51.58439999999996</v>
      </c>
      <c r="J67">
        <f t="shared" si="13"/>
        <v>8.6300999999999988</v>
      </c>
      <c r="K67">
        <f t="shared" si="10"/>
        <v>1.0277492291880781E-3</v>
      </c>
    </row>
    <row r="70" spans="1:11" ht="14.65" thickBot="1" x14ac:dyDescent="0.5"/>
    <row r="71" spans="1:11" x14ac:dyDescent="0.45">
      <c r="A71" s="56" t="s">
        <v>53</v>
      </c>
      <c r="B71" s="64"/>
      <c r="C71" s="64"/>
      <c r="D71" s="65"/>
    </row>
    <row r="72" spans="1:11" x14ac:dyDescent="0.45">
      <c r="A72" s="77" t="s">
        <v>78</v>
      </c>
      <c r="B72" s="78"/>
      <c r="C72" s="78" t="s">
        <v>28</v>
      </c>
      <c r="D72" s="69">
        <f>EXP(46.322)</f>
        <v>1.3103550619161303E+20</v>
      </c>
    </row>
    <row r="73" spans="1:11" x14ac:dyDescent="0.45">
      <c r="A73" s="77"/>
      <c r="B73" s="78"/>
      <c r="C73" s="78" t="s">
        <v>22</v>
      </c>
      <c r="D73" s="69">
        <f>(37384*8.314/1000)</f>
        <v>310.81057600000003</v>
      </c>
    </row>
    <row r="74" spans="1:11" ht="14.65" thickBot="1" x14ac:dyDescent="0.5">
      <c r="A74" s="57"/>
      <c r="B74" s="76"/>
      <c r="C74" s="76"/>
      <c r="D74" s="58"/>
    </row>
    <row r="76" spans="1:11" ht="14.65" thickBot="1" x14ac:dyDescent="0.5"/>
    <row r="77" spans="1:11" x14ac:dyDescent="0.45">
      <c r="A77" s="56" t="s">
        <v>56</v>
      </c>
      <c r="B77" s="64"/>
      <c r="C77" s="64" t="s">
        <v>28</v>
      </c>
      <c r="D77" s="65">
        <f>EXP(51.483)</f>
        <v>2.284456074307145E+22</v>
      </c>
    </row>
    <row r="78" spans="1:11" x14ac:dyDescent="0.45">
      <c r="A78" s="77" t="s">
        <v>79</v>
      </c>
      <c r="B78" s="78"/>
      <c r="C78" s="78" t="s">
        <v>22</v>
      </c>
      <c r="D78" s="69">
        <f>(48619*8.314/1000)</f>
        <v>404.218366</v>
      </c>
    </row>
    <row r="79" spans="1:11" ht="14.65" thickBot="1" x14ac:dyDescent="0.5">
      <c r="A79" s="57"/>
      <c r="B79" s="76"/>
      <c r="C79" s="76"/>
      <c r="D79" s="58"/>
    </row>
    <row r="91" spans="4:7" x14ac:dyDescent="0.45">
      <c r="G91" t="s">
        <v>30</v>
      </c>
    </row>
    <row r="93" spans="4:7" x14ac:dyDescent="0.45">
      <c r="D93" t="s">
        <v>21</v>
      </c>
      <c r="E93">
        <f>EXP(48.518)</f>
        <v>1.1778762716112828E+21</v>
      </c>
      <c r="G93">
        <f>EXP(46.574)</f>
        <v>1.6858976300974175E+20</v>
      </c>
    </row>
    <row r="95" spans="4:7" x14ac:dyDescent="0.45">
      <c r="D95" t="s">
        <v>22</v>
      </c>
      <c r="E95">
        <f>(30144*8.314)/1000</f>
        <v>250.61721600000001</v>
      </c>
      <c r="G95">
        <f>37420*8.314/1000</f>
        <v>311.10988000000003</v>
      </c>
    </row>
  </sheetData>
  <mergeCells count="11">
    <mergeCell ref="C6:E6"/>
    <mergeCell ref="C7:E7"/>
    <mergeCell ref="C8:E8"/>
    <mergeCell ref="C9:E9"/>
    <mergeCell ref="C10:E10"/>
    <mergeCell ref="C56:H56"/>
    <mergeCell ref="C52:E52"/>
    <mergeCell ref="C53:E53"/>
    <mergeCell ref="C51:E51"/>
    <mergeCell ref="B12:F12"/>
    <mergeCell ref="E20:I20"/>
  </mergeCells>
  <conditionalFormatting sqref="B35:D35 B37:E37 B36 E36 C39:D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{7121D2DA-416E-4A04-AE5C-1E63A0A0779F}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21D2DA-416E-4A04-AE5C-1E63A0A07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B35:D35 B37:E37 B36 E36 C39:D39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51B6-4C6B-4C33-8648-8091C11087C1}">
  <dimension ref="A1:N55"/>
  <sheetViews>
    <sheetView tabSelected="1" topLeftCell="H1" workbookViewId="0">
      <selection activeCell="X46" sqref="X46"/>
    </sheetView>
  </sheetViews>
  <sheetFormatPr defaultRowHeight="14.25" x14ac:dyDescent="0.45"/>
  <cols>
    <col min="4" max="4" width="11.73046875" bestFit="1" customWidth="1"/>
    <col min="9" max="9" width="10.59765625" bestFit="1" customWidth="1"/>
    <col min="13" max="13" width="11.73046875" bestFit="1" customWidth="1"/>
    <col min="14" max="14" width="10.73046875" bestFit="1" customWidth="1"/>
  </cols>
  <sheetData>
    <row r="1" spans="1:14" x14ac:dyDescent="0.45">
      <c r="A1" t="s">
        <v>25</v>
      </c>
      <c r="E1" t="s">
        <v>5</v>
      </c>
      <c r="F1">
        <v>8.3140000000000001</v>
      </c>
    </row>
    <row r="2" spans="1:14" ht="14.65" thickBot="1" x14ac:dyDescent="0.5">
      <c r="I2" s="3">
        <v>773</v>
      </c>
      <c r="J2" s="3">
        <v>823</v>
      </c>
      <c r="K2" s="3">
        <v>873</v>
      </c>
      <c r="L2" s="3">
        <v>923</v>
      </c>
      <c r="M2" s="3">
        <v>973</v>
      </c>
      <c r="N2" s="3"/>
    </row>
    <row r="3" spans="1:14" x14ac:dyDescent="0.45">
      <c r="A3" s="11">
        <v>22</v>
      </c>
      <c r="B3" s="50">
        <v>14</v>
      </c>
      <c r="C3" s="98"/>
      <c r="D3" s="98"/>
      <c r="E3" s="98"/>
      <c r="F3" s="34">
        <v>2.4705000000000002E+22</v>
      </c>
      <c r="G3" s="34">
        <v>237</v>
      </c>
      <c r="H3" s="34">
        <v>7</v>
      </c>
      <c r="I3" s="21">
        <f>($F3*EXP((-$G3*1000)/($F$1*I$2)))</f>
        <v>2383347.9431867157</v>
      </c>
      <c r="J3" s="21">
        <f t="shared" ref="J3:M7" si="0">($F3*EXP((-$G3*1000)/($F$1*J$2)))</f>
        <v>22396930.737833437</v>
      </c>
      <c r="K3" s="21">
        <f t="shared" si="0"/>
        <v>162830100.05104259</v>
      </c>
      <c r="L3" s="21">
        <f t="shared" si="0"/>
        <v>954858292.74926853</v>
      </c>
      <c r="M3" s="21">
        <f t="shared" si="0"/>
        <v>4668646891.1257133</v>
      </c>
      <c r="N3" s="21"/>
    </row>
    <row r="4" spans="1:14" x14ac:dyDescent="0.45">
      <c r="A4" s="17">
        <v>24</v>
      </c>
      <c r="B4" s="18">
        <v>16</v>
      </c>
      <c r="C4" s="96"/>
      <c r="D4" s="96"/>
      <c r="E4" s="96"/>
      <c r="F4" s="20">
        <v>1.4625E+19</v>
      </c>
      <c r="G4" s="20">
        <v>237</v>
      </c>
      <c r="H4" s="20">
        <v>6</v>
      </c>
      <c r="I4" s="21">
        <f>($F4*EXP((-$G4*1000)/($F$1*I$2)))</f>
        <v>1410.9072523418627</v>
      </c>
      <c r="J4" s="21">
        <f t="shared" si="0"/>
        <v>13258.656629864967</v>
      </c>
      <c r="K4" s="21">
        <f t="shared" si="0"/>
        <v>96393.046478303891</v>
      </c>
      <c r="L4" s="21">
        <f t="shared" si="0"/>
        <v>565262.19516122446</v>
      </c>
      <c r="M4" s="21">
        <f t="shared" si="0"/>
        <v>2763770.928262034</v>
      </c>
      <c r="N4" s="21"/>
    </row>
    <row r="5" spans="1:14" x14ac:dyDescent="0.45">
      <c r="A5" s="17">
        <v>26</v>
      </c>
      <c r="B5" s="18">
        <v>18</v>
      </c>
      <c r="C5" s="96"/>
      <c r="D5" s="96"/>
      <c r="E5" s="96"/>
      <c r="F5" s="20">
        <v>4.54E+18</v>
      </c>
      <c r="G5" s="20">
        <v>237</v>
      </c>
      <c r="H5" s="20">
        <v>5</v>
      </c>
      <c r="I5" s="21">
        <f>($F5*EXP((-$G5*1000)/($F$1*I$2)))</f>
        <v>437.98420004321753</v>
      </c>
      <c r="J5" s="21">
        <f t="shared" si="0"/>
        <v>4115.8496478350053</v>
      </c>
      <c r="K5" s="21">
        <f t="shared" si="0"/>
        <v>29923.038017880317</v>
      </c>
      <c r="L5" s="21">
        <f t="shared" si="0"/>
        <v>175472.84554064678</v>
      </c>
      <c r="M5" s="21">
        <f t="shared" si="0"/>
        <v>857950.08644852194</v>
      </c>
      <c r="N5" s="21"/>
    </row>
    <row r="6" spans="1:14" x14ac:dyDescent="0.45">
      <c r="A6" s="17">
        <v>29</v>
      </c>
      <c r="B6" s="18">
        <v>21</v>
      </c>
      <c r="C6" s="96"/>
      <c r="D6" s="96"/>
      <c r="E6" s="96"/>
      <c r="F6" s="20">
        <v>2824870000000000</v>
      </c>
      <c r="G6" s="20">
        <v>237</v>
      </c>
      <c r="H6" s="20">
        <v>4</v>
      </c>
      <c r="I6" s="21">
        <f>($F6*EXP((-$G6*1000)/($F$1*I$2)))</f>
        <v>0.27252167999473215</v>
      </c>
      <c r="J6" s="21">
        <f t="shared" si="0"/>
        <v>2.5609559900175487</v>
      </c>
      <c r="K6" s="21">
        <f t="shared" si="0"/>
        <v>18.618654714883167</v>
      </c>
      <c r="L6" s="21">
        <f t="shared" si="0"/>
        <v>109.18237382872398</v>
      </c>
      <c r="M6" s="21">
        <f t="shared" si="0"/>
        <v>533.83203980304768</v>
      </c>
      <c r="N6" s="21"/>
    </row>
    <row r="7" spans="1:14" ht="14.65" thickBot="1" x14ac:dyDescent="0.5">
      <c r="A7" s="24">
        <v>13</v>
      </c>
      <c r="B7" s="51" t="s">
        <v>19</v>
      </c>
      <c r="C7" s="97"/>
      <c r="D7" s="97"/>
      <c r="E7" s="97"/>
      <c r="F7" s="27">
        <v>1.6996875E+17</v>
      </c>
      <c r="G7" s="27">
        <v>248.5</v>
      </c>
      <c r="H7" s="27">
        <v>3</v>
      </c>
      <c r="I7" s="21">
        <f>($F7*EXP((-$G7*1000)/($F$1*I$2)))</f>
        <v>2.7393247869399202</v>
      </c>
      <c r="J7" s="21">
        <f t="shared" si="0"/>
        <v>28.698402106426979</v>
      </c>
      <c r="K7" s="21">
        <f t="shared" si="0"/>
        <v>229.72532929301346</v>
      </c>
      <c r="L7" s="21">
        <f t="shared" si="0"/>
        <v>1467.8742436184855</v>
      </c>
      <c r="M7" s="21">
        <f t="shared" si="0"/>
        <v>7751.4986533184701</v>
      </c>
      <c r="N7" s="21"/>
    </row>
    <row r="8" spans="1:14" x14ac:dyDescent="0.45">
      <c r="D8" s="113" t="s">
        <v>87</v>
      </c>
      <c r="E8" s="113"/>
      <c r="F8" s="113"/>
      <c r="G8" s="113"/>
      <c r="H8" s="113"/>
      <c r="I8" s="113"/>
    </row>
    <row r="9" spans="1:14" x14ac:dyDescent="0.45">
      <c r="C9" t="s">
        <v>26</v>
      </c>
      <c r="D9">
        <v>8</v>
      </c>
      <c r="E9">
        <v>9</v>
      </c>
      <c r="F9">
        <v>10</v>
      </c>
      <c r="G9">
        <v>11</v>
      </c>
      <c r="H9">
        <v>12</v>
      </c>
      <c r="I9">
        <v>7</v>
      </c>
    </row>
    <row r="10" spans="1:14" ht="15.75" x14ac:dyDescent="0.45">
      <c r="A10" t="s">
        <v>80</v>
      </c>
      <c r="C10">
        <v>773</v>
      </c>
      <c r="D10" s="31">
        <f>0.000004*EXP(3.5905*D9)</f>
        <v>11932589.199272225</v>
      </c>
      <c r="E10" s="31">
        <f t="shared" ref="E10:I10" si="1">0.000004*EXP(3.5905*E9)</f>
        <v>432582580.27220833</v>
      </c>
      <c r="F10" s="31">
        <f t="shared" si="1"/>
        <v>15682069132.688652</v>
      </c>
      <c r="G10" s="31">
        <f t="shared" si="1"/>
        <v>568509467319.91174</v>
      </c>
      <c r="H10" s="31">
        <f t="shared" si="1"/>
        <v>20609717486748.352</v>
      </c>
      <c r="I10" s="31">
        <f t="shared" si="1"/>
        <v>329154.92091473017</v>
      </c>
    </row>
    <row r="11" spans="1:14" ht="15.75" x14ac:dyDescent="0.45">
      <c r="A11" t="s">
        <v>81</v>
      </c>
      <c r="C11">
        <v>823</v>
      </c>
      <c r="D11" s="31">
        <f>0.00004*EXP(3.5687*D9)</f>
        <v>100229077.20153372</v>
      </c>
      <c r="E11" s="31">
        <f t="shared" ref="E11:I11" si="2">0.00004*EXP(3.5687*E9)</f>
        <v>3555170629.6900582</v>
      </c>
      <c r="F11" s="31">
        <f t="shared" si="2"/>
        <v>126103507675.68831</v>
      </c>
      <c r="G11" s="31">
        <f t="shared" si="2"/>
        <v>4472948362959.0879</v>
      </c>
      <c r="H11" s="31">
        <f t="shared" si="2"/>
        <v>158657498323939.34</v>
      </c>
      <c r="I11" s="31">
        <f t="shared" si="2"/>
        <v>2825706.2636531861</v>
      </c>
    </row>
    <row r="12" spans="1:14" ht="15.75" x14ac:dyDescent="0.45">
      <c r="A12" t="s">
        <v>82</v>
      </c>
      <c r="C12">
        <v>873</v>
      </c>
      <c r="D12" s="31">
        <f>0.0004*EXP(3.5495*D9)</f>
        <v>859579598.84906089</v>
      </c>
      <c r="E12" s="31">
        <f t="shared" ref="E12:I12" si="3">0.0004*EXP(3.5495*E9)</f>
        <v>29909858811.836533</v>
      </c>
      <c r="F12" s="31">
        <f t="shared" si="3"/>
        <v>1040740910256.3912</v>
      </c>
      <c r="G12" s="31">
        <f t="shared" si="3"/>
        <v>36213532437426.672</v>
      </c>
      <c r="H12" s="31">
        <f t="shared" si="3"/>
        <v>1260083003053554.3</v>
      </c>
      <c r="I12" s="31">
        <f t="shared" si="3"/>
        <v>24703462.87509419</v>
      </c>
    </row>
    <row r="13" spans="1:14" ht="15.75" x14ac:dyDescent="0.45">
      <c r="A13" t="s">
        <v>83</v>
      </c>
      <c r="C13">
        <v>923</v>
      </c>
      <c r="D13" s="31">
        <f>(0.0023*EXP(3.5323*D9))</f>
        <v>4307199853.4619112</v>
      </c>
      <c r="E13" s="31">
        <f t="shared" ref="E13:I13" si="4">(0.0023*EXP(3.5323*E9))</f>
        <v>147317188487.9306</v>
      </c>
      <c r="F13" s="31">
        <f t="shared" si="4"/>
        <v>5038622483826.751</v>
      </c>
      <c r="G13" s="31">
        <f t="shared" si="4"/>
        <v>172333702503455.16</v>
      </c>
      <c r="H13" s="31">
        <f t="shared" si="4"/>
        <v>5894250881838991</v>
      </c>
      <c r="I13" s="31">
        <f t="shared" si="4"/>
        <v>125932152.03249845</v>
      </c>
    </row>
    <row r="14" spans="1:14" ht="15.75" x14ac:dyDescent="0.45">
      <c r="A14" t="s">
        <v>84</v>
      </c>
      <c r="C14">
        <v>973</v>
      </c>
      <c r="D14" s="31">
        <f>(0.0125*EXP(3.5169*D9))</f>
        <v>20695318771.244705</v>
      </c>
      <c r="E14" s="31">
        <f t="shared" ref="E14:I14" si="5">(0.0125*EXP(3.5169*E9))</f>
        <v>697015416151.05505</v>
      </c>
      <c r="F14" s="31">
        <f t="shared" si="5"/>
        <v>23475380868608.395</v>
      </c>
      <c r="G14" s="31">
        <f t="shared" si="5"/>
        <v>790647515329548.75</v>
      </c>
      <c r="H14" s="31">
        <f t="shared" si="5"/>
        <v>2.6628896757654432E+16</v>
      </c>
      <c r="I14" s="31">
        <f t="shared" si="5"/>
        <v>614471658.9031862</v>
      </c>
    </row>
    <row r="16" spans="1:14" x14ac:dyDescent="0.45">
      <c r="C16" s="3"/>
      <c r="D16" s="120" t="s">
        <v>27</v>
      </c>
      <c r="E16" s="120"/>
      <c r="F16" s="120"/>
      <c r="G16" s="120"/>
      <c r="H16" s="120"/>
      <c r="I16" s="120"/>
    </row>
    <row r="17" spans="1:9" x14ac:dyDescent="0.45">
      <c r="C17" s="3" t="s">
        <v>20</v>
      </c>
      <c r="D17" s="3">
        <v>8</v>
      </c>
      <c r="E17" s="3">
        <v>9</v>
      </c>
      <c r="F17" s="3">
        <v>10</v>
      </c>
      <c r="G17" s="3">
        <v>11</v>
      </c>
      <c r="H17" s="3">
        <v>12</v>
      </c>
      <c r="I17" s="3">
        <v>7</v>
      </c>
    </row>
    <row r="18" spans="1:9" x14ac:dyDescent="0.45">
      <c r="C18" s="3">
        <f>(1/C10)</f>
        <v>1.29366106080207E-3</v>
      </c>
      <c r="D18" s="3">
        <f>LN(D10)</f>
        <v>16.294783803155617</v>
      </c>
      <c r="E18" s="3">
        <f t="shared" ref="E18:I18" si="6">LN(E10)</f>
        <v>19.88528380315562</v>
      </c>
      <c r="F18" s="3">
        <f t="shared" si="6"/>
        <v>23.475783803155618</v>
      </c>
      <c r="G18" s="3">
        <f t="shared" si="6"/>
        <v>27.066283803155617</v>
      </c>
      <c r="H18" s="3">
        <f t="shared" si="6"/>
        <v>30.656783803155616</v>
      </c>
      <c r="I18" s="3">
        <f t="shared" si="6"/>
        <v>12.704283803155619</v>
      </c>
    </row>
    <row r="19" spans="1:9" x14ac:dyDescent="0.45">
      <c r="C19" s="3">
        <f t="shared" ref="C19:C22" si="7">(1/C11)</f>
        <v>1.215066828675577E-3</v>
      </c>
      <c r="D19" s="3">
        <f t="shared" ref="D19:I19" si="8">LN(D11)</f>
        <v>18.422968896149666</v>
      </c>
      <c r="E19" s="3">
        <f t="shared" si="8"/>
        <v>21.991668896149669</v>
      </c>
      <c r="F19" s="3">
        <f t="shared" si="8"/>
        <v>25.560368896149669</v>
      </c>
      <c r="G19" s="3">
        <f t="shared" si="8"/>
        <v>29.129068896149668</v>
      </c>
      <c r="H19" s="3">
        <f t="shared" si="8"/>
        <v>32.697768896149668</v>
      </c>
      <c r="I19" s="3">
        <f t="shared" si="8"/>
        <v>14.854268896149664</v>
      </c>
    </row>
    <row r="20" spans="1:9" x14ac:dyDescent="0.45">
      <c r="C20" s="3">
        <f t="shared" si="7"/>
        <v>1.145475372279496E-3</v>
      </c>
      <c r="D20" s="3">
        <f t="shared" ref="D20:I20" si="9">LN(D12)</f>
        <v>20.571953989143708</v>
      </c>
      <c r="E20" s="3">
        <f t="shared" si="9"/>
        <v>24.12145398914371</v>
      </c>
      <c r="F20" s="3">
        <f t="shared" si="9"/>
        <v>27.670953989143712</v>
      </c>
      <c r="G20" s="3">
        <f t="shared" si="9"/>
        <v>31.220453989143707</v>
      </c>
      <c r="H20" s="3">
        <f t="shared" si="9"/>
        <v>34.769953989143708</v>
      </c>
      <c r="I20" s="3">
        <f t="shared" si="9"/>
        <v>17.022453989143706</v>
      </c>
    </row>
    <row r="21" spans="1:9" x14ac:dyDescent="0.45">
      <c r="C21" s="3">
        <f t="shared" si="7"/>
        <v>1.0834236186348862E-3</v>
      </c>
      <c r="D21" s="3">
        <f t="shared" ref="D21:I21" si="10">LN(D13)</f>
        <v>22.183553843952968</v>
      </c>
      <c r="E21" s="3">
        <f t="shared" si="10"/>
        <v>25.715853843952967</v>
      </c>
      <c r="F21" s="3">
        <f t="shared" si="10"/>
        <v>29.248153843952966</v>
      </c>
      <c r="G21" s="3">
        <f t="shared" si="10"/>
        <v>32.780453843952969</v>
      </c>
      <c r="H21" s="3">
        <f t="shared" si="10"/>
        <v>36.312753843952976</v>
      </c>
      <c r="I21" s="3">
        <f t="shared" si="10"/>
        <v>18.651253843952968</v>
      </c>
    </row>
    <row r="22" spans="1:9" x14ac:dyDescent="0.45">
      <c r="C22" s="3">
        <f t="shared" si="7"/>
        <v>1.0277492291880781E-3</v>
      </c>
      <c r="D22" s="3">
        <f t="shared" ref="D22:I22" si="11">LN(D14)</f>
        <v>23.75317336532612</v>
      </c>
      <c r="E22" s="3">
        <f t="shared" si="11"/>
        <v>27.27007336532612</v>
      </c>
      <c r="F22" s="3">
        <f t="shared" si="11"/>
        <v>30.786973365326123</v>
      </c>
      <c r="G22" s="3">
        <f t="shared" si="11"/>
        <v>34.303873365326119</v>
      </c>
      <c r="H22" s="3">
        <f t="shared" si="11"/>
        <v>37.820773365326119</v>
      </c>
      <c r="I22" s="3">
        <f t="shared" si="11"/>
        <v>20.23627336532612</v>
      </c>
    </row>
    <row r="25" spans="1:9" x14ac:dyDescent="0.45">
      <c r="A25" s="84" t="s">
        <v>53</v>
      </c>
      <c r="B25" s="85"/>
      <c r="C25" s="85"/>
      <c r="D25" s="52"/>
    </row>
    <row r="26" spans="1:9" x14ac:dyDescent="0.45">
      <c r="A26" s="86" t="s">
        <v>85</v>
      </c>
      <c r="B26" s="78"/>
      <c r="C26" s="78" t="s">
        <v>28</v>
      </c>
      <c r="D26" s="87">
        <f>EXP(52.72)</f>
        <v>7.870550066914569E+22</v>
      </c>
    </row>
    <row r="27" spans="1:9" x14ac:dyDescent="0.45">
      <c r="A27" s="86"/>
      <c r="B27" s="78"/>
      <c r="C27" s="78" t="s">
        <v>22</v>
      </c>
      <c r="D27" s="87">
        <f>(28163*8.314/1000)</f>
        <v>234.14718199999999</v>
      </c>
    </row>
    <row r="28" spans="1:9" x14ac:dyDescent="0.45">
      <c r="A28" s="88"/>
      <c r="B28" s="89"/>
      <c r="C28" s="89"/>
      <c r="D28" s="90"/>
    </row>
    <row r="30" spans="1:9" x14ac:dyDescent="0.45">
      <c r="A30" s="84" t="s">
        <v>56</v>
      </c>
      <c r="B30" s="85"/>
      <c r="C30" s="85"/>
      <c r="D30" s="52"/>
    </row>
    <row r="31" spans="1:9" x14ac:dyDescent="0.45">
      <c r="A31" s="86" t="s">
        <v>86</v>
      </c>
      <c r="B31" s="78"/>
      <c r="C31" s="78" t="s">
        <v>28</v>
      </c>
      <c r="D31" s="87">
        <f>EXP(55.952)</f>
        <v>1.9936313367114883E+24</v>
      </c>
    </row>
    <row r="32" spans="1:9" x14ac:dyDescent="0.45">
      <c r="A32" s="86"/>
      <c r="B32" s="78"/>
      <c r="C32" s="78" t="s">
        <v>22</v>
      </c>
      <c r="D32" s="87">
        <f>(27887*8.314/1000)</f>
        <v>231.852518</v>
      </c>
    </row>
    <row r="33" spans="1:14" x14ac:dyDescent="0.45">
      <c r="A33" s="88"/>
      <c r="B33" s="89"/>
      <c r="C33" s="89"/>
      <c r="D33" s="90"/>
    </row>
    <row r="36" spans="1:14" x14ac:dyDescent="0.45">
      <c r="I36">
        <v>573</v>
      </c>
      <c r="J36">
        <v>673</v>
      </c>
      <c r="K36">
        <v>773</v>
      </c>
      <c r="L36">
        <v>873</v>
      </c>
      <c r="M36">
        <v>973</v>
      </c>
    </row>
    <row r="37" spans="1:14" x14ac:dyDescent="0.45">
      <c r="B37" s="18">
        <v>15</v>
      </c>
      <c r="C37" s="96"/>
      <c r="D37" s="96"/>
      <c r="E37" s="96"/>
      <c r="F37" s="20">
        <v>8.61E+17</v>
      </c>
      <c r="G37" s="20">
        <v>237</v>
      </c>
      <c r="H37" s="20">
        <v>7</v>
      </c>
      <c r="I37" s="21">
        <f t="shared" ref="I37:M39" si="12">($F37*EXP((-$G37*1000)/($F$1*I$2)))</f>
        <v>83.062642342997862</v>
      </c>
      <c r="J37" s="21">
        <f t="shared" si="12"/>
        <v>780.5609133889734</v>
      </c>
      <c r="K37" s="21">
        <f t="shared" si="12"/>
        <v>5674.831659338096</v>
      </c>
      <c r="L37" s="21">
        <f t="shared" si="12"/>
        <v>33278.000002312088</v>
      </c>
      <c r="M37" s="21">
        <f t="shared" si="12"/>
        <v>162708.15516127256</v>
      </c>
      <c r="N37" s="21"/>
    </row>
    <row r="38" spans="1:14" x14ac:dyDescent="0.45">
      <c r="B38" s="47">
        <v>17</v>
      </c>
      <c r="C38" s="96"/>
      <c r="D38" s="96"/>
      <c r="E38" s="96"/>
      <c r="F38" s="20">
        <v>8.38E+17</v>
      </c>
      <c r="G38" s="20">
        <v>237</v>
      </c>
      <c r="H38" s="20">
        <v>6</v>
      </c>
      <c r="I38" s="21">
        <f t="shared" si="12"/>
        <v>80.843779655554258</v>
      </c>
      <c r="J38" s="21">
        <f t="shared" si="12"/>
        <v>759.70969270610885</v>
      </c>
      <c r="K38" s="21">
        <f t="shared" si="12"/>
        <v>5523.2391759876009</v>
      </c>
      <c r="L38" s="21">
        <f t="shared" si="12"/>
        <v>32389.040652656829</v>
      </c>
      <c r="M38" s="21">
        <f t="shared" si="12"/>
        <v>158361.71199203996</v>
      </c>
      <c r="N38" s="21"/>
    </row>
    <row r="39" spans="1:14" x14ac:dyDescent="0.45">
      <c r="B39" s="18">
        <v>18</v>
      </c>
      <c r="C39" s="96"/>
      <c r="D39" s="96"/>
      <c r="E39" s="96"/>
      <c r="F39" s="20">
        <v>4.54E+18</v>
      </c>
      <c r="G39" s="20">
        <v>237</v>
      </c>
      <c r="H39" s="20">
        <v>5</v>
      </c>
      <c r="I39" s="21">
        <f t="shared" si="12"/>
        <v>437.98420004321753</v>
      </c>
      <c r="J39" s="21">
        <f t="shared" si="12"/>
        <v>4115.8496478350053</v>
      </c>
      <c r="K39" s="21">
        <f t="shared" si="12"/>
        <v>29923.038017880317</v>
      </c>
      <c r="L39" s="21">
        <f t="shared" si="12"/>
        <v>175472.84554064678</v>
      </c>
      <c r="M39" s="21">
        <f t="shared" si="12"/>
        <v>857950.08644852194</v>
      </c>
      <c r="N39" s="21"/>
    </row>
    <row r="40" spans="1:14" x14ac:dyDescent="0.45">
      <c r="C40" s="96"/>
      <c r="D40" s="96"/>
      <c r="E40" s="96"/>
      <c r="F40" s="20">
        <v>2824870000000000</v>
      </c>
      <c r="G40" s="20">
        <v>237</v>
      </c>
      <c r="H40" s="20">
        <v>4</v>
      </c>
      <c r="I40" s="21">
        <f t="shared" ref="I40:M41" si="13">($F40*EXP((-$G40*1000)/($F$1*I$2)))</f>
        <v>0.27252167999473215</v>
      </c>
      <c r="J40" s="21">
        <f t="shared" si="13"/>
        <v>2.5609559900175487</v>
      </c>
      <c r="K40" s="21">
        <f t="shared" si="13"/>
        <v>18.618654714883167</v>
      </c>
      <c r="L40" s="21">
        <f t="shared" si="13"/>
        <v>109.18237382872398</v>
      </c>
      <c r="M40" s="21">
        <f t="shared" si="13"/>
        <v>533.83203980304768</v>
      </c>
      <c r="N40" s="21"/>
    </row>
    <row r="41" spans="1:14" ht="14.65" thickBot="1" x14ac:dyDescent="0.5">
      <c r="C41" s="97"/>
      <c r="D41" s="97"/>
      <c r="E41" s="97"/>
      <c r="F41" s="27">
        <v>1.47E+17</v>
      </c>
      <c r="G41" s="27">
        <v>248.5</v>
      </c>
      <c r="H41" s="27">
        <v>3</v>
      </c>
      <c r="I41" s="21">
        <f t="shared" si="13"/>
        <v>2.3691457616777689</v>
      </c>
      <c r="J41" s="21">
        <f t="shared" si="13"/>
        <v>24.820239659612522</v>
      </c>
      <c r="K41" s="21">
        <f t="shared" si="13"/>
        <v>198.68136587503867</v>
      </c>
      <c r="L41" s="21">
        <f t="shared" si="13"/>
        <v>1269.5128593457171</v>
      </c>
      <c r="M41" s="21">
        <f t="shared" si="13"/>
        <v>6703.998835302461</v>
      </c>
      <c r="N41" s="21"/>
    </row>
    <row r="44" spans="1:14" x14ac:dyDescent="0.45">
      <c r="I44" s="113" t="s">
        <v>27</v>
      </c>
      <c r="J44" s="113"/>
      <c r="K44" s="113"/>
      <c r="L44" s="113"/>
      <c r="M44" s="113"/>
      <c r="N44" s="113"/>
    </row>
    <row r="45" spans="1:14" x14ac:dyDescent="0.45">
      <c r="I45" s="3">
        <v>573</v>
      </c>
      <c r="J45" s="3">
        <v>673</v>
      </c>
      <c r="K45" s="3">
        <v>773</v>
      </c>
      <c r="L45" s="3">
        <v>873</v>
      </c>
      <c r="M45" s="3">
        <v>973</v>
      </c>
    </row>
    <row r="46" spans="1:14" x14ac:dyDescent="0.45">
      <c r="H46" s="94">
        <v>7</v>
      </c>
      <c r="I46" s="3">
        <f t="shared" ref="I46:M46" si="14">LN(I37)</f>
        <v>4.4195950501574481</v>
      </c>
      <c r="J46" s="3">
        <f t="shared" si="14"/>
        <v>6.6600127809703915</v>
      </c>
      <c r="K46" s="3">
        <f t="shared" si="14"/>
        <v>8.6437961783568724</v>
      </c>
      <c r="L46" s="3">
        <f t="shared" si="14"/>
        <v>10.41265179704493</v>
      </c>
      <c r="M46" s="3">
        <f t="shared" si="14"/>
        <v>11.999713415867824</v>
      </c>
    </row>
    <row r="47" spans="1:14" x14ac:dyDescent="0.45">
      <c r="H47" s="94">
        <v>6</v>
      </c>
      <c r="I47" s="3">
        <f t="shared" ref="I47:M47" si="15">LN(I38)</f>
        <v>4.3925186462118004</v>
      </c>
      <c r="J47" s="3">
        <f t="shared" si="15"/>
        <v>6.6329363770247438</v>
      </c>
      <c r="K47" s="3">
        <f t="shared" si="15"/>
        <v>8.6167197744112247</v>
      </c>
      <c r="L47" s="3">
        <f t="shared" si="15"/>
        <v>10.385575393099282</v>
      </c>
      <c r="M47" s="3">
        <f t="shared" si="15"/>
        <v>11.972637011922176</v>
      </c>
    </row>
    <row r="48" spans="1:14" x14ac:dyDescent="0.45">
      <c r="H48" s="94">
        <v>5</v>
      </c>
      <c r="I48" s="3">
        <f t="shared" ref="I48:M48" si="16">LN(I39)</f>
        <v>6.082182836765111</v>
      </c>
      <c r="J48" s="3">
        <f t="shared" si="16"/>
        <v>8.3226005675780534</v>
      </c>
      <c r="K48" s="3">
        <f t="shared" si="16"/>
        <v>10.306383964964535</v>
      </c>
      <c r="L48" s="3">
        <f t="shared" si="16"/>
        <v>12.075239583652593</v>
      </c>
      <c r="M48" s="3">
        <f t="shared" si="16"/>
        <v>13.662301202475486</v>
      </c>
    </row>
    <row r="49" spans="3:13" x14ac:dyDescent="0.45">
      <c r="H49" s="94">
        <v>4</v>
      </c>
      <c r="I49" s="3">
        <f t="shared" ref="I49:M49" si="17">LN(I40)</f>
        <v>-1.3000371084298405</v>
      </c>
      <c r="J49" s="3">
        <f t="shared" si="17"/>
        <v>0.94038062238310294</v>
      </c>
      <c r="K49" s="3">
        <f t="shared" si="17"/>
        <v>2.9241640197695848</v>
      </c>
      <c r="L49" s="3">
        <f t="shared" si="17"/>
        <v>4.6930196384576419</v>
      </c>
      <c r="M49" s="3">
        <f t="shared" si="17"/>
        <v>6.2800812572805356</v>
      </c>
    </row>
    <row r="50" spans="3:13" ht="14.65" thickBot="1" x14ac:dyDescent="0.5">
      <c r="H50" s="95">
        <v>3</v>
      </c>
      <c r="I50" s="3">
        <f t="shared" ref="I50:M50" si="18">LN(I41)</f>
        <v>0.86252945206296494</v>
      </c>
      <c r="J50" s="3">
        <f t="shared" si="18"/>
        <v>3.2116594356368746</v>
      </c>
      <c r="K50" s="3">
        <f t="shared" si="18"/>
        <v>5.2917023649640527</v>
      </c>
      <c r="L50" s="3">
        <f t="shared" si="18"/>
        <v>7.1463885305504746</v>
      </c>
      <c r="M50" s="3">
        <f t="shared" si="18"/>
        <v>8.8104594684301709</v>
      </c>
    </row>
    <row r="55" spans="3:13" x14ac:dyDescent="0.45">
      <c r="C55" t="s">
        <v>29</v>
      </c>
    </row>
  </sheetData>
  <mergeCells count="13">
    <mergeCell ref="C40:E40"/>
    <mergeCell ref="C41:E41"/>
    <mergeCell ref="I44:N44"/>
    <mergeCell ref="C38:E38"/>
    <mergeCell ref="C39:E39"/>
    <mergeCell ref="C37:E37"/>
    <mergeCell ref="C3:E3"/>
    <mergeCell ref="C4:E4"/>
    <mergeCell ref="C5:E5"/>
    <mergeCell ref="C6:E6"/>
    <mergeCell ref="C7:E7"/>
    <mergeCell ref="D16:I16"/>
    <mergeCell ref="D8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dehydro-hydro</vt:lpstr>
      <vt:lpstr>carbon no.2</vt:lpstr>
      <vt:lpstr>terminal carbon</vt:lpstr>
      <vt:lpstr>middle carbon</vt:lpstr>
      <vt:lpstr>alkene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nita mehta</dc:creator>
  <cp:lastModifiedBy>nita mehta</cp:lastModifiedBy>
  <dcterms:created xsi:type="dcterms:W3CDTF">2022-01-10T12:04:28Z</dcterms:created>
  <dcterms:modified xsi:type="dcterms:W3CDTF">2022-03-11T17:21:35Z</dcterms:modified>
</cp:coreProperties>
</file>