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QT mới 1\5. Quy trình lập kế hoạch và tổ chức sản xuất\Quy trình lập kế hoạch và tổ chức sản xuất NMC\Biểu mẫu cho quy trình lập kế hoạch sản xuất\"/>
    </mc:Choice>
  </mc:AlternateContent>
  <bookViews>
    <workbookView xWindow="0" yWindow="0" windowWidth="16815" windowHeight="7755" firstSheet="7" activeTab="7"/>
  </bookViews>
  <sheets>
    <sheet name="SLCP02" sheetId="49" state="hidden" r:id="rId1"/>
    <sheet name="BCDT02" sheetId="48" state="hidden" r:id="rId2"/>
    <sheet name="SLCP3" sheetId="51" state="hidden" r:id="rId3"/>
    <sheet name="BCDT03" sheetId="50" state="hidden" r:id="rId4"/>
    <sheet name="SLCP4" sheetId="53" state="hidden" r:id="rId5"/>
    <sheet name="BCDT4" sheetId="52" state="hidden" r:id="rId6"/>
    <sheet name="BCDT5" sheetId="54" state="hidden" r:id="rId7"/>
    <sheet name="Dinhtre thang" sheetId="128" r:id="rId8"/>
    <sheet name="10000000" sheetId="17" state="veryHidden" r:id="rId9"/>
    <sheet name="20000000" sheetId="18" state="veryHidden" r:id="rId10"/>
    <sheet name="30000000" sheetId="20" state="veryHidden" r:id="rId11"/>
    <sheet name="40000000" sheetId="24" state="veryHidden" r:id="rId12"/>
    <sheet name="50000000" sheetId="25" state="veryHidden" r:id="rId13"/>
    <sheet name="60000000" sheetId="26" state="veryHidden" r:id="rId14"/>
    <sheet name="70000000" sheetId="27" state="veryHidden" r:id="rId15"/>
    <sheet name="80000000" sheetId="31" state="veryHidden" r:id="rId16"/>
    <sheet name="90000000" sheetId="56" state="veryHidden" r:id="rId17"/>
    <sheet name="a0000000" sheetId="82" state="veryHidden" r:id="rId18"/>
    <sheet name="b0000000" sheetId="85" state="veryHidden" r:id="rId19"/>
    <sheet name="c0000000" sheetId="95" state="veryHidden" r:id="rId20"/>
    <sheet name="d0000000" sheetId="96" state="veryHidden" r:id="rId21"/>
    <sheet name="e0000000" sheetId="98" state="veryHidden" r:id="rId22"/>
    <sheet name="f0000000" sheetId="99" state="veryHidden" r:id="rId23"/>
    <sheet name="g0000000" sheetId="101" state="veryHidden" r:id="rId24"/>
    <sheet name="h0000000" sheetId="104" state="veryHidden" r:id="rId25"/>
    <sheet name="i0000000" sheetId="105" state="veryHidden" r:id="rId26"/>
    <sheet name="j0000000" sheetId="106" state="veryHidden" r:id="rId27"/>
    <sheet name="k0000000" sheetId="113" state="veryHidden" r:id="rId28"/>
    <sheet name="l0000000" sheetId="116" state="veryHidden" r:id="rId29"/>
    <sheet name="m0000000" sheetId="118" state="veryHidden" r:id="rId30"/>
    <sheet name="n0000000" sheetId="119" state="veryHidden" r:id="rId31"/>
    <sheet name="o0000000" sheetId="120" state="veryHidden" r:id="rId32"/>
    <sheet name="p0000000" sheetId="122" state="veryHidden" r:id="rId33"/>
  </sheets>
  <externalReferences>
    <externalReference r:id="rId34"/>
    <externalReference r:id="rId35"/>
    <externalReference r:id="rId36"/>
    <externalReference r:id="rId37"/>
    <externalReference r:id="rId38"/>
    <externalReference r:id="rId39"/>
    <externalReference r:id="rId40"/>
  </externalReferences>
  <definedNames>
    <definedName name="\0">'[1]PNT-QUOT-#3'!#REF!</definedName>
    <definedName name="\z">'[1]COAT&amp;WRAP-QIOT-#3'!#REF!</definedName>
    <definedName name="_Fill" hidden="1">#REF!</definedName>
    <definedName name="_Key1" hidden="1">#REF!</definedName>
    <definedName name="_Key2" hidden="1">#REF!</definedName>
    <definedName name="_Order1" hidden="1">255</definedName>
    <definedName name="_Order2" hidden="1">255</definedName>
    <definedName name="_Sort" hidden="1">#REF!</definedName>
    <definedName name="_tct3">[2]gVL!$Q$23</definedName>
    <definedName name="A">'[1]PNT-QUOT-#3'!#REF!</definedName>
    <definedName name="AAA">'[3]MTL$-INTER'!#REF!</definedName>
    <definedName name="B">'[1]PNT-QUOT-#3'!#REF!</definedName>
    <definedName name="BarData">#REF!</definedName>
    <definedName name="bd">[2]gVL!$Q$15</definedName>
    <definedName name="Chitieu">#REF!</definedName>
    <definedName name="COAT">'[1]PNT-QUOT-#3'!#REF!</definedName>
    <definedName name="cpd">[2]gVL!$Q$20</definedName>
    <definedName name="cpdd">[2]gVL!$Q$21</definedName>
    <definedName name="CS_10">#REF!</definedName>
    <definedName name="CS_100">#REF!</definedName>
    <definedName name="CS_10S">#REF!</definedName>
    <definedName name="CS_120">#REF!</definedName>
    <definedName name="CS_140">#REF!</definedName>
    <definedName name="CS_160">#REF!</definedName>
    <definedName name="CS_20">#REF!</definedName>
    <definedName name="CS_30">#REF!</definedName>
    <definedName name="CS_40">#REF!</definedName>
    <definedName name="CS_40S">#REF!</definedName>
    <definedName name="CS_5S">#REF!</definedName>
    <definedName name="CS_60">#REF!</definedName>
    <definedName name="CS_80">#REF!</definedName>
    <definedName name="CS_80S">#REF!</definedName>
    <definedName name="CS_STD">#REF!</definedName>
    <definedName name="CS_XS">#REF!</definedName>
    <definedName name="CS_XXS">#REF!</definedName>
    <definedName name="CTKhoan">#REF!</definedName>
    <definedName name="cv">[4]gvl!$N$17</definedName>
    <definedName name="data">#REF!</definedName>
    <definedName name="Data11">#REF!</definedName>
    <definedName name="Data41">#REF!</definedName>
    <definedName name="dcc">[2]gVL!$Q$50</definedName>
    <definedName name="dcl">[2]gVL!$Q$40</definedName>
    <definedName name="dd0.5x1">[2]gVL!$Q$10</definedName>
    <definedName name="dd1x2">[4]gvl!$N$9</definedName>
    <definedName name="dd2x4">[2]gVL!$Q$12</definedName>
    <definedName name="ddien">[2]gVL!$Q$51</definedName>
    <definedName name="DL">'[5]D÷ liÖu'!$A$6:$D$52</definedName>
    <definedName name="dmz">[2]gVL!$Q$45</definedName>
    <definedName name="dno">[2]gVL!$Q$49</definedName>
    <definedName name="FP">'[1]COAT&amp;WRAP-QIOT-#3'!#REF!</definedName>
    <definedName name="gv">[2]gVL!$Q$28</definedName>
    <definedName name="HTML_CodePage" hidden="1">950</definedName>
    <definedName name="HTML_Control" localSheetId="7" hidden="1">{"'Sheet1'!$L$16"}</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I">#REF!</definedName>
    <definedName name="IO">'[1]COAT&amp;WRAP-QIOT-#3'!#REF!</definedName>
    <definedName name="kno">[2]gVL!$Q$48</definedName>
    <definedName name="MAT">'[1]COAT&amp;WRAP-QIOT-#3'!#REF!</definedName>
    <definedName name="MF">'[1]COAT&amp;WRAP-QIOT-#3'!#REF!</definedName>
    <definedName name="nd">[2]gVL!$Q$30</definedName>
    <definedName name="nuoc">[4]gvl!$N$38</definedName>
    <definedName name="P">'[1]PNT-QUOT-#3'!#REF!</definedName>
    <definedName name="PEJM">'[1]COAT&amp;WRAP-QIOT-#3'!#REF!</definedName>
    <definedName name="PF">'[1]PNT-QUOT-#3'!#REF!</definedName>
    <definedName name="PM">[6]IBASE!$AH$16:$AV$110</definedName>
    <definedName name="Print_Area_MI">[7]ESTI.!$A$1:$U$52</definedName>
    <definedName name="_xlnm.Print_Titles">#N/A</definedName>
    <definedName name="RT">'[1]COAT&amp;WRAP-QIOT-#3'!#REF!</definedName>
    <definedName name="SB">[6]IBASE!$AH$7:$AL$14</definedName>
    <definedName name="Sheet1">#REF!</definedName>
    <definedName name="skd">[2]gVL!$Q$37</definedName>
    <definedName name="SORT">#REF!</definedName>
    <definedName name="SORT_AREA">'[7]DI-ESTI'!$A$8:$R$489</definedName>
    <definedName name="SP">'[1]PNT-QUOT-#3'!#REF!</definedName>
    <definedName name="tb">[2]gVL!$Q$29</definedName>
    <definedName name="tenvung">#REF!</definedName>
    <definedName name="THK">'[1]COAT&amp;WRAP-QIOT-#3'!#REF!</definedName>
    <definedName name="ThuA">#REF!</definedName>
    <definedName name="ThuB">#REF!</definedName>
    <definedName name="ThuC">#REF!</definedName>
    <definedName name="ThuCodien">#REF!</definedName>
    <definedName name="ThuKCS">#REF!</definedName>
    <definedName name="ThuPKT">#REF!</definedName>
    <definedName name="ThuTV.NB">#REF!</definedName>
    <definedName name="ThuVPSX">#REF!</definedName>
    <definedName name="tno">[2]gVL!$Q$47</definedName>
    <definedName name="vdkt">[2]gVL!$Q$55</definedName>
    <definedName name="xm">[4]gvl!$N$16</definedName>
    <definedName name="ZYX">#REF!</definedName>
    <definedName name="ZZZ">#REF!</definedName>
  </definedNames>
  <calcPr calcId="152511"/>
  <fileRecoveryPr autoRecover="0"/>
</workbook>
</file>

<file path=xl/calcChain.xml><?xml version="1.0" encoding="utf-8"?>
<calcChain xmlns="http://schemas.openxmlformats.org/spreadsheetml/2006/main">
  <c r="I10" i="54" l="1"/>
  <c r="D10" i="54" s="1"/>
  <c r="M10" i="54"/>
  <c r="S10" i="54"/>
  <c r="U10" i="54"/>
  <c r="I11" i="54"/>
  <c r="M11" i="54"/>
  <c r="O11" i="54" s="1"/>
  <c r="Q11" i="54"/>
  <c r="S11" i="54" s="1"/>
  <c r="U11" i="54"/>
  <c r="I13" i="54"/>
  <c r="K13" i="54"/>
  <c r="D13" i="54"/>
  <c r="F13" i="54" s="1"/>
  <c r="O13" i="54"/>
  <c r="O15" i="54" s="1"/>
  <c r="S13" i="54"/>
  <c r="S15" i="54" s="1"/>
  <c r="U13" i="54"/>
  <c r="I14" i="54"/>
  <c r="D14" i="54"/>
  <c r="U14" i="54"/>
  <c r="M15" i="54"/>
  <c r="Q15" i="54"/>
  <c r="I16" i="54"/>
  <c r="D16" i="54" s="1"/>
  <c r="Q16" i="54"/>
  <c r="O16" i="54"/>
  <c r="O18" i="54" s="1"/>
  <c r="S16" i="54"/>
  <c r="S18" i="54" s="1"/>
  <c r="U16" i="54"/>
  <c r="I17" i="54"/>
  <c r="D17" i="54"/>
  <c r="F17" i="54" s="1"/>
  <c r="I18" i="54"/>
  <c r="Q17" i="54"/>
  <c r="K17" i="54"/>
  <c r="U17" i="54"/>
  <c r="M18" i="54"/>
  <c r="I19" i="54"/>
  <c r="K19" i="54"/>
  <c r="K21" i="54" s="1"/>
  <c r="Q19" i="54"/>
  <c r="O19" i="54"/>
  <c r="U19" i="54"/>
  <c r="Q20" i="54"/>
  <c r="D20" i="54" s="1"/>
  <c r="F20" i="54" s="1"/>
  <c r="K20" i="54"/>
  <c r="U20" i="54"/>
  <c r="I21" i="54"/>
  <c r="M21" i="54"/>
  <c r="O21" i="54"/>
  <c r="I22" i="54"/>
  <c r="D22" i="54" s="1"/>
  <c r="F22" i="54" s="1"/>
  <c r="K22" i="54"/>
  <c r="O22" i="54"/>
  <c r="O24" i="54" s="1"/>
  <c r="S22" i="54"/>
  <c r="S24" i="54" s="1"/>
  <c r="U22" i="54"/>
  <c r="I23" i="54"/>
  <c r="M23" i="54"/>
  <c r="M24" i="54"/>
  <c r="U23" i="54"/>
  <c r="Q24" i="54"/>
  <c r="I25" i="54"/>
  <c r="D25" i="54" s="1"/>
  <c r="K25" i="54"/>
  <c r="O25" i="54"/>
  <c r="O27" i="54" s="1"/>
  <c r="S25" i="54"/>
  <c r="U25" i="54"/>
  <c r="I26" i="54"/>
  <c r="M26" i="54"/>
  <c r="M27" i="54" s="1"/>
  <c r="U26" i="54"/>
  <c r="Q27" i="54"/>
  <c r="S27" i="54"/>
  <c r="I28" i="54"/>
  <c r="K28" i="54"/>
  <c r="Q28" i="54"/>
  <c r="D28" i="54" s="1"/>
  <c r="O28" i="54"/>
  <c r="O30" i="54" s="1"/>
  <c r="U28" i="54"/>
  <c r="I29" i="54"/>
  <c r="Q29" i="54"/>
  <c r="D29" i="54" s="1"/>
  <c r="F29" i="54" s="1"/>
  <c r="K29" i="54"/>
  <c r="U29" i="54"/>
  <c r="I30" i="54"/>
  <c r="M30" i="54"/>
  <c r="I31" i="54"/>
  <c r="D31" i="54" s="1"/>
  <c r="O31" i="54"/>
  <c r="O33" i="54"/>
  <c r="S31" i="54"/>
  <c r="S33" i="54" s="1"/>
  <c r="U31" i="54"/>
  <c r="I32" i="54"/>
  <c r="Q32" i="54"/>
  <c r="D32" i="54" s="1"/>
  <c r="F32" i="54" s="1"/>
  <c r="K32" i="54"/>
  <c r="U32" i="54"/>
  <c r="M33" i="54"/>
  <c r="I34" i="54"/>
  <c r="D34" i="54" s="1"/>
  <c r="O34" i="54"/>
  <c r="O36" i="54"/>
  <c r="S34" i="54"/>
  <c r="S36" i="54" s="1"/>
  <c r="U34" i="54"/>
  <c r="I35" i="54"/>
  <c r="D35" i="54" s="1"/>
  <c r="F35" i="54" s="1"/>
  <c r="M35" i="54"/>
  <c r="U35" i="54"/>
  <c r="Q36" i="54"/>
  <c r="I37" i="54"/>
  <c r="D37" i="54" s="1"/>
  <c r="O37" i="54"/>
  <c r="O39" i="54"/>
  <c r="S37" i="54"/>
  <c r="S39" i="54" s="1"/>
  <c r="U37" i="54"/>
  <c r="I38" i="54"/>
  <c r="D38" i="54" s="1"/>
  <c r="F38" i="54" s="1"/>
  <c r="U38" i="54"/>
  <c r="M39" i="54"/>
  <c r="Q39" i="54"/>
  <c r="I40" i="54"/>
  <c r="D40" i="54" s="1"/>
  <c r="F40" i="54" s="1"/>
  <c r="O40" i="54"/>
  <c r="O42" i="54"/>
  <c r="S40" i="54"/>
  <c r="S42" i="54"/>
  <c r="U40" i="54"/>
  <c r="I41" i="54"/>
  <c r="D41" i="54" s="1"/>
  <c r="F41" i="54" s="1"/>
  <c r="U41" i="54"/>
  <c r="M42" i="54"/>
  <c r="Q42" i="54"/>
  <c r="I43" i="54"/>
  <c r="M43" i="54"/>
  <c r="O43" i="54"/>
  <c r="O45" i="54" s="1"/>
  <c r="Q43" i="54"/>
  <c r="U43" i="54"/>
  <c r="I44" i="54"/>
  <c r="K44" i="54" s="1"/>
  <c r="D44" i="54"/>
  <c r="F44" i="54" s="1"/>
  <c r="U44" i="54"/>
  <c r="I46" i="54"/>
  <c r="D46" i="54" s="1"/>
  <c r="O46" i="54"/>
  <c r="O48" i="54" s="1"/>
  <c r="S46" i="54"/>
  <c r="S48" i="54"/>
  <c r="U46" i="54"/>
  <c r="I47" i="54"/>
  <c r="Q47" i="54"/>
  <c r="Q48" i="54"/>
  <c r="D47" i="54"/>
  <c r="F47" i="54" s="1"/>
  <c r="K47" i="54"/>
  <c r="U47" i="54"/>
  <c r="I48" i="54"/>
  <c r="M48" i="54"/>
  <c r="Q49" i="54"/>
  <c r="D49" i="54"/>
  <c r="K49" i="54"/>
  <c r="O49" i="54"/>
  <c r="O51" i="54" s="1"/>
  <c r="U49" i="54"/>
  <c r="I50" i="54"/>
  <c r="Q50" i="54"/>
  <c r="Q51" i="54" s="1"/>
  <c r="K50" i="54"/>
  <c r="K51" i="54" s="1"/>
  <c r="U50" i="54"/>
  <c r="I51" i="54"/>
  <c r="M51" i="54"/>
  <c r="I52" i="54"/>
  <c r="K52" i="54" s="1"/>
  <c r="Q52" i="54"/>
  <c r="D52" i="54" s="1"/>
  <c r="O52" i="54"/>
  <c r="O54" i="54" s="1"/>
  <c r="U52" i="54"/>
  <c r="I53" i="54"/>
  <c r="Q53" i="54"/>
  <c r="D53" i="54" s="1"/>
  <c r="F53" i="54" s="1"/>
  <c r="K53" i="54"/>
  <c r="U53" i="54"/>
  <c r="M54" i="54"/>
  <c r="M55" i="54"/>
  <c r="O55" i="54" s="1"/>
  <c r="O57" i="54" s="1"/>
  <c r="Q55" i="54"/>
  <c r="S55" i="54" s="1"/>
  <c r="S57" i="54" s="1"/>
  <c r="D55" i="54"/>
  <c r="F55" i="54" s="1"/>
  <c r="K55" i="54"/>
  <c r="U55" i="54"/>
  <c r="Q56" i="54"/>
  <c r="D56" i="54" s="1"/>
  <c r="F56" i="54" s="1"/>
  <c r="K56" i="54"/>
  <c r="U56" i="54"/>
  <c r="I57" i="54"/>
  <c r="I58" i="54"/>
  <c r="Q58" i="54"/>
  <c r="S58" i="54" s="1"/>
  <c r="S60" i="54" s="1"/>
  <c r="O58" i="54"/>
  <c r="O60" i="54" s="1"/>
  <c r="U58" i="54"/>
  <c r="I59" i="54"/>
  <c r="K59" i="54" s="1"/>
  <c r="I60" i="54"/>
  <c r="Q59" i="54"/>
  <c r="U59" i="54"/>
  <c r="M60" i="54"/>
  <c r="I61" i="54"/>
  <c r="D61" i="54" s="1"/>
  <c r="F61" i="54" s="1"/>
  <c r="K61" i="54"/>
  <c r="K63" i="54" s="1"/>
  <c r="O61" i="54"/>
  <c r="O63" i="54"/>
  <c r="S61" i="54"/>
  <c r="S63" i="54" s="1"/>
  <c r="U61" i="54"/>
  <c r="I62" i="54"/>
  <c r="Q62" i="54"/>
  <c r="D62" i="54" s="1"/>
  <c r="F62" i="54" s="1"/>
  <c r="K62" i="54"/>
  <c r="U62" i="54"/>
  <c r="M63" i="54"/>
  <c r="Q63" i="54"/>
  <c r="I64" i="54"/>
  <c r="K64" i="54" s="1"/>
  <c r="Q64" i="54"/>
  <c r="D64" i="54"/>
  <c r="O64" i="54"/>
  <c r="O66" i="54"/>
  <c r="U64" i="54"/>
  <c r="I65" i="54"/>
  <c r="D65" i="54" s="1"/>
  <c r="F65" i="54" s="1"/>
  <c r="Q65" i="54"/>
  <c r="U65" i="54"/>
  <c r="M66" i="54"/>
  <c r="I67" i="54"/>
  <c r="D67" i="54"/>
  <c r="O67" i="54"/>
  <c r="O69" i="54"/>
  <c r="S67" i="54"/>
  <c r="S69" i="54"/>
  <c r="U67" i="54"/>
  <c r="I68" i="54"/>
  <c r="D68" i="54" s="1"/>
  <c r="F68" i="54" s="1"/>
  <c r="Q68" i="54"/>
  <c r="U68" i="54"/>
  <c r="M69" i="54"/>
  <c r="I111" i="54"/>
  <c r="D111" i="54" s="1"/>
  <c r="E111" i="54"/>
  <c r="F111" i="54"/>
  <c r="I112" i="54"/>
  <c r="D112" i="54"/>
  <c r="E112" i="54"/>
  <c r="F112" i="54"/>
  <c r="K112" i="54"/>
  <c r="I113" i="54"/>
  <c r="E113" i="54"/>
  <c r="F113" i="54"/>
  <c r="I114" i="54"/>
  <c r="D114" i="54"/>
  <c r="E114" i="54"/>
  <c r="F114" i="54"/>
  <c r="K114" i="54"/>
  <c r="I115" i="54"/>
  <c r="E115" i="54"/>
  <c r="F115" i="54"/>
  <c r="I116" i="54"/>
  <c r="D116" i="54"/>
  <c r="E116" i="54"/>
  <c r="F116" i="54"/>
  <c r="K116" i="54"/>
  <c r="I117" i="54"/>
  <c r="E117" i="54"/>
  <c r="F117" i="54"/>
  <c r="I118" i="54"/>
  <c r="D118" i="54"/>
  <c r="E118" i="54"/>
  <c r="F118" i="54"/>
  <c r="K118" i="54"/>
  <c r="D10" i="52"/>
  <c r="D12" i="52" s="1"/>
  <c r="E12" i="52" s="1"/>
  <c r="G12" i="52" s="1"/>
  <c r="J10" i="52"/>
  <c r="N10" i="52"/>
  <c r="N12" i="52" s="1"/>
  <c r="R10" i="52"/>
  <c r="R12" i="52" s="1"/>
  <c r="T10" i="52"/>
  <c r="T11" i="52"/>
  <c r="H12" i="52"/>
  <c r="I12" i="52" s="1"/>
  <c r="K12" i="52" s="1"/>
  <c r="J12" i="52"/>
  <c r="L12" i="52"/>
  <c r="M12" i="52"/>
  <c r="P12" i="52"/>
  <c r="Q12" i="52"/>
  <c r="H13" i="52"/>
  <c r="N13" i="52"/>
  <c r="R13" i="52"/>
  <c r="T13" i="52"/>
  <c r="H14" i="52"/>
  <c r="N14" i="52"/>
  <c r="R14" i="52"/>
  <c r="T14" i="52"/>
  <c r="L15" i="52"/>
  <c r="P15" i="52"/>
  <c r="H16" i="52"/>
  <c r="N16" i="52"/>
  <c r="N18" i="52" s="1"/>
  <c r="R16" i="52"/>
  <c r="T16" i="52"/>
  <c r="H17" i="52"/>
  <c r="D17" i="52" s="1"/>
  <c r="F17" i="52"/>
  <c r="N17" i="52"/>
  <c r="R17" i="52"/>
  <c r="T17" i="52"/>
  <c r="L18" i="52"/>
  <c r="P18" i="52"/>
  <c r="R18" i="52"/>
  <c r="H19" i="52"/>
  <c r="D19" i="52"/>
  <c r="N19" i="52"/>
  <c r="R19" i="52"/>
  <c r="T19" i="52"/>
  <c r="H20" i="52"/>
  <c r="N20" i="52"/>
  <c r="N21" i="52" s="1"/>
  <c r="R20" i="52"/>
  <c r="T20" i="52"/>
  <c r="L21" i="52"/>
  <c r="P21" i="52"/>
  <c r="R21" i="52"/>
  <c r="H22" i="52"/>
  <c r="D22" i="52" s="1"/>
  <c r="N22" i="52"/>
  <c r="R22" i="52"/>
  <c r="T22" i="52"/>
  <c r="H23" i="52"/>
  <c r="N23" i="52"/>
  <c r="N24" i="52" s="1"/>
  <c r="R23" i="52"/>
  <c r="T23" i="52"/>
  <c r="L24" i="52"/>
  <c r="P24" i="52"/>
  <c r="H25" i="52"/>
  <c r="N25" i="52"/>
  <c r="R25" i="52"/>
  <c r="T25" i="52"/>
  <c r="H26" i="52"/>
  <c r="J26" i="52" s="1"/>
  <c r="P26" i="52"/>
  <c r="N26" i="52"/>
  <c r="T26" i="52"/>
  <c r="L27" i="52"/>
  <c r="H28" i="52"/>
  <c r="H30" i="52" s="1"/>
  <c r="P28" i="52"/>
  <c r="R28" i="52" s="1"/>
  <c r="N28" i="52"/>
  <c r="T28" i="52"/>
  <c r="P29" i="52"/>
  <c r="J29" i="52"/>
  <c r="N29" i="52"/>
  <c r="T29" i="52"/>
  <c r="L30" i="52"/>
  <c r="H31" i="52"/>
  <c r="H33" i="52" s="1"/>
  <c r="P31" i="52"/>
  <c r="N31" i="52"/>
  <c r="R31" i="52"/>
  <c r="T31" i="52"/>
  <c r="H32" i="52"/>
  <c r="D32" i="52"/>
  <c r="F32" i="52" s="1"/>
  <c r="P32" i="52"/>
  <c r="P33" i="52" s="1"/>
  <c r="R32" i="52"/>
  <c r="N32" i="52"/>
  <c r="T32" i="52"/>
  <c r="L33" i="52"/>
  <c r="H34" i="52"/>
  <c r="J34" i="52" s="1"/>
  <c r="N34" i="52"/>
  <c r="R34" i="52"/>
  <c r="R36" i="52" s="1"/>
  <c r="T34" i="52"/>
  <c r="H35" i="52"/>
  <c r="N35" i="52"/>
  <c r="N36" i="52" s="1"/>
  <c r="R35" i="52"/>
  <c r="T35" i="52"/>
  <c r="L36" i="52"/>
  <c r="P36" i="52"/>
  <c r="H37" i="52"/>
  <c r="P37" i="52"/>
  <c r="N37" i="52"/>
  <c r="T37" i="52"/>
  <c r="H38" i="52"/>
  <c r="N38" i="52"/>
  <c r="R38" i="52"/>
  <c r="T38" i="52"/>
  <c r="L39" i="52"/>
  <c r="H40" i="52"/>
  <c r="N40" i="52"/>
  <c r="R40" i="52"/>
  <c r="T40" i="52"/>
  <c r="H41" i="52"/>
  <c r="N41" i="52"/>
  <c r="R41" i="52"/>
  <c r="R42" i="52"/>
  <c r="T41" i="52"/>
  <c r="L42" i="52"/>
  <c r="P42" i="52"/>
  <c r="H43" i="52"/>
  <c r="D110" i="52" s="1"/>
  <c r="P43" i="52"/>
  <c r="J43" i="52"/>
  <c r="N43" i="52"/>
  <c r="T43" i="52"/>
  <c r="H44" i="52"/>
  <c r="D44" i="52"/>
  <c r="F44" i="52" s="1"/>
  <c r="N44" i="52"/>
  <c r="N45" i="52" s="1"/>
  <c r="R44" i="52"/>
  <c r="T44" i="52"/>
  <c r="L45" i="52"/>
  <c r="H46" i="52"/>
  <c r="D46" i="52" s="1"/>
  <c r="J46" i="52"/>
  <c r="N46" i="52"/>
  <c r="R46" i="52"/>
  <c r="R48" i="52" s="1"/>
  <c r="T46" i="52"/>
  <c r="H47" i="52"/>
  <c r="N47" i="52"/>
  <c r="N48" i="52" s="1"/>
  <c r="R47" i="52"/>
  <c r="T47" i="52"/>
  <c r="L48" i="52"/>
  <c r="P48" i="52"/>
  <c r="H49" i="52"/>
  <c r="P49" i="52"/>
  <c r="T49" i="52"/>
  <c r="H50" i="52"/>
  <c r="L50" i="52"/>
  <c r="N50" i="52"/>
  <c r="N51" i="52" s="1"/>
  <c r="P50" i="52"/>
  <c r="J50" i="52"/>
  <c r="T50" i="52"/>
  <c r="H52" i="52"/>
  <c r="D52" i="52" s="1"/>
  <c r="F52" i="52" s="1"/>
  <c r="L52" i="52"/>
  <c r="E116" i="52" s="1"/>
  <c r="R52" i="52"/>
  <c r="T52" i="52"/>
  <c r="H53" i="52"/>
  <c r="J53" i="52" s="1"/>
  <c r="P53" i="52"/>
  <c r="D53" i="52" s="1"/>
  <c r="F53" i="52" s="1"/>
  <c r="N53" i="52"/>
  <c r="N54" i="52"/>
  <c r="T53" i="52"/>
  <c r="H55" i="52"/>
  <c r="D116" i="52" s="1"/>
  <c r="P55" i="52"/>
  <c r="R55" i="52"/>
  <c r="R57" i="52" s="1"/>
  <c r="T55" i="52"/>
  <c r="H56" i="52"/>
  <c r="N56" i="52"/>
  <c r="N57" i="52" s="1"/>
  <c r="R56" i="52"/>
  <c r="T56" i="52"/>
  <c r="L57" i="52"/>
  <c r="H58" i="52"/>
  <c r="R58" i="52"/>
  <c r="T58" i="52"/>
  <c r="H59" i="52"/>
  <c r="D59" i="52" s="1"/>
  <c r="F59" i="52" s="1"/>
  <c r="P59" i="52"/>
  <c r="R59" i="52" s="1"/>
  <c r="R60" i="52" s="1"/>
  <c r="N59" i="52"/>
  <c r="N60" i="52" s="1"/>
  <c r="T59" i="52"/>
  <c r="L60" i="52"/>
  <c r="H61" i="52"/>
  <c r="J61" i="52" s="1"/>
  <c r="P61" i="52"/>
  <c r="R61" i="52" s="1"/>
  <c r="T61" i="52"/>
  <c r="H62" i="52"/>
  <c r="N62" i="52"/>
  <c r="N63" i="52" s="1"/>
  <c r="R62" i="52"/>
  <c r="T62" i="52"/>
  <c r="L63" i="52"/>
  <c r="H64" i="52"/>
  <c r="R64" i="52"/>
  <c r="T64" i="52"/>
  <c r="H65" i="52"/>
  <c r="J65" i="52" s="1"/>
  <c r="P65" i="52"/>
  <c r="N65" i="52"/>
  <c r="N66" i="52" s="1"/>
  <c r="T65" i="52"/>
  <c r="L66" i="52"/>
  <c r="F67" i="52"/>
  <c r="J67" i="52"/>
  <c r="R67" i="52"/>
  <c r="T67" i="52"/>
  <c r="H68" i="52"/>
  <c r="P68" i="52"/>
  <c r="N68" i="52"/>
  <c r="N69" i="52" s="1"/>
  <c r="T68" i="52"/>
  <c r="L69" i="52"/>
  <c r="H70" i="52"/>
  <c r="L70" i="52"/>
  <c r="P70" i="52"/>
  <c r="R70" i="52" s="1"/>
  <c r="T70" i="52"/>
  <c r="H71" i="52"/>
  <c r="H72" i="52" s="1"/>
  <c r="N71" i="52"/>
  <c r="R71" i="52"/>
  <c r="T71" i="52"/>
  <c r="H73" i="52"/>
  <c r="D73" i="52" s="1"/>
  <c r="L73" i="52"/>
  <c r="P73" i="52"/>
  <c r="R73" i="52" s="1"/>
  <c r="T73" i="52"/>
  <c r="P74" i="52"/>
  <c r="J74" i="52"/>
  <c r="N74" i="52"/>
  <c r="T74" i="52"/>
  <c r="E107" i="52"/>
  <c r="F107" i="52"/>
  <c r="H107" i="52"/>
  <c r="J107" i="52" s="1"/>
  <c r="E108" i="52"/>
  <c r="H108" i="52"/>
  <c r="J108" i="52" s="1"/>
  <c r="H109" i="52"/>
  <c r="J109" i="52" s="1"/>
  <c r="E110" i="52"/>
  <c r="H110" i="52"/>
  <c r="J110" i="52" s="1"/>
  <c r="D111" i="52"/>
  <c r="E111" i="52"/>
  <c r="F111" i="52"/>
  <c r="H111" i="52"/>
  <c r="J111" i="52" s="1"/>
  <c r="E112" i="52"/>
  <c r="H112" i="52"/>
  <c r="J112" i="52"/>
  <c r="E113" i="52"/>
  <c r="F113" i="52"/>
  <c r="H113" i="52"/>
  <c r="J113" i="52"/>
  <c r="D114" i="52"/>
  <c r="E114" i="52"/>
  <c r="H114" i="52"/>
  <c r="J114" i="52"/>
  <c r="D115" i="52"/>
  <c r="E115" i="52"/>
  <c r="F115" i="52"/>
  <c r="H115" i="52"/>
  <c r="J115" i="52" s="1"/>
  <c r="H116" i="52"/>
  <c r="J116" i="52" s="1"/>
  <c r="D117" i="52"/>
  <c r="E117" i="52"/>
  <c r="F117" i="52"/>
  <c r="H117" i="52"/>
  <c r="J117" i="52"/>
  <c r="D118" i="52"/>
  <c r="E118" i="52"/>
  <c r="F118" i="52"/>
  <c r="H118" i="52"/>
  <c r="J118" i="52" s="1"/>
  <c r="D119" i="52"/>
  <c r="E119" i="52"/>
  <c r="F119" i="52"/>
  <c r="H119" i="52"/>
  <c r="J119" i="52" s="1"/>
  <c r="E120" i="52"/>
  <c r="F120" i="52"/>
  <c r="H120" i="52"/>
  <c r="J120" i="52" s="1"/>
  <c r="K121" i="52"/>
  <c r="D122" i="52"/>
  <c r="E122" i="52"/>
  <c r="F122" i="52"/>
  <c r="H122" i="52"/>
  <c r="J122" i="52" s="1"/>
  <c r="O144" i="53"/>
  <c r="E10" i="53" s="1"/>
  <c r="M10" i="53"/>
  <c r="Q10" i="53"/>
  <c r="G12" i="53"/>
  <c r="H12" i="53" s="1"/>
  <c r="K12" i="53"/>
  <c r="L12" i="53" s="1"/>
  <c r="O12" i="53"/>
  <c r="P12" i="53" s="1"/>
  <c r="O146" i="53"/>
  <c r="E13" i="53" s="1"/>
  <c r="M13" i="53"/>
  <c r="Q13" i="53"/>
  <c r="O148" i="53"/>
  <c r="E16" i="53" s="1"/>
  <c r="M16" i="53"/>
  <c r="Q16" i="53"/>
  <c r="G18" i="53"/>
  <c r="K18" i="53"/>
  <c r="L18" i="53" s="1"/>
  <c r="O18" i="53"/>
  <c r="O150" i="53"/>
  <c r="E19" i="53"/>
  <c r="M19" i="53"/>
  <c r="Q19" i="53"/>
  <c r="O152" i="53"/>
  <c r="E22" i="53"/>
  <c r="I22" i="53" s="1"/>
  <c r="M22" i="53"/>
  <c r="Q22" i="53"/>
  <c r="G24" i="53"/>
  <c r="K24" i="53"/>
  <c r="O24" i="53"/>
  <c r="O154" i="53"/>
  <c r="E25" i="53" s="1"/>
  <c r="G26" i="53"/>
  <c r="M25" i="53" s="1"/>
  <c r="Q25" i="53"/>
  <c r="O156" i="53"/>
  <c r="E27" i="53"/>
  <c r="I27" i="53" s="1"/>
  <c r="M27" i="53"/>
  <c r="Q27" i="53"/>
  <c r="K29" i="53"/>
  <c r="O29" i="53"/>
  <c r="O158" i="53"/>
  <c r="E30" i="53" s="1"/>
  <c r="M30" i="53"/>
  <c r="Q30" i="53"/>
  <c r="O160" i="53"/>
  <c r="E32" i="53" s="1"/>
  <c r="G33" i="53"/>
  <c r="G34" i="53" s="1"/>
  <c r="Q32" i="53"/>
  <c r="K34" i="53"/>
  <c r="O34" i="53"/>
  <c r="O162" i="53"/>
  <c r="E35" i="53" s="1"/>
  <c r="I35" i="53" s="1"/>
  <c r="M35" i="53"/>
  <c r="Q35" i="53"/>
  <c r="H37" i="53"/>
  <c r="N164" i="53"/>
  <c r="O164" i="53"/>
  <c r="E39" i="53" s="1"/>
  <c r="I39" i="53" s="1"/>
  <c r="M39" i="53"/>
  <c r="Q39" i="53"/>
  <c r="G41" i="53"/>
  <c r="K41" i="53"/>
  <c r="O41" i="53"/>
  <c r="O166" i="53"/>
  <c r="E42" i="53" s="1"/>
  <c r="M42" i="53"/>
  <c r="Q42" i="53"/>
  <c r="O168" i="53"/>
  <c r="E44" i="53" s="1"/>
  <c r="M44" i="53"/>
  <c r="Q44" i="53"/>
  <c r="G46" i="53"/>
  <c r="K46" i="53"/>
  <c r="O46" i="53"/>
  <c r="O170" i="53"/>
  <c r="E47" i="53"/>
  <c r="M47" i="53"/>
  <c r="Q47" i="53"/>
  <c r="O172" i="53"/>
  <c r="E49" i="53"/>
  <c r="M49" i="53"/>
  <c r="Q49" i="53"/>
  <c r="G51" i="53"/>
  <c r="K51" i="53"/>
  <c r="O51" i="53"/>
  <c r="O174" i="53"/>
  <c r="E52" i="53" s="1"/>
  <c r="I52" i="53" s="1"/>
  <c r="M52" i="53"/>
  <c r="Q52" i="53"/>
  <c r="O176" i="53"/>
  <c r="E54" i="53"/>
  <c r="I54" i="53" s="1"/>
  <c r="M54" i="53"/>
  <c r="Q54" i="53"/>
  <c r="G56" i="53"/>
  <c r="K56" i="53"/>
  <c r="O56" i="53"/>
  <c r="O178" i="53"/>
  <c r="E57" i="53" s="1"/>
  <c r="I57" i="53" s="1"/>
  <c r="M57" i="53"/>
  <c r="Q57" i="53"/>
  <c r="O180" i="53"/>
  <c r="E60" i="53" s="1"/>
  <c r="M60" i="53"/>
  <c r="Q60" i="53"/>
  <c r="G62" i="53"/>
  <c r="K62" i="53"/>
  <c r="O62" i="53"/>
  <c r="O183" i="53"/>
  <c r="E63" i="53" s="1"/>
  <c r="O184" i="53"/>
  <c r="M63" i="53"/>
  <c r="Q63" i="53"/>
  <c r="O185" i="53"/>
  <c r="E65" i="53" s="1"/>
  <c r="M65" i="53"/>
  <c r="Q65" i="53"/>
  <c r="G67" i="53"/>
  <c r="K67" i="53"/>
  <c r="O67" i="53"/>
  <c r="O188" i="53"/>
  <c r="O189" i="53"/>
  <c r="E68" i="53" s="1"/>
  <c r="O190" i="53"/>
  <c r="M68" i="53"/>
  <c r="Q68" i="53"/>
  <c r="O191" i="53"/>
  <c r="N192" i="53"/>
  <c r="O192" i="53" s="1"/>
  <c r="M72" i="53"/>
  <c r="Q72" i="53"/>
  <c r="G74" i="53"/>
  <c r="K74" i="53"/>
  <c r="O74" i="53"/>
  <c r="N194" i="53"/>
  <c r="O194" i="53"/>
  <c r="M75" i="53"/>
  <c r="Q75" i="53"/>
  <c r="N196" i="53"/>
  <c r="O196" i="53"/>
  <c r="E78" i="53" s="1"/>
  <c r="I78" i="53" s="1"/>
  <c r="M78" i="53"/>
  <c r="Q78" i="53"/>
  <c r="G80" i="53"/>
  <c r="K80" i="53"/>
  <c r="O80" i="53"/>
  <c r="N199" i="53"/>
  <c r="O199" i="53" s="1"/>
  <c r="E81" i="53" s="1"/>
  <c r="I81" i="53" s="1"/>
  <c r="M81" i="53"/>
  <c r="Q81" i="53"/>
  <c r="O201" i="53"/>
  <c r="E84" i="53" s="1"/>
  <c r="M84" i="53"/>
  <c r="Q84" i="53"/>
  <c r="G86" i="53"/>
  <c r="K86" i="53"/>
  <c r="O86" i="53"/>
  <c r="O204" i="53"/>
  <c r="E87" i="53"/>
  <c r="K87" i="53"/>
  <c r="M87" i="53"/>
  <c r="O87" i="53"/>
  <c r="Q87" i="53"/>
  <c r="O206" i="53"/>
  <c r="E90" i="53"/>
  <c r="I90" i="53" s="1"/>
  <c r="G90" i="53"/>
  <c r="G92" i="53" s="1"/>
  <c r="K90" i="53"/>
  <c r="M90" i="53" s="1"/>
  <c r="O90" i="53"/>
  <c r="Q90" i="53" s="1"/>
  <c r="O209" i="53"/>
  <c r="O210" i="53"/>
  <c r="K93" i="53"/>
  <c r="M93" i="53"/>
  <c r="Q93" i="53"/>
  <c r="O211" i="53"/>
  <c r="E95" i="53" s="1"/>
  <c r="I95" i="53" s="1"/>
  <c r="K95" i="53"/>
  <c r="K97" i="53" s="1"/>
  <c r="Q95" i="53"/>
  <c r="G97" i="53"/>
  <c r="O97" i="53"/>
  <c r="O214" i="53"/>
  <c r="E98" i="53" s="1"/>
  <c r="M98" i="53"/>
  <c r="O98" i="53"/>
  <c r="Q98" i="53" s="1"/>
  <c r="O216" i="53"/>
  <c r="E100" i="53" s="1"/>
  <c r="M100" i="53"/>
  <c r="O100" i="53"/>
  <c r="Q100" i="53" s="1"/>
  <c r="G102" i="53"/>
  <c r="K102" i="53"/>
  <c r="O219" i="53"/>
  <c r="E103" i="53" s="1"/>
  <c r="I103" i="53" s="1"/>
  <c r="M103" i="53"/>
  <c r="Q103" i="53"/>
  <c r="O221" i="53"/>
  <c r="E106" i="53" s="1"/>
  <c r="I106" i="53" s="1"/>
  <c r="M106" i="53"/>
  <c r="Q106" i="53"/>
  <c r="G108" i="53"/>
  <c r="K108" i="53"/>
  <c r="O108" i="53"/>
  <c r="O224" i="53"/>
  <c r="E109" i="53" s="1"/>
  <c r="K109" i="53"/>
  <c r="Q109" i="53"/>
  <c r="N226" i="53"/>
  <c r="O226" i="53"/>
  <c r="E112" i="53" s="1"/>
  <c r="M112" i="53"/>
  <c r="Q112" i="53"/>
  <c r="G114" i="53"/>
  <c r="O114" i="53"/>
  <c r="K115" i="53"/>
  <c r="O115" i="53"/>
  <c r="N231" i="53"/>
  <c r="N233" i="53"/>
  <c r="K118" i="53"/>
  <c r="M118" i="53"/>
  <c r="O118" i="53"/>
  <c r="Q118" i="53"/>
  <c r="G120" i="53"/>
  <c r="O120" i="53"/>
  <c r="N234" i="53"/>
  <c r="O234" i="53"/>
  <c r="O235" i="53"/>
  <c r="E121" i="53"/>
  <c r="I121" i="53" s="1"/>
  <c r="K121" i="53"/>
  <c r="M121" i="53" s="1"/>
  <c r="O121" i="53"/>
  <c r="Q121" i="53" s="1"/>
  <c r="N236" i="53"/>
  <c r="O236" i="53" s="1"/>
  <c r="O237" i="53"/>
  <c r="K124" i="53"/>
  <c r="M124" i="53"/>
  <c r="O124" i="53"/>
  <c r="Q124" i="53"/>
  <c r="G126" i="53"/>
  <c r="K126" i="53"/>
  <c r="N239" i="53"/>
  <c r="O239" i="53"/>
  <c r="K127" i="53"/>
  <c r="M127" i="53"/>
  <c r="O127" i="53"/>
  <c r="Q127" i="53"/>
  <c r="E130" i="53"/>
  <c r="K130" i="53"/>
  <c r="K132" i="53" s="1"/>
  <c r="O130" i="53"/>
  <c r="G132" i="53"/>
  <c r="E133" i="53"/>
  <c r="K133" i="53"/>
  <c r="K138" i="53" s="1"/>
  <c r="E136" i="53"/>
  <c r="G138" i="53"/>
  <c r="O138" i="53"/>
  <c r="G144" i="53"/>
  <c r="H144" i="53" s="1"/>
  <c r="G145" i="53"/>
  <c r="N145" i="53"/>
  <c r="G146" i="53"/>
  <c r="H146" i="53" s="1"/>
  <c r="G148" i="53"/>
  <c r="H148" i="53" s="1"/>
  <c r="N149" i="53"/>
  <c r="G150" i="53"/>
  <c r="H150" i="53" s="1"/>
  <c r="H151" i="53"/>
  <c r="G152" i="53"/>
  <c r="H152" i="53" s="1"/>
  <c r="N153" i="53"/>
  <c r="G154" i="53"/>
  <c r="H154" i="53"/>
  <c r="G156" i="53"/>
  <c r="H156" i="53" s="1"/>
  <c r="H157" i="53" s="1"/>
  <c r="G157" i="53"/>
  <c r="N157" i="53"/>
  <c r="O157" i="53"/>
  <c r="G158" i="53"/>
  <c r="H158" i="53"/>
  <c r="G160" i="53"/>
  <c r="H160" i="53" s="1"/>
  <c r="H161" i="53" s="1"/>
  <c r="G161" i="53"/>
  <c r="N161" i="53"/>
  <c r="G162" i="53"/>
  <c r="H162" i="53" s="1"/>
  <c r="H165" i="53" s="1"/>
  <c r="G164" i="53"/>
  <c r="H164" i="53"/>
  <c r="N165" i="53"/>
  <c r="G166" i="53"/>
  <c r="H166" i="53" s="1"/>
  <c r="G168" i="53"/>
  <c r="H168" i="53" s="1"/>
  <c r="N169" i="53"/>
  <c r="G170" i="53"/>
  <c r="H170" i="53" s="1"/>
  <c r="G171" i="53"/>
  <c r="H171" i="53" s="1"/>
  <c r="G172" i="53"/>
  <c r="H172" i="53" s="1"/>
  <c r="N173" i="53"/>
  <c r="G174" i="53"/>
  <c r="H174" i="53" s="1"/>
  <c r="H177" i="53" s="1"/>
  <c r="G176" i="53"/>
  <c r="H176" i="53" s="1"/>
  <c r="N177" i="53"/>
  <c r="G178" i="53"/>
  <c r="H178" i="53" s="1"/>
  <c r="G180" i="53"/>
  <c r="H181" i="53"/>
  <c r="N182" i="53"/>
  <c r="G183" i="53"/>
  <c r="H183" i="53" s="1"/>
  <c r="G185" i="53"/>
  <c r="H185" i="53" s="1"/>
  <c r="H186" i="53"/>
  <c r="N187" i="53"/>
  <c r="G188" i="53"/>
  <c r="H188" i="53" s="1"/>
  <c r="G191" i="53"/>
  <c r="H191" i="53" s="1"/>
  <c r="G192" i="53"/>
  <c r="H192" i="53" s="1"/>
  <c r="N193" i="53"/>
  <c r="G194" i="53"/>
  <c r="H194" i="53"/>
  <c r="G196" i="53"/>
  <c r="H196" i="53" s="1"/>
  <c r="G198" i="53"/>
  <c r="G199" i="53"/>
  <c r="H199" i="53" s="1"/>
  <c r="G200" i="53"/>
  <c r="H200" i="53" s="1"/>
  <c r="G201" i="53"/>
  <c r="H201" i="53" s="1"/>
  <c r="G204" i="53"/>
  <c r="H204" i="53" s="1"/>
  <c r="G205" i="53"/>
  <c r="H205" i="53" s="1"/>
  <c r="G206" i="53"/>
  <c r="H206" i="53" s="1"/>
  <c r="N208" i="53"/>
  <c r="G209" i="53"/>
  <c r="H209" i="53" s="1"/>
  <c r="G210" i="53"/>
  <c r="H210" i="53" s="1"/>
  <c r="G211" i="53"/>
  <c r="H211" i="53" s="1"/>
  <c r="N213" i="53"/>
  <c r="G214" i="53"/>
  <c r="H214" i="53" s="1"/>
  <c r="G216" i="53"/>
  <c r="H216" i="53" s="1"/>
  <c r="N218" i="53"/>
  <c r="G219" i="53"/>
  <c r="H219" i="53" s="1"/>
  <c r="H223" i="53" s="1"/>
  <c r="G221" i="53"/>
  <c r="H221" i="53" s="1"/>
  <c r="N223" i="53"/>
  <c r="G224" i="53"/>
  <c r="H224" i="53"/>
  <c r="G225" i="53"/>
  <c r="H225" i="53"/>
  <c r="G226" i="53"/>
  <c r="H226" i="53"/>
  <c r="N228" i="53"/>
  <c r="G231" i="53"/>
  <c r="G233" i="53" s="1"/>
  <c r="G234" i="53"/>
  <c r="H234" i="53" s="1"/>
  <c r="G235" i="53"/>
  <c r="H235" i="53" s="1"/>
  <c r="G236" i="53"/>
  <c r="H236" i="53" s="1"/>
  <c r="G239" i="53"/>
  <c r="H239" i="53" s="1"/>
  <c r="G240" i="53"/>
  <c r="H240" i="53" s="1"/>
  <c r="H241" i="53"/>
  <c r="H242" i="53"/>
  <c r="G272" i="53"/>
  <c r="X278" i="53"/>
  <c r="Y278" i="53" s="1"/>
  <c r="X279" i="53"/>
  <c r="Y279" i="53" s="1"/>
  <c r="X280" i="53"/>
  <c r="Y280" i="53" s="1"/>
  <c r="F282" i="53"/>
  <c r="G282" i="53"/>
  <c r="I282" i="53"/>
  <c r="E283" i="53"/>
  <c r="F283" i="53"/>
  <c r="G283" i="53"/>
  <c r="I283" i="53"/>
  <c r="O283" i="53"/>
  <c r="P283" i="53"/>
  <c r="Q283" i="53"/>
  <c r="R283" i="53"/>
  <c r="E284" i="53"/>
  <c r="F284" i="53"/>
  <c r="G284" i="53"/>
  <c r="I284" i="53"/>
  <c r="F285" i="53"/>
  <c r="G285" i="53"/>
  <c r="O285" i="53"/>
  <c r="P285" i="53"/>
  <c r="R285" i="53" s="1"/>
  <c r="S285" i="53" s="1"/>
  <c r="T285" i="53" s="1"/>
  <c r="Q285" i="53"/>
  <c r="E286" i="53"/>
  <c r="F286" i="53"/>
  <c r="G286" i="53"/>
  <c r="I286" i="53"/>
  <c r="E287" i="53"/>
  <c r="F287" i="53"/>
  <c r="G287" i="53"/>
  <c r="F288" i="53"/>
  <c r="F289" i="53"/>
  <c r="G289" i="53"/>
  <c r="I289" i="53"/>
  <c r="E290" i="53"/>
  <c r="F290" i="53"/>
  <c r="G290" i="53"/>
  <c r="I290" i="53"/>
  <c r="U290" i="53"/>
  <c r="V290" i="53"/>
  <c r="F291" i="53"/>
  <c r="G291" i="53"/>
  <c r="I291" i="53"/>
  <c r="U291" i="53"/>
  <c r="V291" i="53" s="1"/>
  <c r="E292" i="53"/>
  <c r="F292" i="53"/>
  <c r="G292" i="53"/>
  <c r="I292" i="53"/>
  <c r="U292" i="53"/>
  <c r="V292" i="53" s="1"/>
  <c r="E293" i="53"/>
  <c r="F293" i="53"/>
  <c r="G293" i="53"/>
  <c r="I293" i="53"/>
  <c r="F294" i="53"/>
  <c r="G294" i="53"/>
  <c r="I294" i="53"/>
  <c r="U294" i="53"/>
  <c r="V294" i="53"/>
  <c r="E295" i="53"/>
  <c r="F295" i="53"/>
  <c r="G295" i="53"/>
  <c r="I295" i="53"/>
  <c r="U295" i="53"/>
  <c r="V295" i="53"/>
  <c r="E296" i="53"/>
  <c r="F296" i="53"/>
  <c r="G296" i="53"/>
  <c r="I296" i="53"/>
  <c r="U296" i="53"/>
  <c r="V296" i="53"/>
  <c r="F297" i="53"/>
  <c r="F298" i="53"/>
  <c r="G298" i="53"/>
  <c r="I298" i="53"/>
  <c r="E299" i="53"/>
  <c r="F299" i="53"/>
  <c r="G299" i="53"/>
  <c r="I299" i="53"/>
  <c r="F300" i="53"/>
  <c r="G300" i="53"/>
  <c r="I300" i="53"/>
  <c r="E301" i="53"/>
  <c r="F301" i="53"/>
  <c r="G301" i="53"/>
  <c r="I301" i="53"/>
  <c r="F302" i="53"/>
  <c r="G302" i="53"/>
  <c r="I302" i="53"/>
  <c r="E303" i="53"/>
  <c r="F303" i="53"/>
  <c r="G303" i="53"/>
  <c r="I303" i="53"/>
  <c r="E304" i="53"/>
  <c r="F304" i="53"/>
  <c r="G304" i="53"/>
  <c r="I304" i="53"/>
  <c r="E305" i="53"/>
  <c r="F305" i="53"/>
  <c r="G305" i="53"/>
  <c r="I305" i="53"/>
  <c r="E306" i="53"/>
  <c r="F306" i="53"/>
  <c r="G306" i="53"/>
  <c r="E307" i="53"/>
  <c r="F307" i="53"/>
  <c r="G307" i="53"/>
  <c r="I307" i="53"/>
  <c r="E308" i="53"/>
  <c r="F308" i="53"/>
  <c r="G308" i="53"/>
  <c r="I308" i="53"/>
  <c r="E309" i="53"/>
  <c r="F309" i="53"/>
  <c r="G309" i="53"/>
  <c r="I309" i="53"/>
  <c r="F310" i="53"/>
  <c r="G310" i="53"/>
  <c r="I310" i="53"/>
  <c r="E311" i="53"/>
  <c r="F311" i="53"/>
  <c r="G311" i="53"/>
  <c r="I311" i="53"/>
  <c r="E312" i="53"/>
  <c r="F312" i="53"/>
  <c r="G312" i="53"/>
  <c r="I312" i="53"/>
  <c r="F313" i="53"/>
  <c r="G313" i="53"/>
  <c r="I313" i="53"/>
  <c r="E314" i="53"/>
  <c r="F314" i="53"/>
  <c r="G314" i="53"/>
  <c r="I314" i="53"/>
  <c r="F315" i="53"/>
  <c r="G315" i="53"/>
  <c r="I315" i="53"/>
  <c r="E316" i="53"/>
  <c r="F316" i="53"/>
  <c r="G316" i="53"/>
  <c r="I316" i="53"/>
  <c r="F317" i="53"/>
  <c r="G317" i="53"/>
  <c r="I317" i="53"/>
  <c r="E318" i="53"/>
  <c r="F318" i="53"/>
  <c r="G318" i="53"/>
  <c r="I318" i="53"/>
  <c r="F319" i="53"/>
  <c r="G319" i="53"/>
  <c r="I319" i="53"/>
  <c r="E320" i="53"/>
  <c r="F320" i="53"/>
  <c r="G320" i="53"/>
  <c r="I320" i="53"/>
  <c r="F321" i="53"/>
  <c r="G321" i="53"/>
  <c r="I321" i="53"/>
  <c r="E322" i="53"/>
  <c r="F322" i="53"/>
  <c r="G322" i="53"/>
  <c r="I322" i="53"/>
  <c r="F323" i="53"/>
  <c r="G323" i="53"/>
  <c r="I323" i="53"/>
  <c r="E324" i="53"/>
  <c r="F324" i="53"/>
  <c r="G324" i="53"/>
  <c r="I324" i="53"/>
  <c r="E325" i="53"/>
  <c r="G325" i="53"/>
  <c r="I325" i="53"/>
  <c r="F327" i="53"/>
  <c r="G330" i="53"/>
  <c r="F346" i="53"/>
  <c r="M346" i="53" s="1"/>
  <c r="H346" i="53"/>
  <c r="I346" i="53"/>
  <c r="F347" i="53"/>
  <c r="M347" i="53"/>
  <c r="H347" i="53"/>
  <c r="I347" i="53"/>
  <c r="F348" i="53"/>
  <c r="H348" i="53"/>
  <c r="I348" i="53"/>
  <c r="F349" i="53"/>
  <c r="H349" i="53"/>
  <c r="F350" i="53"/>
  <c r="H350" i="53"/>
  <c r="I350" i="53"/>
  <c r="F351" i="53"/>
  <c r="H351" i="53"/>
  <c r="I351" i="53"/>
  <c r="F352" i="53"/>
  <c r="H352" i="53"/>
  <c r="I352" i="53"/>
  <c r="P353" i="53"/>
  <c r="Q353" i="53"/>
  <c r="R353" i="53"/>
  <c r="F355" i="53"/>
  <c r="L359" i="53"/>
  <c r="F10" i="50"/>
  <c r="F12" i="50" s="1"/>
  <c r="J10" i="50"/>
  <c r="N10" i="50"/>
  <c r="N12" i="50" s="1"/>
  <c r="R10" i="50"/>
  <c r="T10" i="50"/>
  <c r="T11" i="50"/>
  <c r="D12" i="50"/>
  <c r="E12" i="50" s="1"/>
  <c r="H12" i="50"/>
  <c r="I12" i="50"/>
  <c r="J12" i="50"/>
  <c r="L12" i="50"/>
  <c r="M12" i="50" s="1"/>
  <c r="P12" i="50"/>
  <c r="Q12" i="50"/>
  <c r="Q15" i="50" s="1"/>
  <c r="S15" i="50" s="1"/>
  <c r="R12" i="50"/>
  <c r="T12" i="50"/>
  <c r="H13" i="50"/>
  <c r="J13" i="50"/>
  <c r="L13" i="50"/>
  <c r="R13" i="50"/>
  <c r="T13" i="50"/>
  <c r="H14" i="50"/>
  <c r="D14" i="50" s="1"/>
  <c r="F14" i="50" s="1"/>
  <c r="P14" i="50"/>
  <c r="N14" i="50"/>
  <c r="R14" i="50"/>
  <c r="T14" i="50"/>
  <c r="P15" i="50"/>
  <c r="R15" i="50"/>
  <c r="H16" i="50"/>
  <c r="L16" i="50"/>
  <c r="R16" i="50"/>
  <c r="T16" i="50"/>
  <c r="P17" i="50"/>
  <c r="J17" i="50"/>
  <c r="N17" i="50"/>
  <c r="T17" i="50"/>
  <c r="H19" i="50"/>
  <c r="P19" i="50"/>
  <c r="P21" i="50" s="1"/>
  <c r="N19" i="50"/>
  <c r="T19" i="50"/>
  <c r="H20" i="50"/>
  <c r="H21" i="50" s="1"/>
  <c r="L20" i="50"/>
  <c r="J20" i="50"/>
  <c r="R20" i="50"/>
  <c r="T20" i="50"/>
  <c r="H22" i="50"/>
  <c r="P22" i="50"/>
  <c r="J22" i="50"/>
  <c r="N22" i="50"/>
  <c r="N24" i="50"/>
  <c r="T22" i="50"/>
  <c r="H23" i="50"/>
  <c r="D23" i="50" s="1"/>
  <c r="F23" i="50" s="1"/>
  <c r="N23" i="50"/>
  <c r="R23" i="50"/>
  <c r="T23" i="50"/>
  <c r="L24" i="50"/>
  <c r="H25" i="50"/>
  <c r="P25" i="50"/>
  <c r="N25" i="50"/>
  <c r="T25" i="50"/>
  <c r="H26" i="50"/>
  <c r="D26" i="50" s="1"/>
  <c r="F26" i="50" s="1"/>
  <c r="N26" i="50"/>
  <c r="R26" i="50"/>
  <c r="T26" i="50"/>
  <c r="L27" i="50"/>
  <c r="H28" i="50"/>
  <c r="P28" i="50"/>
  <c r="R28" i="50" s="1"/>
  <c r="R30" i="50" s="1"/>
  <c r="N28" i="50"/>
  <c r="T28" i="50"/>
  <c r="H29" i="50"/>
  <c r="L29" i="50"/>
  <c r="J29" i="50"/>
  <c r="R29" i="50"/>
  <c r="T29" i="50"/>
  <c r="L30" i="50"/>
  <c r="H31" i="50"/>
  <c r="N31" i="50"/>
  <c r="N33" i="50" s="1"/>
  <c r="R31" i="50"/>
  <c r="T31" i="50"/>
  <c r="H32" i="50"/>
  <c r="N32" i="50"/>
  <c r="R32" i="50"/>
  <c r="R33" i="50" s="1"/>
  <c r="T32" i="50"/>
  <c r="L33" i="50"/>
  <c r="P33" i="50"/>
  <c r="H34" i="50"/>
  <c r="D34" i="50" s="1"/>
  <c r="N34" i="50"/>
  <c r="R34" i="50"/>
  <c r="T34" i="50"/>
  <c r="H35" i="50"/>
  <c r="P35" i="50"/>
  <c r="N35" i="50"/>
  <c r="T35" i="50"/>
  <c r="L36" i="50"/>
  <c r="H37" i="50"/>
  <c r="H39" i="50"/>
  <c r="P37" i="50"/>
  <c r="D37" i="50"/>
  <c r="F37" i="50" s="1"/>
  <c r="J37" i="50"/>
  <c r="N37" i="50"/>
  <c r="R37" i="50"/>
  <c r="T37" i="50"/>
  <c r="P38" i="50"/>
  <c r="J38" i="50"/>
  <c r="N38" i="50"/>
  <c r="T38" i="50"/>
  <c r="L39" i="50"/>
  <c r="H40" i="50"/>
  <c r="P40" i="50"/>
  <c r="F113" i="50"/>
  <c r="N40" i="50"/>
  <c r="T40" i="50"/>
  <c r="H41" i="50"/>
  <c r="J41" i="50"/>
  <c r="P41" i="50"/>
  <c r="N41" i="50"/>
  <c r="T41" i="50"/>
  <c r="L42" i="50"/>
  <c r="P42" i="50"/>
  <c r="H43" i="50"/>
  <c r="N43" i="50"/>
  <c r="R43" i="50"/>
  <c r="T43" i="50"/>
  <c r="H44" i="50"/>
  <c r="N44" i="50"/>
  <c r="N45" i="50" s="1"/>
  <c r="R44" i="50"/>
  <c r="R45" i="50" s="1"/>
  <c r="T44" i="50"/>
  <c r="L45" i="50"/>
  <c r="P45" i="50"/>
  <c r="H46" i="50"/>
  <c r="D46" i="50" s="1"/>
  <c r="N46" i="50"/>
  <c r="R46" i="50"/>
  <c r="T46" i="50"/>
  <c r="H47" i="50"/>
  <c r="N47" i="50"/>
  <c r="R47" i="50"/>
  <c r="T47" i="50"/>
  <c r="L48" i="50"/>
  <c r="P48" i="50"/>
  <c r="H49" i="50"/>
  <c r="J49" i="50"/>
  <c r="N49" i="50"/>
  <c r="R49" i="50"/>
  <c r="T49" i="50"/>
  <c r="H50" i="50"/>
  <c r="P50" i="50"/>
  <c r="N50" i="50"/>
  <c r="N51" i="50" s="1"/>
  <c r="T50" i="50"/>
  <c r="L51" i="50"/>
  <c r="H52" i="50"/>
  <c r="L52" i="50"/>
  <c r="N52" i="50"/>
  <c r="N54" i="50" s="1"/>
  <c r="P52" i="50"/>
  <c r="J52" i="50"/>
  <c r="T52" i="50"/>
  <c r="H53" i="50"/>
  <c r="D53" i="50" s="1"/>
  <c r="F53" i="50" s="1"/>
  <c r="N53" i="50"/>
  <c r="R53" i="50"/>
  <c r="T53" i="50"/>
  <c r="H55" i="50"/>
  <c r="D55" i="50"/>
  <c r="F55" i="50" s="1"/>
  <c r="N55" i="50"/>
  <c r="R55" i="50"/>
  <c r="T55" i="50"/>
  <c r="H56" i="50"/>
  <c r="N56" i="50"/>
  <c r="R56" i="50"/>
  <c r="T56" i="50"/>
  <c r="L57" i="50"/>
  <c r="P57" i="50"/>
  <c r="H58" i="50"/>
  <c r="N58" i="50"/>
  <c r="R58" i="50"/>
  <c r="R60" i="50" s="1"/>
  <c r="T58" i="50"/>
  <c r="H59" i="50"/>
  <c r="J59" i="50" s="1"/>
  <c r="L59" i="50"/>
  <c r="R59" i="50"/>
  <c r="T59" i="50"/>
  <c r="H60" i="50"/>
  <c r="P60" i="50"/>
  <c r="H61" i="50"/>
  <c r="L61" i="50"/>
  <c r="N61" i="50" s="1"/>
  <c r="P61" i="50"/>
  <c r="R61" i="50" s="1"/>
  <c r="T61" i="50"/>
  <c r="H62" i="50"/>
  <c r="D62" i="50"/>
  <c r="F62" i="50" s="1"/>
  <c r="N62" i="50"/>
  <c r="R62" i="50"/>
  <c r="T62" i="50"/>
  <c r="H64" i="50"/>
  <c r="N64" i="50"/>
  <c r="N66" i="50" s="1"/>
  <c r="R64" i="50"/>
  <c r="T64" i="50"/>
  <c r="H65" i="50"/>
  <c r="J65" i="50" s="1"/>
  <c r="P65" i="50"/>
  <c r="N65" i="50"/>
  <c r="T65" i="50"/>
  <c r="L66" i="50"/>
  <c r="H67" i="50"/>
  <c r="J67" i="50" s="1"/>
  <c r="P67" i="50"/>
  <c r="R67" i="50" s="1"/>
  <c r="D67" i="50"/>
  <c r="F67" i="50" s="1"/>
  <c r="N67" i="50"/>
  <c r="T67" i="50"/>
  <c r="H68" i="50"/>
  <c r="J68" i="50" s="1"/>
  <c r="P68" i="50"/>
  <c r="N68" i="50"/>
  <c r="T68" i="50"/>
  <c r="L69" i="50"/>
  <c r="H70" i="50"/>
  <c r="J70" i="50" s="1"/>
  <c r="P70" i="50"/>
  <c r="D70" i="50"/>
  <c r="N70" i="50"/>
  <c r="T70" i="50"/>
  <c r="H71" i="50"/>
  <c r="J71" i="50" s="1"/>
  <c r="P71" i="50"/>
  <c r="D71" i="50" s="1"/>
  <c r="F71" i="50" s="1"/>
  <c r="N71" i="50"/>
  <c r="T71" i="50"/>
  <c r="L72" i="50"/>
  <c r="H73" i="50"/>
  <c r="N73" i="50"/>
  <c r="R73" i="50"/>
  <c r="T73" i="50"/>
  <c r="H74" i="50"/>
  <c r="J74" i="50" s="1"/>
  <c r="P74" i="50"/>
  <c r="R74" i="50" s="1"/>
  <c r="N74" i="50"/>
  <c r="T74" i="50"/>
  <c r="L75" i="50"/>
  <c r="H105" i="50"/>
  <c r="J105" i="50"/>
  <c r="H106" i="50"/>
  <c r="J106" i="50" s="1"/>
  <c r="E107" i="50"/>
  <c r="F107" i="50"/>
  <c r="H107" i="50"/>
  <c r="J107" i="50" s="1"/>
  <c r="H108" i="50"/>
  <c r="J108" i="50" s="1"/>
  <c r="E109" i="50"/>
  <c r="F109" i="50"/>
  <c r="H109" i="50"/>
  <c r="J109" i="50" s="1"/>
  <c r="F110" i="50"/>
  <c r="H110" i="50"/>
  <c r="J110" i="50"/>
  <c r="E111" i="50"/>
  <c r="H111" i="50"/>
  <c r="J111" i="50" s="1"/>
  <c r="E112" i="50"/>
  <c r="H112" i="50"/>
  <c r="J112" i="50" s="1"/>
  <c r="E113" i="50"/>
  <c r="H113" i="50"/>
  <c r="J113" i="50" s="1"/>
  <c r="E114" i="50"/>
  <c r="H114" i="50"/>
  <c r="J114" i="50" s="1"/>
  <c r="F12" i="51"/>
  <c r="H12" i="51"/>
  <c r="L12" i="51"/>
  <c r="P12" i="51"/>
  <c r="N143" i="51"/>
  <c r="K13" i="51"/>
  <c r="G290" i="51" s="1"/>
  <c r="Q13" i="51"/>
  <c r="N145" i="51"/>
  <c r="M15" i="51"/>
  <c r="Q15" i="51"/>
  <c r="G17" i="51"/>
  <c r="H17" i="51" s="1"/>
  <c r="O17" i="51"/>
  <c r="P17" i="51" s="1"/>
  <c r="N147" i="51"/>
  <c r="O147" i="51"/>
  <c r="M18" i="51"/>
  <c r="Q18" i="51"/>
  <c r="N149" i="51"/>
  <c r="O149" i="51"/>
  <c r="E20" i="51" s="1"/>
  <c r="M20" i="51"/>
  <c r="Q20" i="51"/>
  <c r="G22" i="51"/>
  <c r="K22" i="51"/>
  <c r="O22" i="51"/>
  <c r="O151" i="51"/>
  <c r="O152" i="51"/>
  <c r="M23" i="51"/>
  <c r="Q23" i="51"/>
  <c r="O153" i="51"/>
  <c r="O154" i="51"/>
  <c r="M25" i="51"/>
  <c r="Q25" i="51"/>
  <c r="G28" i="51"/>
  <c r="K28" i="51"/>
  <c r="O28" i="51"/>
  <c r="O156" i="51"/>
  <c r="O157" i="51"/>
  <c r="O158" i="51"/>
  <c r="M29" i="51"/>
  <c r="Q29" i="51"/>
  <c r="O159" i="51"/>
  <c r="M31" i="51"/>
  <c r="Q31" i="51"/>
  <c r="G33" i="51"/>
  <c r="K33" i="51"/>
  <c r="O33" i="51"/>
  <c r="N162" i="51"/>
  <c r="O162" i="51" s="1"/>
  <c r="M34" i="51"/>
  <c r="Q34" i="51"/>
  <c r="O165" i="51"/>
  <c r="E37" i="51"/>
  <c r="I37" i="51" s="1"/>
  <c r="M37" i="51"/>
  <c r="Q37" i="51"/>
  <c r="G39" i="51"/>
  <c r="K39" i="51"/>
  <c r="O39" i="51"/>
  <c r="O168" i="51"/>
  <c r="E40" i="51"/>
  <c r="I40" i="51" s="1"/>
  <c r="M40" i="51"/>
  <c r="Q40" i="51"/>
  <c r="O170" i="51"/>
  <c r="E42" i="51" s="1"/>
  <c r="M42" i="51"/>
  <c r="Q42" i="51"/>
  <c r="G44" i="51"/>
  <c r="K44" i="51"/>
  <c r="O44" i="51"/>
  <c r="O173" i="51"/>
  <c r="E45" i="51" s="1"/>
  <c r="I45" i="51" s="1"/>
  <c r="O174" i="51"/>
  <c r="O175" i="51"/>
  <c r="M45" i="51"/>
  <c r="Q45" i="51"/>
  <c r="N176" i="51"/>
  <c r="O176" i="51"/>
  <c r="O177" i="51"/>
  <c r="M50" i="51"/>
  <c r="Q50" i="51"/>
  <c r="G51" i="51"/>
  <c r="K51" i="51"/>
  <c r="O51" i="51"/>
  <c r="N179" i="51"/>
  <c r="O180" i="51"/>
  <c r="O181" i="51"/>
  <c r="I314" i="51"/>
  <c r="N182" i="51"/>
  <c r="O182" i="51"/>
  <c r="O183" i="51"/>
  <c r="M52" i="51"/>
  <c r="Q52" i="51"/>
  <c r="O184" i="51"/>
  <c r="N185" i="51"/>
  <c r="O185" i="51" s="1"/>
  <c r="M55" i="51"/>
  <c r="Q55" i="51"/>
  <c r="G56" i="51"/>
  <c r="K56" i="51"/>
  <c r="O56" i="51"/>
  <c r="E57" i="51"/>
  <c r="I57" i="51"/>
  <c r="K57" i="51"/>
  <c r="Q57" i="51"/>
  <c r="O189" i="51"/>
  <c r="E60" i="51"/>
  <c r="I60" i="51" s="1"/>
  <c r="K60" i="51"/>
  <c r="Q60" i="51"/>
  <c r="G63" i="51"/>
  <c r="O63" i="51"/>
  <c r="K64" i="51"/>
  <c r="O64" i="51"/>
  <c r="O191" i="51"/>
  <c r="E65" i="51" s="1"/>
  <c r="K65" i="51"/>
  <c r="M65" i="51" s="1"/>
  <c r="O65" i="51"/>
  <c r="Q65" i="51" s="1"/>
  <c r="O193" i="51"/>
  <c r="E70" i="51" s="1"/>
  <c r="K70" i="51"/>
  <c r="M70" i="51" s="1"/>
  <c r="Q70" i="51"/>
  <c r="G72" i="51"/>
  <c r="O72" i="51"/>
  <c r="O195" i="51"/>
  <c r="E73" i="51"/>
  <c r="M73" i="51"/>
  <c r="Q73" i="51"/>
  <c r="O197" i="51"/>
  <c r="K76" i="51"/>
  <c r="Q76" i="51"/>
  <c r="G78" i="51"/>
  <c r="O78" i="51"/>
  <c r="O199" i="51"/>
  <c r="E79" i="51" s="1"/>
  <c r="I79" i="51" s="1"/>
  <c r="M79" i="51"/>
  <c r="Q79" i="51"/>
  <c r="N201" i="51"/>
  <c r="O201" i="51"/>
  <c r="G81" i="51"/>
  <c r="M81" i="51" s="1"/>
  <c r="Q81" i="51"/>
  <c r="K83" i="51"/>
  <c r="O83" i="51"/>
  <c r="M84" i="51"/>
  <c r="Q84" i="51"/>
  <c r="O203" i="51"/>
  <c r="E87" i="51" s="1"/>
  <c r="O205" i="51"/>
  <c r="M91" i="51"/>
  <c r="Q91" i="51"/>
  <c r="G93" i="51"/>
  <c r="K93" i="51"/>
  <c r="O93" i="51"/>
  <c r="O207" i="51"/>
  <c r="E94" i="51" s="1"/>
  <c r="M94" i="51"/>
  <c r="Q94" i="51"/>
  <c r="O209" i="51"/>
  <c r="E96" i="51" s="1"/>
  <c r="G96" i="51"/>
  <c r="M96" i="51" s="1"/>
  <c r="K98" i="51"/>
  <c r="O98" i="51"/>
  <c r="O211" i="51"/>
  <c r="E100" i="51" s="1"/>
  <c r="I100" i="51" s="1"/>
  <c r="M100" i="51"/>
  <c r="Q100" i="51"/>
  <c r="O213" i="51"/>
  <c r="E102" i="51" s="1"/>
  <c r="M102" i="51"/>
  <c r="Q102" i="51"/>
  <c r="G104" i="51"/>
  <c r="K104" i="51"/>
  <c r="O104" i="51"/>
  <c r="O215" i="51"/>
  <c r="E105" i="51" s="1"/>
  <c r="M105" i="51"/>
  <c r="Q105" i="51"/>
  <c r="O217" i="51"/>
  <c r="E107" i="51" s="1"/>
  <c r="M107" i="51"/>
  <c r="Q107" i="51"/>
  <c r="G109" i="51"/>
  <c r="K109" i="51"/>
  <c r="O109" i="51"/>
  <c r="O219" i="51"/>
  <c r="E110" i="51" s="1"/>
  <c r="I110" i="51" s="1"/>
  <c r="M110" i="51"/>
  <c r="Q110" i="51"/>
  <c r="O221" i="51"/>
  <c r="E112" i="51" s="1"/>
  <c r="M112" i="51"/>
  <c r="Q112" i="51"/>
  <c r="G114" i="51"/>
  <c r="K114" i="51"/>
  <c r="O114" i="51"/>
  <c r="O223" i="51"/>
  <c r="E115" i="51"/>
  <c r="M115" i="51"/>
  <c r="Q115" i="51"/>
  <c r="O225" i="51"/>
  <c r="E117" i="51"/>
  <c r="I117" i="51" s="1"/>
  <c r="M117" i="51"/>
  <c r="Q117" i="51"/>
  <c r="G119" i="51"/>
  <c r="K119" i="51"/>
  <c r="O119" i="51"/>
  <c r="O227" i="51"/>
  <c r="E120" i="51"/>
  <c r="M120" i="51"/>
  <c r="Q120" i="51"/>
  <c r="O229" i="51"/>
  <c r="E122" i="51"/>
  <c r="I122" i="51" s="1"/>
  <c r="M122" i="51"/>
  <c r="Q122" i="51"/>
  <c r="G124" i="51"/>
  <c r="K124" i="51"/>
  <c r="O124" i="51"/>
  <c r="O231" i="51"/>
  <c r="E125" i="51" s="1"/>
  <c r="I125" i="51" s="1"/>
  <c r="M125" i="51"/>
  <c r="Q125" i="51"/>
  <c r="O233" i="51"/>
  <c r="E127" i="51" s="1"/>
  <c r="I127" i="51" s="1"/>
  <c r="M127" i="51"/>
  <c r="Q127" i="51"/>
  <c r="G129" i="51"/>
  <c r="K129" i="51"/>
  <c r="O129" i="51"/>
  <c r="O235" i="51"/>
  <c r="E130" i="51" s="1"/>
  <c r="I130" i="51" s="1"/>
  <c r="M130" i="51"/>
  <c r="Q130" i="51"/>
  <c r="O237" i="51"/>
  <c r="M133" i="51"/>
  <c r="Q133" i="51"/>
  <c r="G135" i="51"/>
  <c r="K135" i="51"/>
  <c r="O135" i="51"/>
  <c r="G142" i="51"/>
  <c r="H142" i="51"/>
  <c r="I142" i="51" s="1"/>
  <c r="N142" i="51"/>
  <c r="O142" i="51"/>
  <c r="P142" i="51"/>
  <c r="G143" i="51"/>
  <c r="G145" i="51"/>
  <c r="H145" i="51" s="1"/>
  <c r="G147" i="51"/>
  <c r="H147" i="51" s="1"/>
  <c r="G149" i="51"/>
  <c r="H149" i="51"/>
  <c r="G151" i="51"/>
  <c r="H151" i="51" s="1"/>
  <c r="G152" i="51"/>
  <c r="G155" i="51" s="1"/>
  <c r="H152" i="51"/>
  <c r="G153" i="51"/>
  <c r="H153" i="51" s="1"/>
  <c r="N155" i="51"/>
  <c r="G156" i="51"/>
  <c r="H156" i="51" s="1"/>
  <c r="G158" i="51"/>
  <c r="H158" i="51" s="1"/>
  <c r="H161" i="51" s="1"/>
  <c r="G159" i="51"/>
  <c r="H159" i="51" s="1"/>
  <c r="N161" i="51"/>
  <c r="H162" i="51"/>
  <c r="H163" i="51"/>
  <c r="G165" i="51"/>
  <c r="H165" i="51"/>
  <c r="G167" i="51"/>
  <c r="G168" i="51"/>
  <c r="H168" i="51" s="1"/>
  <c r="G170" i="51"/>
  <c r="H170" i="51" s="1"/>
  <c r="G171" i="51"/>
  <c r="H171" i="51" s="1"/>
  <c r="N172" i="51"/>
  <c r="G173" i="51"/>
  <c r="G174" i="51"/>
  <c r="H174" i="51" s="1"/>
  <c r="G176" i="51"/>
  <c r="H176" i="51" s="1"/>
  <c r="N178" i="51"/>
  <c r="H179" i="51"/>
  <c r="G182" i="51"/>
  <c r="H183" i="51"/>
  <c r="G184" i="51"/>
  <c r="G185" i="51"/>
  <c r="G187" i="51"/>
  <c r="H187" i="51" s="1"/>
  <c r="H190" i="51" s="1"/>
  <c r="N187" i="51"/>
  <c r="N190" i="51"/>
  <c r="G189" i="51"/>
  <c r="H189" i="51" s="1"/>
  <c r="O190" i="51"/>
  <c r="G191" i="51"/>
  <c r="N194" i="51"/>
  <c r="G198" i="51"/>
  <c r="H198" i="51"/>
  <c r="N198" i="51"/>
  <c r="G199" i="51"/>
  <c r="G200" i="51"/>
  <c r="H200" i="51"/>
  <c r="G201" i="51"/>
  <c r="H201" i="51"/>
  <c r="G204" i="51"/>
  <c r="H204" i="51"/>
  <c r="G205" i="51"/>
  <c r="G206" i="51" s="1"/>
  <c r="H205" i="51"/>
  <c r="N206" i="51"/>
  <c r="G208" i="51"/>
  <c r="H208" i="51" s="1"/>
  <c r="G209" i="51"/>
  <c r="H209" i="51" s="1"/>
  <c r="N210" i="51"/>
  <c r="G211" i="51"/>
  <c r="H211" i="51" s="1"/>
  <c r="G213" i="51"/>
  <c r="N214" i="51"/>
  <c r="G215" i="51"/>
  <c r="H215" i="51" s="1"/>
  <c r="H216" i="51"/>
  <c r="G217" i="51"/>
  <c r="H217" i="51"/>
  <c r="N218" i="51"/>
  <c r="G219" i="51"/>
  <c r="H219" i="51" s="1"/>
  <c r="G221" i="51"/>
  <c r="H221" i="51" s="1"/>
  <c r="N222" i="51"/>
  <c r="G223" i="51"/>
  <c r="H223" i="51" s="1"/>
  <c r="G225" i="51"/>
  <c r="H225" i="51"/>
  <c r="N226" i="51"/>
  <c r="G227" i="51"/>
  <c r="H227" i="51" s="1"/>
  <c r="G229" i="51"/>
  <c r="H229" i="51" s="1"/>
  <c r="G230" i="51"/>
  <c r="N230" i="51"/>
  <c r="O230" i="51"/>
  <c r="G231" i="51"/>
  <c r="H231" i="51"/>
  <c r="G232" i="51"/>
  <c r="H232" i="51" s="1"/>
  <c r="G233" i="51"/>
  <c r="H233" i="51" s="1"/>
  <c r="N234" i="51"/>
  <c r="G235" i="51"/>
  <c r="H235" i="51" s="1"/>
  <c r="G237" i="51"/>
  <c r="H237" i="51" s="1"/>
  <c r="N238" i="51"/>
  <c r="X246" i="51"/>
  <c r="Y246" i="51"/>
  <c r="X247" i="51"/>
  <c r="Y247" i="51"/>
  <c r="X248" i="51"/>
  <c r="Y248" i="51"/>
  <c r="E250" i="51"/>
  <c r="F250" i="51"/>
  <c r="G250" i="51"/>
  <c r="I250" i="51"/>
  <c r="E251" i="51"/>
  <c r="F251" i="51"/>
  <c r="G251" i="51"/>
  <c r="I251" i="51"/>
  <c r="O251" i="51"/>
  <c r="P251" i="51"/>
  <c r="Q251" i="51"/>
  <c r="E252" i="51"/>
  <c r="F252" i="51"/>
  <c r="G252" i="51"/>
  <c r="I252" i="51"/>
  <c r="F253" i="51"/>
  <c r="G253" i="51"/>
  <c r="I253" i="51"/>
  <c r="O253" i="51"/>
  <c r="P253" i="51"/>
  <c r="Q253" i="51"/>
  <c r="E254" i="51"/>
  <c r="F254" i="51"/>
  <c r="G254" i="51"/>
  <c r="I254" i="51"/>
  <c r="F255" i="51"/>
  <c r="G255" i="51"/>
  <c r="I255" i="51"/>
  <c r="E256" i="51"/>
  <c r="F256" i="51"/>
  <c r="G256" i="51"/>
  <c r="I256" i="51"/>
  <c r="U256" i="51"/>
  <c r="V256" i="51" s="1"/>
  <c r="F257" i="51"/>
  <c r="G257" i="51"/>
  <c r="I257" i="51"/>
  <c r="U257" i="51"/>
  <c r="V257" i="51"/>
  <c r="E258" i="51"/>
  <c r="F258" i="51"/>
  <c r="G258" i="51"/>
  <c r="I258" i="51"/>
  <c r="U258" i="51"/>
  <c r="V258" i="51"/>
  <c r="E259" i="51"/>
  <c r="F259" i="51"/>
  <c r="G259" i="51"/>
  <c r="I259" i="51"/>
  <c r="E260" i="51"/>
  <c r="F260" i="51"/>
  <c r="G260" i="51"/>
  <c r="I260" i="51"/>
  <c r="F261" i="51"/>
  <c r="G261" i="51"/>
  <c r="I261" i="51"/>
  <c r="U261" i="51"/>
  <c r="V261" i="51" s="1"/>
  <c r="E262" i="51"/>
  <c r="F262" i="51"/>
  <c r="G262" i="51"/>
  <c r="I262" i="51"/>
  <c r="U262" i="51"/>
  <c r="V262" i="51" s="1"/>
  <c r="E263" i="51"/>
  <c r="F263" i="51"/>
  <c r="G263" i="51"/>
  <c r="I263" i="51"/>
  <c r="U263" i="51"/>
  <c r="V263" i="51" s="1"/>
  <c r="E264" i="51"/>
  <c r="F264" i="51"/>
  <c r="G264" i="51"/>
  <c r="I264" i="51"/>
  <c r="F265" i="51"/>
  <c r="I265" i="51"/>
  <c r="E266" i="51"/>
  <c r="F266" i="51"/>
  <c r="G266" i="51"/>
  <c r="I266" i="51"/>
  <c r="E267" i="51"/>
  <c r="F267" i="51"/>
  <c r="G267" i="51"/>
  <c r="I267" i="51"/>
  <c r="E268" i="51"/>
  <c r="F268" i="51"/>
  <c r="G268" i="51"/>
  <c r="I268" i="51"/>
  <c r="E269" i="51"/>
  <c r="F269" i="51"/>
  <c r="G269" i="51"/>
  <c r="I269" i="51"/>
  <c r="F270" i="51"/>
  <c r="G270" i="51"/>
  <c r="I270" i="51"/>
  <c r="E271" i="51"/>
  <c r="F271" i="51"/>
  <c r="G271" i="51"/>
  <c r="I271" i="51"/>
  <c r="F272" i="51"/>
  <c r="G272" i="51"/>
  <c r="I272" i="51"/>
  <c r="E273" i="51"/>
  <c r="F273" i="51"/>
  <c r="G273" i="51"/>
  <c r="E274" i="51"/>
  <c r="F274" i="51"/>
  <c r="G274" i="51"/>
  <c r="I274" i="51"/>
  <c r="E275" i="51"/>
  <c r="F275" i="51"/>
  <c r="G275" i="51"/>
  <c r="I275" i="51"/>
  <c r="E276" i="51"/>
  <c r="F276" i="51"/>
  <c r="G276" i="51"/>
  <c r="I276" i="51"/>
  <c r="E277" i="51"/>
  <c r="F277" i="51"/>
  <c r="G277" i="51"/>
  <c r="I277" i="51"/>
  <c r="E278" i="51"/>
  <c r="F278" i="51"/>
  <c r="G278" i="51"/>
  <c r="I278" i="51"/>
  <c r="F279" i="51"/>
  <c r="G279" i="51"/>
  <c r="I279" i="51"/>
  <c r="E280" i="51"/>
  <c r="F280" i="51"/>
  <c r="G280" i="51"/>
  <c r="I280" i="51"/>
  <c r="E281" i="51"/>
  <c r="F281" i="51"/>
  <c r="G281" i="51"/>
  <c r="I281" i="51"/>
  <c r="E282" i="51"/>
  <c r="F282" i="51"/>
  <c r="G282" i="51"/>
  <c r="I282" i="51"/>
  <c r="E283" i="51"/>
  <c r="F283" i="51"/>
  <c r="G283" i="51"/>
  <c r="I283" i="51"/>
  <c r="E284" i="51"/>
  <c r="F284" i="51"/>
  <c r="G284" i="51"/>
  <c r="I284" i="51"/>
  <c r="E285" i="51"/>
  <c r="F285" i="51"/>
  <c r="G285" i="51"/>
  <c r="I285" i="51"/>
  <c r="F286" i="51"/>
  <c r="G286" i="51"/>
  <c r="I286" i="51"/>
  <c r="E287" i="51"/>
  <c r="F287" i="51"/>
  <c r="G287" i="51"/>
  <c r="I287" i="51"/>
  <c r="F288" i="51"/>
  <c r="G288" i="51"/>
  <c r="I288" i="51"/>
  <c r="E289" i="51"/>
  <c r="F289" i="51"/>
  <c r="G289" i="51"/>
  <c r="I289" i="51"/>
  <c r="F290" i="51"/>
  <c r="I290" i="51"/>
  <c r="E291" i="51"/>
  <c r="F291" i="51"/>
  <c r="G291" i="51"/>
  <c r="I291" i="51"/>
  <c r="E292" i="51"/>
  <c r="G292" i="51"/>
  <c r="I292" i="51"/>
  <c r="F294" i="51"/>
  <c r="H313" i="51"/>
  <c r="H314" i="51"/>
  <c r="F315" i="51"/>
  <c r="H315" i="51"/>
  <c r="M315" i="51" s="1"/>
  <c r="H317" i="51"/>
  <c r="G318" i="51"/>
  <c r="H318" i="51"/>
  <c r="I318" i="51"/>
  <c r="P320" i="51"/>
  <c r="Q320" i="51"/>
  <c r="R320" i="51"/>
  <c r="L326" i="51"/>
  <c r="F10" i="48"/>
  <c r="F12" i="48"/>
  <c r="J10" i="48"/>
  <c r="J12" i="48"/>
  <c r="N10" i="48"/>
  <c r="N12" i="48" s="1"/>
  <c r="R10" i="48"/>
  <c r="R12" i="48" s="1"/>
  <c r="T10" i="48"/>
  <c r="T11" i="48"/>
  <c r="D12" i="48"/>
  <c r="E12" i="48" s="1"/>
  <c r="G12" i="48" s="1"/>
  <c r="H12" i="48"/>
  <c r="I12" i="48" s="1"/>
  <c r="K12" i="48" s="1"/>
  <c r="L12" i="48"/>
  <c r="M12" i="48" s="1"/>
  <c r="P12" i="48"/>
  <c r="Q12" i="48"/>
  <c r="S12" i="48" s="1"/>
  <c r="H13" i="48"/>
  <c r="D13" i="48" s="1"/>
  <c r="F13" i="48" s="1"/>
  <c r="N13" i="48"/>
  <c r="R13" i="48"/>
  <c r="T13" i="48"/>
  <c r="H14" i="48"/>
  <c r="L14" i="48"/>
  <c r="L15" i="48" s="1"/>
  <c r="P14" i="48"/>
  <c r="N14" i="48"/>
  <c r="T14" i="48"/>
  <c r="H16" i="48"/>
  <c r="P16" i="48"/>
  <c r="N16" i="48"/>
  <c r="R16" i="48"/>
  <c r="T16" i="48"/>
  <c r="H17" i="48"/>
  <c r="P17" i="48"/>
  <c r="J17" i="48"/>
  <c r="N17" i="48"/>
  <c r="T17" i="48"/>
  <c r="L18" i="48"/>
  <c r="H19" i="48"/>
  <c r="P19" i="48"/>
  <c r="N19" i="48"/>
  <c r="T19" i="48"/>
  <c r="H20" i="48"/>
  <c r="H21" i="48" s="1"/>
  <c r="P20" i="48"/>
  <c r="N20" i="48"/>
  <c r="T20" i="48"/>
  <c r="L21" i="48"/>
  <c r="N21" i="48"/>
  <c r="P22" i="48"/>
  <c r="D22" i="48"/>
  <c r="F22" i="48" s="1"/>
  <c r="N22" i="48"/>
  <c r="N24" i="48" s="1"/>
  <c r="R22" i="48"/>
  <c r="T22" i="48"/>
  <c r="H23" i="48"/>
  <c r="P23" i="48"/>
  <c r="J23" i="48"/>
  <c r="J24" i="48" s="1"/>
  <c r="N23" i="48"/>
  <c r="T23" i="48"/>
  <c r="L24" i="48"/>
  <c r="H25" i="48"/>
  <c r="P25" i="48"/>
  <c r="R25" i="48" s="1"/>
  <c r="N25" i="48"/>
  <c r="T25" i="48"/>
  <c r="H26" i="48"/>
  <c r="L26" i="48"/>
  <c r="N26" i="48" s="1"/>
  <c r="N27" i="48" s="1"/>
  <c r="D26" i="48"/>
  <c r="F26" i="48" s="1"/>
  <c r="J26" i="48"/>
  <c r="J27" i="48" s="1"/>
  <c r="R26" i="48"/>
  <c r="T26" i="48"/>
  <c r="H28" i="48"/>
  <c r="D28" i="48" s="1"/>
  <c r="F28" i="48" s="1"/>
  <c r="N28" i="48"/>
  <c r="R28" i="48"/>
  <c r="T28" i="48"/>
  <c r="H29" i="48"/>
  <c r="L29" i="48"/>
  <c r="J29" i="48"/>
  <c r="N29" i="48"/>
  <c r="R29" i="48"/>
  <c r="T29" i="48"/>
  <c r="J30" i="48"/>
  <c r="N30" i="48"/>
  <c r="P30" i="48"/>
  <c r="D73" i="48"/>
  <c r="E73" i="48"/>
  <c r="F73" i="48"/>
  <c r="G73" i="48" s="1"/>
  <c r="H73" i="48"/>
  <c r="J73" i="48" s="1"/>
  <c r="D74" i="48"/>
  <c r="E74" i="48"/>
  <c r="F74" i="48"/>
  <c r="H74" i="48"/>
  <c r="J74" i="48"/>
  <c r="D75" i="48"/>
  <c r="E75" i="48"/>
  <c r="F75" i="48"/>
  <c r="H75" i="48"/>
  <c r="J75" i="48"/>
  <c r="D76" i="48"/>
  <c r="G76" i="48" s="1"/>
  <c r="E76" i="48"/>
  <c r="F76" i="48"/>
  <c r="H76" i="48"/>
  <c r="J76" i="48" s="1"/>
  <c r="F12" i="49"/>
  <c r="H12" i="49"/>
  <c r="L12" i="49"/>
  <c r="P12" i="49"/>
  <c r="O52" i="49"/>
  <c r="O53" i="49"/>
  <c r="M13" i="49"/>
  <c r="Q13" i="49"/>
  <c r="O54" i="49"/>
  <c r="K15" i="49"/>
  <c r="Q15" i="49"/>
  <c r="G17" i="49"/>
  <c r="O17" i="49"/>
  <c r="O56" i="49"/>
  <c r="O57" i="49"/>
  <c r="M18" i="49"/>
  <c r="Q18" i="49"/>
  <c r="O58" i="49"/>
  <c r="E20" i="49" s="1"/>
  <c r="I20" i="49" s="1"/>
  <c r="M20" i="49"/>
  <c r="Q20" i="49"/>
  <c r="G22" i="49"/>
  <c r="K22" i="49"/>
  <c r="O22" i="49"/>
  <c r="O60" i="49"/>
  <c r="O61" i="49"/>
  <c r="M23" i="49"/>
  <c r="Q23" i="49"/>
  <c r="O62" i="49"/>
  <c r="E26" i="49"/>
  <c r="M26" i="49"/>
  <c r="Q26" i="49"/>
  <c r="G28" i="49"/>
  <c r="K28" i="49"/>
  <c r="O28" i="49"/>
  <c r="O64" i="49"/>
  <c r="E29" i="49" s="1"/>
  <c r="I29" i="49" s="1"/>
  <c r="M29" i="49"/>
  <c r="Q29" i="49"/>
  <c r="O66" i="49"/>
  <c r="N67" i="49"/>
  <c r="O67" i="49"/>
  <c r="M31" i="49"/>
  <c r="Q31" i="49"/>
  <c r="G33" i="49"/>
  <c r="K33" i="49"/>
  <c r="O33" i="49"/>
  <c r="O69" i="49"/>
  <c r="E34" i="49" s="1"/>
  <c r="I34" i="49" s="1"/>
  <c r="M34" i="49"/>
  <c r="Q34" i="49"/>
  <c r="N71" i="49"/>
  <c r="O71" i="49"/>
  <c r="E37" i="49" s="1"/>
  <c r="I37" i="49" s="1"/>
  <c r="M37" i="49"/>
  <c r="Q37" i="49"/>
  <c r="G39" i="49"/>
  <c r="K39" i="49"/>
  <c r="O39" i="49"/>
  <c r="N73" i="49"/>
  <c r="O73" i="49" s="1"/>
  <c r="G40" i="49"/>
  <c r="Q40" i="49" s="1"/>
  <c r="N75" i="49"/>
  <c r="O75" i="49"/>
  <c r="E42" i="49" s="1"/>
  <c r="I42" i="49" s="1"/>
  <c r="M42" i="49"/>
  <c r="Q42" i="49"/>
  <c r="K44" i="49"/>
  <c r="O44" i="49"/>
  <c r="G51" i="49"/>
  <c r="H51" i="49"/>
  <c r="I51" i="49"/>
  <c r="N51" i="49"/>
  <c r="O51" i="49"/>
  <c r="P51" i="49" s="1"/>
  <c r="G52" i="49"/>
  <c r="H53" i="49"/>
  <c r="G54" i="49"/>
  <c r="H54" i="49" s="1"/>
  <c r="N55" i="49"/>
  <c r="G56" i="49"/>
  <c r="H57" i="49"/>
  <c r="H58" i="49"/>
  <c r="N59" i="49"/>
  <c r="G60" i="49"/>
  <c r="H60" i="49"/>
  <c r="H61" i="49"/>
  <c r="H62" i="49"/>
  <c r="G63" i="49"/>
  <c r="N63" i="49"/>
  <c r="H64" i="49"/>
  <c r="H65" i="49"/>
  <c r="H68" i="49" s="1"/>
  <c r="H67" i="49"/>
  <c r="G68" i="49"/>
  <c r="N68" i="49"/>
  <c r="H69" i="49"/>
  <c r="G71" i="49"/>
  <c r="G73" i="49"/>
  <c r="G75" i="49"/>
  <c r="H75" i="49" s="1"/>
  <c r="N76" i="49"/>
  <c r="V153" i="49"/>
  <c r="X157" i="49"/>
  <c r="Y157" i="49" s="1"/>
  <c r="X158" i="49"/>
  <c r="Y158" i="49" s="1"/>
  <c r="X231" i="49"/>
  <c r="Y231" i="49" s="1"/>
  <c r="E233" i="49"/>
  <c r="F233" i="49"/>
  <c r="G233" i="49"/>
  <c r="F234" i="49"/>
  <c r="F235" i="49"/>
  <c r="F236" i="49"/>
  <c r="F237" i="49"/>
  <c r="F238" i="49"/>
  <c r="F239" i="49"/>
  <c r="I233" i="49"/>
  <c r="E234" i="49"/>
  <c r="G234" i="49"/>
  <c r="I234" i="49"/>
  <c r="L234" i="49"/>
  <c r="O234" i="49"/>
  <c r="P234" i="49"/>
  <c r="R234" i="49" s="1"/>
  <c r="S234" i="49" s="1"/>
  <c r="Q234" i="49"/>
  <c r="E235" i="49"/>
  <c r="G235" i="49"/>
  <c r="I235" i="49"/>
  <c r="O235" i="49"/>
  <c r="P235" i="49"/>
  <c r="Q235" i="49"/>
  <c r="E236" i="49"/>
  <c r="G236" i="49"/>
  <c r="I236" i="49"/>
  <c r="E237" i="49"/>
  <c r="G237" i="49"/>
  <c r="I237" i="49"/>
  <c r="E238" i="49"/>
  <c r="G238" i="49"/>
  <c r="I238" i="49"/>
  <c r="E239" i="49"/>
  <c r="G239" i="49"/>
  <c r="I239" i="49"/>
  <c r="T239" i="49"/>
  <c r="E240" i="49"/>
  <c r="F240" i="49"/>
  <c r="L240" i="49" s="1"/>
  <c r="G240" i="49"/>
  <c r="I240" i="49"/>
  <c r="E241" i="49"/>
  <c r="F241" i="49"/>
  <c r="G241" i="49"/>
  <c r="F242" i="49"/>
  <c r="F243" i="49"/>
  <c r="F244" i="49"/>
  <c r="F245" i="49"/>
  <c r="I241" i="49"/>
  <c r="E242" i="49"/>
  <c r="G242" i="49"/>
  <c r="I242" i="49"/>
  <c r="E243" i="49"/>
  <c r="G243" i="49"/>
  <c r="I243" i="49"/>
  <c r="E244" i="49"/>
  <c r="G244" i="49"/>
  <c r="I244" i="49"/>
  <c r="E245" i="49"/>
  <c r="G245" i="49"/>
  <c r="I245" i="49"/>
  <c r="E246" i="49"/>
  <c r="F246" i="49"/>
  <c r="G246" i="49"/>
  <c r="F247" i="49"/>
  <c r="H246" i="49" s="1"/>
  <c r="F248" i="49"/>
  <c r="F249" i="49"/>
  <c r="F250" i="49"/>
  <c r="I246" i="49"/>
  <c r="E247" i="49"/>
  <c r="G247" i="49"/>
  <c r="F251" i="49"/>
  <c r="I247" i="49"/>
  <c r="E248" i="49"/>
  <c r="G248" i="49"/>
  <c r="F252" i="49"/>
  <c r="H252" i="49" s="1"/>
  <c r="I248" i="49"/>
  <c r="G249" i="49"/>
  <c r="I249" i="49"/>
  <c r="E250" i="49"/>
  <c r="G250" i="49"/>
  <c r="F253" i="49"/>
  <c r="I250" i="49"/>
  <c r="E251" i="49"/>
  <c r="G251" i="49"/>
  <c r="F254" i="49"/>
  <c r="I251" i="49"/>
  <c r="E252" i="49"/>
  <c r="G252" i="49"/>
  <c r="F255" i="49"/>
  <c r="I252" i="49"/>
  <c r="E253" i="49"/>
  <c r="G253" i="49"/>
  <c r="F256" i="49"/>
  <c r="I253" i="49"/>
  <c r="E254" i="49"/>
  <c r="G254" i="49"/>
  <c r="I254" i="49"/>
  <c r="E255" i="49"/>
  <c r="G255" i="49"/>
  <c r="I255" i="49"/>
  <c r="E256" i="49"/>
  <c r="G256" i="49"/>
  <c r="I256" i="49"/>
  <c r="E257" i="49"/>
  <c r="F257" i="49"/>
  <c r="G257" i="49"/>
  <c r="I257" i="49"/>
  <c r="E258" i="49"/>
  <c r="F258" i="49"/>
  <c r="G258" i="49"/>
  <c r="I258" i="49"/>
  <c r="E259" i="49"/>
  <c r="F259" i="49"/>
  <c r="G259" i="49"/>
  <c r="I259" i="49"/>
  <c r="E260" i="49"/>
  <c r="F260" i="49"/>
  <c r="G260" i="49"/>
  <c r="I260" i="49"/>
  <c r="E261" i="49"/>
  <c r="F261" i="49"/>
  <c r="G261" i="49"/>
  <c r="F262" i="49"/>
  <c r="F263" i="49"/>
  <c r="F321" i="49" s="1"/>
  <c r="F264" i="49"/>
  <c r="F265" i="49"/>
  <c r="F266" i="49"/>
  <c r="F267" i="49"/>
  <c r="F268" i="49"/>
  <c r="F269" i="49"/>
  <c r="F270" i="49"/>
  <c r="I261" i="49"/>
  <c r="E262" i="49"/>
  <c r="G262" i="49"/>
  <c r="I262" i="49"/>
  <c r="E263" i="49"/>
  <c r="G263" i="49"/>
  <c r="I263" i="49"/>
  <c r="E264" i="49"/>
  <c r="G264" i="49"/>
  <c r="I264" i="49"/>
  <c r="E265" i="49"/>
  <c r="G265" i="49"/>
  <c r="I265" i="49"/>
  <c r="E266" i="49"/>
  <c r="G266" i="49"/>
  <c r="I266" i="49"/>
  <c r="E267" i="49"/>
  <c r="G267" i="49"/>
  <c r="I267" i="49"/>
  <c r="E268" i="49"/>
  <c r="G268" i="49"/>
  <c r="I268" i="49"/>
  <c r="E269" i="49"/>
  <c r="G269" i="49"/>
  <c r="I269" i="49"/>
  <c r="E270" i="49"/>
  <c r="G270" i="49"/>
  <c r="I270" i="49"/>
  <c r="E271" i="49"/>
  <c r="F271" i="49"/>
  <c r="G271" i="49"/>
  <c r="F272" i="49"/>
  <c r="F273" i="49"/>
  <c r="F274" i="49"/>
  <c r="F275" i="49"/>
  <c r="F276" i="49"/>
  <c r="F277" i="49"/>
  <c r="F278" i="49"/>
  <c r="I271" i="49"/>
  <c r="E272" i="49"/>
  <c r="G272" i="49"/>
  <c r="I272" i="49"/>
  <c r="E273" i="49"/>
  <c r="G273" i="49"/>
  <c r="I273" i="49"/>
  <c r="E274" i="49"/>
  <c r="G274" i="49"/>
  <c r="I274" i="49"/>
  <c r="E275" i="49"/>
  <c r="G275" i="49"/>
  <c r="I275" i="49"/>
  <c r="E276" i="49"/>
  <c r="G276" i="49"/>
  <c r="I276" i="49"/>
  <c r="E277" i="49"/>
  <c r="G277" i="49"/>
  <c r="I277" i="49"/>
  <c r="E278" i="49"/>
  <c r="G278" i="49"/>
  <c r="I278" i="49"/>
  <c r="E279" i="49"/>
  <c r="F279" i="49"/>
  <c r="G279" i="49"/>
  <c r="H279" i="49" s="1"/>
  <c r="I279" i="49"/>
  <c r="E280" i="49"/>
  <c r="F280" i="49"/>
  <c r="G280" i="49"/>
  <c r="I280" i="49"/>
  <c r="E281" i="49"/>
  <c r="F281" i="49"/>
  <c r="G281" i="49"/>
  <c r="I281" i="49"/>
  <c r="E282" i="49"/>
  <c r="F282" i="49"/>
  <c r="G282" i="49"/>
  <c r="I282" i="49"/>
  <c r="E283" i="49"/>
  <c r="F283" i="49"/>
  <c r="G283" i="49"/>
  <c r="I283" i="49"/>
  <c r="E284" i="49"/>
  <c r="F284" i="49"/>
  <c r="G284" i="49"/>
  <c r="I284" i="49"/>
  <c r="E285" i="49"/>
  <c r="F285" i="49"/>
  <c r="G285" i="49"/>
  <c r="I285" i="49"/>
  <c r="E286" i="49"/>
  <c r="F286" i="49"/>
  <c r="G286" i="49"/>
  <c r="I286" i="49"/>
  <c r="E287" i="49"/>
  <c r="F287" i="49"/>
  <c r="G287" i="49"/>
  <c r="I287" i="49"/>
  <c r="E288" i="49"/>
  <c r="F288" i="49"/>
  <c r="G288" i="49"/>
  <c r="I288" i="49"/>
  <c r="E289" i="49"/>
  <c r="F289" i="49"/>
  <c r="G289" i="49"/>
  <c r="I289" i="49"/>
  <c r="F290" i="49"/>
  <c r="I290" i="49"/>
  <c r="E291" i="49"/>
  <c r="F291" i="49"/>
  <c r="G291" i="49"/>
  <c r="I291" i="49"/>
  <c r="F292" i="49"/>
  <c r="G292" i="49"/>
  <c r="I292" i="49"/>
  <c r="E293" i="49"/>
  <c r="F293" i="49"/>
  <c r="G293" i="49"/>
  <c r="I293" i="49"/>
  <c r="E294" i="49"/>
  <c r="F294" i="49"/>
  <c r="G294" i="49"/>
  <c r="I294" i="49"/>
  <c r="I301" i="49" s="1"/>
  <c r="G295" i="49"/>
  <c r="I295" i="49"/>
  <c r="E296" i="49"/>
  <c r="F296" i="49"/>
  <c r="G296" i="49"/>
  <c r="I296" i="49"/>
  <c r="F297" i="49"/>
  <c r="G297" i="49"/>
  <c r="I297" i="49"/>
  <c r="E298" i="49"/>
  <c r="F298" i="49"/>
  <c r="G298" i="49"/>
  <c r="I298" i="49"/>
  <c r="E299" i="49"/>
  <c r="F299" i="49"/>
  <c r="G299" i="49"/>
  <c r="I299" i="49"/>
  <c r="E300" i="49"/>
  <c r="F300" i="49"/>
  <c r="G300" i="49"/>
  <c r="I300" i="49"/>
  <c r="F302" i="49"/>
  <c r="H321" i="49"/>
  <c r="H322" i="49"/>
  <c r="I322" i="49"/>
  <c r="H323" i="49"/>
  <c r="I323" i="49"/>
  <c r="H324" i="49"/>
  <c r="I324" i="49"/>
  <c r="H325" i="49"/>
  <c r="I325" i="49"/>
  <c r="G326" i="49"/>
  <c r="H326" i="49"/>
  <c r="I326" i="49"/>
  <c r="H327" i="49"/>
  <c r="I327" i="49"/>
  <c r="H328" i="49"/>
  <c r="I328" i="49"/>
  <c r="H329" i="49"/>
  <c r="H330" i="49"/>
  <c r="H331" i="49"/>
  <c r="I331" i="49"/>
  <c r="H332" i="49"/>
  <c r="P333" i="49"/>
  <c r="Q333" i="49"/>
  <c r="R333" i="49"/>
  <c r="L339" i="49"/>
  <c r="M15" i="48"/>
  <c r="O15" i="48" s="1"/>
  <c r="O12" i="48"/>
  <c r="E129" i="51"/>
  <c r="I112" i="51"/>
  <c r="I96" i="51"/>
  <c r="I70" i="51"/>
  <c r="E270" i="51"/>
  <c r="I42" i="51"/>
  <c r="E18" i="51"/>
  <c r="Y249" i="51"/>
  <c r="H155" i="51"/>
  <c r="D74" i="50"/>
  <c r="F74" i="50" s="1"/>
  <c r="R75" i="50"/>
  <c r="P75" i="50"/>
  <c r="D73" i="50"/>
  <c r="J73" i="50"/>
  <c r="J75" i="50" s="1"/>
  <c r="H75" i="50"/>
  <c r="F70" i="50"/>
  <c r="F72" i="50" s="1"/>
  <c r="D72" i="50"/>
  <c r="F46" i="50"/>
  <c r="I98" i="53"/>
  <c r="E102" i="53"/>
  <c r="E92" i="53"/>
  <c r="I87" i="53"/>
  <c r="I84" i="53"/>
  <c r="E291" i="53"/>
  <c r="E72" i="53"/>
  <c r="I72" i="53" s="1"/>
  <c r="E298" i="53"/>
  <c r="I68" i="53"/>
  <c r="E302" i="53"/>
  <c r="I65" i="53"/>
  <c r="R12" i="53"/>
  <c r="P18" i="53"/>
  <c r="J123" i="52"/>
  <c r="J124" i="52" s="1"/>
  <c r="O72" i="49"/>
  <c r="G55" i="49"/>
  <c r="L27" i="48"/>
  <c r="P24" i="48"/>
  <c r="R23" i="48"/>
  <c r="H15" i="48"/>
  <c r="I15" i="48" s="1"/>
  <c r="K15" i="48" s="1"/>
  <c r="J14" i="48"/>
  <c r="P24" i="53"/>
  <c r="P29" i="53" s="1"/>
  <c r="P34" i="53" s="1"/>
  <c r="P41" i="53" s="1"/>
  <c r="P46" i="53" s="1"/>
  <c r="F34" i="50"/>
  <c r="H145" i="53"/>
  <c r="I145" i="53"/>
  <c r="E127" i="53"/>
  <c r="E132" i="53" s="1"/>
  <c r="O244" i="53"/>
  <c r="E124" i="53"/>
  <c r="I124" i="53"/>
  <c r="O238" i="53"/>
  <c r="I112" i="53"/>
  <c r="I109" i="53"/>
  <c r="I100" i="53"/>
  <c r="E285" i="53"/>
  <c r="O203" i="53"/>
  <c r="I60" i="53"/>
  <c r="E310" i="53"/>
  <c r="E56" i="53"/>
  <c r="I49" i="53"/>
  <c r="I42" i="53"/>
  <c r="E46" i="53"/>
  <c r="I32" i="53"/>
  <c r="E34" i="53"/>
  <c r="I19" i="53"/>
  <c r="E24" i="53"/>
  <c r="L24" i="53"/>
  <c r="L29" i="53" s="1"/>
  <c r="L34" i="53" s="1"/>
  <c r="L41" i="53" s="1"/>
  <c r="L46" i="53" s="1"/>
  <c r="I16" i="53"/>
  <c r="E294" i="53"/>
  <c r="H18" i="53"/>
  <c r="H24" i="53" s="1"/>
  <c r="O214" i="51"/>
  <c r="O210" i="51"/>
  <c r="O206" i="51"/>
  <c r="O194" i="51"/>
  <c r="G190" i="51"/>
  <c r="N150" i="51"/>
  <c r="E114" i="51"/>
  <c r="K72" i="51"/>
  <c r="E63" i="51"/>
  <c r="E44" i="51"/>
  <c r="H244" i="53"/>
  <c r="D74" i="52"/>
  <c r="F74" i="52" s="1"/>
  <c r="R74" i="52"/>
  <c r="R75" i="52" s="1"/>
  <c r="P75" i="52"/>
  <c r="F73" i="52"/>
  <c r="N73" i="52"/>
  <c r="N75" i="52" s="1"/>
  <c r="L75" i="52"/>
  <c r="E109" i="52"/>
  <c r="E124" i="52" s="1"/>
  <c r="D70" i="52"/>
  <c r="J70" i="52"/>
  <c r="D64" i="52"/>
  <c r="F64" i="52" s="1"/>
  <c r="F66" i="52" s="1"/>
  <c r="J64" i="52"/>
  <c r="J66" i="52"/>
  <c r="D62" i="52"/>
  <c r="F62" i="52"/>
  <c r="J62" i="52"/>
  <c r="J63" i="52"/>
  <c r="H63" i="52"/>
  <c r="D58" i="52"/>
  <c r="F58" i="52" s="1"/>
  <c r="F60" i="52" s="1"/>
  <c r="J58" i="52"/>
  <c r="D56" i="52"/>
  <c r="F56" i="52"/>
  <c r="J56" i="52"/>
  <c r="H57" i="52"/>
  <c r="F46" i="52"/>
  <c r="D40" i="52"/>
  <c r="F40" i="52" s="1"/>
  <c r="J40" i="52"/>
  <c r="D29" i="52"/>
  <c r="F29" i="52" s="1"/>
  <c r="R29" i="52"/>
  <c r="R30" i="52" s="1"/>
  <c r="P30" i="52"/>
  <c r="D23" i="52"/>
  <c r="J23" i="52"/>
  <c r="H24" i="52"/>
  <c r="D108" i="52"/>
  <c r="O12" i="52"/>
  <c r="M15" i="52"/>
  <c r="M18" i="52" s="1"/>
  <c r="O15" i="52"/>
  <c r="E105" i="50"/>
  <c r="P72" i="50"/>
  <c r="R71" i="50"/>
  <c r="R70" i="50"/>
  <c r="R72" i="50" s="1"/>
  <c r="H66" i="50"/>
  <c r="R65" i="50"/>
  <c r="R66" i="50" s="1"/>
  <c r="L63" i="50"/>
  <c r="H63" i="50"/>
  <c r="J62" i="50"/>
  <c r="J55" i="50"/>
  <c r="L54" i="50"/>
  <c r="H54" i="50"/>
  <c r="J53" i="50"/>
  <c r="J54" i="50" s="1"/>
  <c r="J46" i="50"/>
  <c r="J44" i="50"/>
  <c r="P39" i="50"/>
  <c r="R38" i="50"/>
  <c r="R39" i="50" s="1"/>
  <c r="P36" i="50"/>
  <c r="H36" i="50"/>
  <c r="R35" i="50"/>
  <c r="R36" i="50" s="1"/>
  <c r="J34" i="50"/>
  <c r="J32" i="50"/>
  <c r="J26" i="50"/>
  <c r="J23" i="50"/>
  <c r="J24" i="50" s="1"/>
  <c r="L21" i="50"/>
  <c r="R19" i="50"/>
  <c r="R21" i="50" s="1"/>
  <c r="D68" i="52"/>
  <c r="R68" i="52"/>
  <c r="R69" i="52" s="1"/>
  <c r="P69" i="52"/>
  <c r="D61" i="52"/>
  <c r="D63" i="52" s="1"/>
  <c r="P63" i="52"/>
  <c r="D55" i="52"/>
  <c r="F55" i="52"/>
  <c r="P57" i="52"/>
  <c r="D47" i="52"/>
  <c r="F47" i="52" s="1"/>
  <c r="J47" i="52"/>
  <c r="J48" i="52" s="1"/>
  <c r="H48" i="52"/>
  <c r="D43" i="52"/>
  <c r="F43" i="52" s="1"/>
  <c r="F45" i="52" s="1"/>
  <c r="R43" i="52"/>
  <c r="R45" i="52" s="1"/>
  <c r="D38" i="52"/>
  <c r="F38" i="52" s="1"/>
  <c r="J38" i="52"/>
  <c r="D35" i="52"/>
  <c r="F35" i="52" s="1"/>
  <c r="J35" i="52"/>
  <c r="H36" i="52"/>
  <c r="D26" i="52"/>
  <c r="F26" i="52" s="1"/>
  <c r="R26" i="52"/>
  <c r="R27" i="52"/>
  <c r="P27" i="52"/>
  <c r="F108" i="52"/>
  <c r="D25" i="52"/>
  <c r="D27" i="52"/>
  <c r="J25" i="52"/>
  <c r="J27" i="52" s="1"/>
  <c r="H27" i="52"/>
  <c r="F22" i="52"/>
  <c r="D20" i="52"/>
  <c r="F20" i="52" s="1"/>
  <c r="J20" i="52"/>
  <c r="H21" i="52"/>
  <c r="D16" i="52"/>
  <c r="D18" i="52" s="1"/>
  <c r="J16" i="52"/>
  <c r="H18" i="52"/>
  <c r="D66" i="54"/>
  <c r="F64" i="54"/>
  <c r="F66" i="54" s="1"/>
  <c r="D30" i="54"/>
  <c r="F28" i="54"/>
  <c r="F30" i="54"/>
  <c r="D15" i="54"/>
  <c r="F14" i="54"/>
  <c r="F15" i="54"/>
  <c r="I285" i="53"/>
  <c r="I326" i="53" s="1"/>
  <c r="N244" i="53"/>
  <c r="N238" i="53"/>
  <c r="O228" i="53"/>
  <c r="O223" i="53"/>
  <c r="O218" i="53"/>
  <c r="O208" i="53"/>
  <c r="O198" i="53"/>
  <c r="O193" i="53"/>
  <c r="G187" i="53"/>
  <c r="O177" i="53"/>
  <c r="O173" i="53"/>
  <c r="O169" i="53"/>
  <c r="O165" i="53"/>
  <c r="O161" i="53"/>
  <c r="O153" i="53"/>
  <c r="G153" i="53"/>
  <c r="O132" i="53"/>
  <c r="O126" i="53"/>
  <c r="E126" i="53"/>
  <c r="K120" i="53"/>
  <c r="E108" i="53"/>
  <c r="E67" i="53"/>
  <c r="E62" i="53"/>
  <c r="E41" i="53"/>
  <c r="E18" i="53"/>
  <c r="F114" i="52"/>
  <c r="D112" i="52"/>
  <c r="D109" i="52"/>
  <c r="H66" i="52"/>
  <c r="H60" i="52"/>
  <c r="H54" i="52"/>
  <c r="D54" i="52"/>
  <c r="H51" i="52"/>
  <c r="H42" i="52"/>
  <c r="J37" i="52"/>
  <c r="J39" i="52" s="1"/>
  <c r="J36" i="52"/>
  <c r="N27" i="52"/>
  <c r="F57" i="54"/>
  <c r="F19" i="52"/>
  <c r="D14" i="52"/>
  <c r="F14" i="52" s="1"/>
  <c r="J14" i="52"/>
  <c r="H15" i="52"/>
  <c r="I15" i="52" s="1"/>
  <c r="D117" i="54"/>
  <c r="K117" i="54"/>
  <c r="D115" i="54"/>
  <c r="K115" i="54"/>
  <c r="D113" i="54"/>
  <c r="K113" i="54"/>
  <c r="D69" i="54"/>
  <c r="F67" i="54"/>
  <c r="F69" i="54" s="1"/>
  <c r="D54" i="54"/>
  <c r="F52" i="54"/>
  <c r="F54" i="54"/>
  <c r="F37" i="54"/>
  <c r="F39" i="54" s="1"/>
  <c r="D39" i="54"/>
  <c r="D36" i="54"/>
  <c r="F34" i="54"/>
  <c r="F36" i="54" s="1"/>
  <c r="D33" i="54"/>
  <c r="F31" i="54"/>
  <c r="F33" i="54"/>
  <c r="F10" i="54"/>
  <c r="F42" i="54"/>
  <c r="K111" i="54"/>
  <c r="K119" i="54"/>
  <c r="K120" i="54" s="1"/>
  <c r="Q69" i="54"/>
  <c r="I69" i="54"/>
  <c r="K67" i="54"/>
  <c r="Q66" i="54"/>
  <c r="S64" i="54"/>
  <c r="S66" i="54" s="1"/>
  <c r="Q57" i="54"/>
  <c r="M57" i="54"/>
  <c r="D57" i="54"/>
  <c r="Q54" i="54"/>
  <c r="S52" i="54"/>
  <c r="S54" i="54"/>
  <c r="K43" i="54"/>
  <c r="K45" i="54" s="1"/>
  <c r="I42" i="54"/>
  <c r="D42" i="54"/>
  <c r="K41" i="54"/>
  <c r="K37" i="54"/>
  <c r="K39" i="54" s="1"/>
  <c r="M36" i="54"/>
  <c r="I36" i="54"/>
  <c r="K34" i="54"/>
  <c r="Q33" i="54"/>
  <c r="I33" i="54"/>
  <c r="K31" i="54"/>
  <c r="K33" i="54" s="1"/>
  <c r="Q30" i="54"/>
  <c r="S28" i="54"/>
  <c r="S30" i="54" s="1"/>
  <c r="S19" i="54"/>
  <c r="S21" i="54"/>
  <c r="I15" i="54"/>
  <c r="K14" i="54"/>
  <c r="K15" i="54" s="1"/>
  <c r="F25" i="52"/>
  <c r="F27" i="52" s="1"/>
  <c r="D57" i="52"/>
  <c r="D45" i="52"/>
  <c r="D69" i="52"/>
  <c r="F68" i="52"/>
  <c r="F69" i="52" s="1"/>
  <c r="N18" i="53"/>
  <c r="R18" i="53"/>
  <c r="E86" i="53"/>
  <c r="F73" i="50"/>
  <c r="E297" i="49"/>
  <c r="O76" i="49"/>
  <c r="E40" i="49"/>
  <c r="E44" i="49" s="1"/>
  <c r="V264" i="51"/>
  <c r="H238" i="51"/>
  <c r="H230" i="51"/>
  <c r="H226" i="51"/>
  <c r="H206" i="51"/>
  <c r="G313" i="51"/>
  <c r="H150" i="51"/>
  <c r="E119" i="51"/>
  <c r="I115" i="51"/>
  <c r="I107" i="51"/>
  <c r="E286" i="51"/>
  <c r="I94" i="51"/>
  <c r="E98" i="51"/>
  <c r="O202" i="51"/>
  <c r="E81" i="51"/>
  <c r="E83" i="51"/>
  <c r="D75" i="52"/>
  <c r="H63" i="49"/>
  <c r="I330" i="49"/>
  <c r="I120" i="51"/>
  <c r="E124" i="51"/>
  <c r="E109" i="51"/>
  <c r="I105" i="51"/>
  <c r="I102" i="51"/>
  <c r="E104" i="51"/>
  <c r="I87" i="51"/>
  <c r="I73" i="51"/>
  <c r="I65" i="51"/>
  <c r="E257" i="51"/>
  <c r="E72" i="51"/>
  <c r="N72" i="49"/>
  <c r="O68" i="49"/>
  <c r="E13" i="49"/>
  <c r="I13" i="49" s="1"/>
  <c r="L30" i="48"/>
  <c r="D25" i="48"/>
  <c r="D27" i="48" s="1"/>
  <c r="R20" i="48"/>
  <c r="R19" i="48"/>
  <c r="O222" i="51"/>
  <c r="G222" i="51"/>
  <c r="O218" i="51"/>
  <c r="G218" i="51"/>
  <c r="N202" i="51"/>
  <c r="O172" i="51"/>
  <c r="G161" i="51"/>
  <c r="G83" i="51"/>
  <c r="E29" i="51"/>
  <c r="I29" i="51" s="1"/>
  <c r="P22" i="51"/>
  <c r="P28" i="51" s="1"/>
  <c r="M13" i="51"/>
  <c r="K17" i="51"/>
  <c r="L17" i="51" s="1"/>
  <c r="L22" i="51" s="1"/>
  <c r="N17" i="51"/>
  <c r="F112" i="50"/>
  <c r="D109" i="50"/>
  <c r="G109" i="50" s="1"/>
  <c r="D105" i="50"/>
  <c r="H72" i="50"/>
  <c r="N72" i="50"/>
  <c r="H69" i="50"/>
  <c r="N63" i="50"/>
  <c r="D61" i="50"/>
  <c r="D63" i="50" s="1"/>
  <c r="J61" i="50"/>
  <c r="J63" i="50"/>
  <c r="D58" i="50"/>
  <c r="J58" i="50"/>
  <c r="J60" i="50" s="1"/>
  <c r="D49" i="50"/>
  <c r="H51" i="50"/>
  <c r="D43" i="50"/>
  <c r="F43" i="50" s="1"/>
  <c r="J43" i="50"/>
  <c r="N42" i="50"/>
  <c r="D28" i="50"/>
  <c r="P30" i="50"/>
  <c r="H24" i="50"/>
  <c r="J14" i="50"/>
  <c r="J15" i="50" s="1"/>
  <c r="D13" i="50"/>
  <c r="D15" i="50" s="1"/>
  <c r="E15" i="50" s="1"/>
  <c r="G15" i="50" s="1"/>
  <c r="N13" i="50"/>
  <c r="N15" i="50" s="1"/>
  <c r="L15" i="50"/>
  <c r="M15" i="50"/>
  <c r="O15" i="50" s="1"/>
  <c r="E106" i="50"/>
  <c r="Y281" i="53"/>
  <c r="H208" i="53"/>
  <c r="H149" i="53"/>
  <c r="I149" i="53"/>
  <c r="R68" i="50"/>
  <c r="R69" i="50" s="1"/>
  <c r="P63" i="50"/>
  <c r="D56" i="50"/>
  <c r="D57" i="50" s="1"/>
  <c r="J56" i="50"/>
  <c r="H57" i="50"/>
  <c r="D47" i="50"/>
  <c r="D48" i="50" s="1"/>
  <c r="J47" i="50"/>
  <c r="J48" i="50" s="1"/>
  <c r="H48" i="50"/>
  <c r="D107" i="50"/>
  <c r="G107" i="50" s="1"/>
  <c r="D41" i="50"/>
  <c r="R41" i="50"/>
  <c r="D40" i="50"/>
  <c r="R40" i="50"/>
  <c r="J39" i="50"/>
  <c r="H27" i="50"/>
  <c r="D25" i="50"/>
  <c r="J25" i="50"/>
  <c r="J27" i="50"/>
  <c r="D17" i="50"/>
  <c r="F17" i="50" s="1"/>
  <c r="F18" i="50" s="1"/>
  <c r="R17" i="50"/>
  <c r="R18" i="50" s="1"/>
  <c r="P18" i="50"/>
  <c r="D16" i="50"/>
  <c r="N16" i="50"/>
  <c r="N18" i="50" s="1"/>
  <c r="L18" i="50"/>
  <c r="M18" i="50" s="1"/>
  <c r="M21" i="50" s="1"/>
  <c r="H228" i="53"/>
  <c r="H198" i="53"/>
  <c r="H153" i="53"/>
  <c r="I153" i="53" s="1"/>
  <c r="I157" i="53" s="1"/>
  <c r="I161" i="53" s="1"/>
  <c r="I165" i="53" s="1"/>
  <c r="E12" i="53"/>
  <c r="F12" i="53" s="1"/>
  <c r="J12" i="53" s="1"/>
  <c r="F54" i="52"/>
  <c r="S12" i="52"/>
  <c r="T12" i="52" s="1"/>
  <c r="Q15" i="52"/>
  <c r="S15" i="52" s="1"/>
  <c r="F63" i="54"/>
  <c r="F25" i="54"/>
  <c r="F16" i="54"/>
  <c r="F18" i="54" s="1"/>
  <c r="D18" i="54"/>
  <c r="D65" i="52"/>
  <c r="F65" i="52"/>
  <c r="P51" i="52"/>
  <c r="L51" i="52"/>
  <c r="D50" i="52"/>
  <c r="F50" i="52" s="1"/>
  <c r="R49" i="52"/>
  <c r="J44" i="52"/>
  <c r="J45" i="52" s="1"/>
  <c r="D37" i="52"/>
  <c r="F37" i="52" s="1"/>
  <c r="F39" i="52" s="1"/>
  <c r="J17" i="52"/>
  <c r="F49" i="54"/>
  <c r="F46" i="54"/>
  <c r="F48" i="54" s="1"/>
  <c r="D48" i="54"/>
  <c r="I66" i="54"/>
  <c r="D63" i="54"/>
  <c r="Q60" i="54"/>
  <c r="I54" i="54"/>
  <c r="S49" i="54"/>
  <c r="S51" i="54"/>
  <c r="K46" i="54"/>
  <c r="K48" i="54"/>
  <c r="Q45" i="54"/>
  <c r="S43" i="54"/>
  <c r="S45" i="54" s="1"/>
  <c r="K40" i="54"/>
  <c r="I39" i="54"/>
  <c r="K38" i="54"/>
  <c r="I27" i="54"/>
  <c r="Q18" i="54"/>
  <c r="K11" i="54"/>
  <c r="O10" i="54"/>
  <c r="O12" i="54"/>
  <c r="F13" i="50"/>
  <c r="F15" i="50" s="1"/>
  <c r="I81" i="51"/>
  <c r="F16" i="50"/>
  <c r="F49" i="50"/>
  <c r="F58" i="50"/>
  <c r="D39" i="52"/>
  <c r="D21" i="52"/>
  <c r="H73" i="49"/>
  <c r="G76" i="49"/>
  <c r="F328" i="49"/>
  <c r="M328" i="49"/>
  <c r="G328" i="49"/>
  <c r="F329" i="49"/>
  <c r="M329" i="49" s="1"/>
  <c r="G332" i="49"/>
  <c r="J16" i="48"/>
  <c r="J18" i="48"/>
  <c r="D16" i="48"/>
  <c r="H18" i="48"/>
  <c r="I18" i="48" s="1"/>
  <c r="R14" i="48"/>
  <c r="R15" i="48" s="1"/>
  <c r="P15" i="48"/>
  <c r="Q15" i="48" s="1"/>
  <c r="S15" i="48"/>
  <c r="F40" i="50"/>
  <c r="F70" i="52"/>
  <c r="H253" i="49"/>
  <c r="H248" i="49"/>
  <c r="H247" i="49"/>
  <c r="I18" i="51"/>
  <c r="E22" i="51"/>
  <c r="I293" i="51"/>
  <c r="E91" i="51"/>
  <c r="E288" i="51" s="1"/>
  <c r="I317" i="51"/>
  <c r="O179" i="51"/>
  <c r="H319" i="51"/>
  <c r="N186" i="51"/>
  <c r="E50" i="51"/>
  <c r="I313" i="51"/>
  <c r="E23" i="51"/>
  <c r="O155" i="51"/>
  <c r="D65" i="50"/>
  <c r="F65" i="50" s="1"/>
  <c r="P66" i="50"/>
  <c r="F105" i="50"/>
  <c r="E108" i="50"/>
  <c r="N20" i="50"/>
  <c r="D20" i="50"/>
  <c r="F20" i="50" s="1"/>
  <c r="H187" i="53"/>
  <c r="H173" i="53"/>
  <c r="E75" i="53"/>
  <c r="E300" i="53" s="1"/>
  <c r="I44" i="53"/>
  <c r="E289" i="53"/>
  <c r="I10" i="53"/>
  <c r="D24" i="52"/>
  <c r="F23" i="52"/>
  <c r="F24" i="52" s="1"/>
  <c r="E315" i="53"/>
  <c r="D75" i="50"/>
  <c r="F323" i="49"/>
  <c r="M323" i="49"/>
  <c r="H71" i="49"/>
  <c r="H72" i="49" s="1"/>
  <c r="F330" i="49"/>
  <c r="M330" i="49" s="1"/>
  <c r="G72" i="49"/>
  <c r="I26" i="49"/>
  <c r="I321" i="49"/>
  <c r="O63" i="49"/>
  <c r="E18" i="49"/>
  <c r="O59" i="49"/>
  <c r="M15" i="49"/>
  <c r="K17" i="49"/>
  <c r="L17" i="49" s="1"/>
  <c r="G290" i="49"/>
  <c r="F78" i="48"/>
  <c r="G74" i="48"/>
  <c r="P18" i="48"/>
  <c r="Q18" i="48" s="1"/>
  <c r="S18" i="48" s="1"/>
  <c r="D17" i="48"/>
  <c r="F17" i="48" s="1"/>
  <c r="R17" i="48"/>
  <c r="R18" i="48" s="1"/>
  <c r="N18" i="48"/>
  <c r="N48" i="50"/>
  <c r="D44" i="50"/>
  <c r="D111" i="50"/>
  <c r="H45" i="50"/>
  <c r="H241" i="49"/>
  <c r="H56" i="49"/>
  <c r="G329" i="49"/>
  <c r="E15" i="49"/>
  <c r="I329" i="49"/>
  <c r="D29" i="48"/>
  <c r="D30" i="48" s="1"/>
  <c r="H30" i="48"/>
  <c r="E31" i="51"/>
  <c r="I31" i="51" s="1"/>
  <c r="I315" i="51"/>
  <c r="O161" i="51"/>
  <c r="I20" i="51"/>
  <c r="O150" i="51"/>
  <c r="P69" i="50"/>
  <c r="D68" i="50"/>
  <c r="F68" i="50" s="1"/>
  <c r="F69" i="50" s="1"/>
  <c r="D64" i="50"/>
  <c r="J64" i="50"/>
  <c r="J66" i="50"/>
  <c r="P24" i="50"/>
  <c r="R22" i="50"/>
  <c r="R24" i="50" s="1"/>
  <c r="D22" i="50"/>
  <c r="D24" i="50" s="1"/>
  <c r="F108" i="50"/>
  <c r="J16" i="50"/>
  <c r="J18" i="50" s="1"/>
  <c r="H18" i="50"/>
  <c r="D106" i="50"/>
  <c r="H213" i="53"/>
  <c r="E114" i="53"/>
  <c r="I47" i="53"/>
  <c r="E51" i="53"/>
  <c r="E282" i="53"/>
  <c r="I13" i="53"/>
  <c r="H233" i="49"/>
  <c r="G325" i="49"/>
  <c r="F326" i="49"/>
  <c r="M326" i="49" s="1"/>
  <c r="F332" i="49"/>
  <c r="M332" i="49" s="1"/>
  <c r="G322" i="49"/>
  <c r="G323" i="49"/>
  <c r="S323" i="49"/>
  <c r="F324" i="49"/>
  <c r="M324" i="49"/>
  <c r="F327" i="49"/>
  <c r="M327" i="49"/>
  <c r="G59" i="49"/>
  <c r="H52" i="49"/>
  <c r="G321" i="49" s="1"/>
  <c r="S321" i="49" s="1"/>
  <c r="S333" i="49" s="1"/>
  <c r="F335" i="49"/>
  <c r="O55" i="49"/>
  <c r="P55" i="49" s="1"/>
  <c r="P59" i="49" s="1"/>
  <c r="I332" i="49"/>
  <c r="S332" i="49" s="1"/>
  <c r="H234" i="51"/>
  <c r="H199" i="51"/>
  <c r="H202" i="51" s="1"/>
  <c r="G202" i="51"/>
  <c r="D50" i="50"/>
  <c r="D51" i="50" s="1"/>
  <c r="J50" i="50"/>
  <c r="J51" i="50" s="1"/>
  <c r="D32" i="50"/>
  <c r="F32" i="50" s="1"/>
  <c r="D110" i="50"/>
  <c r="H271" i="49"/>
  <c r="H251" i="49"/>
  <c r="H250" i="49"/>
  <c r="R30" i="48"/>
  <c r="D23" i="48"/>
  <c r="F23" i="48" s="1"/>
  <c r="F24" i="48" s="1"/>
  <c r="H24" i="48"/>
  <c r="T12" i="48"/>
  <c r="F293" i="51"/>
  <c r="F314" i="51"/>
  <c r="H191" i="51"/>
  <c r="H194" i="51" s="1"/>
  <c r="G194" i="51"/>
  <c r="G186" i="51"/>
  <c r="H172" i="51"/>
  <c r="G150" i="51"/>
  <c r="M60" i="51"/>
  <c r="G265" i="51"/>
  <c r="G293" i="51"/>
  <c r="M57" i="51"/>
  <c r="K63" i="51"/>
  <c r="O145" i="51"/>
  <c r="E15" i="51"/>
  <c r="I15" i="51" s="1"/>
  <c r="N146" i="51"/>
  <c r="J115" i="50"/>
  <c r="J116" i="50"/>
  <c r="J40" i="50"/>
  <c r="J42" i="50" s="1"/>
  <c r="H42" i="50"/>
  <c r="D113" i="50"/>
  <c r="G113" i="50" s="1"/>
  <c r="J28" i="50"/>
  <c r="J30" i="50"/>
  <c r="H213" i="51"/>
  <c r="G317" i="51" s="1"/>
  <c r="G214" i="51"/>
  <c r="H184" i="51"/>
  <c r="F319" i="51"/>
  <c r="E133" i="51"/>
  <c r="O238" i="51"/>
  <c r="E76" i="51"/>
  <c r="E265" i="51" s="1"/>
  <c r="O198" i="51"/>
  <c r="R63" i="50"/>
  <c r="D31" i="50"/>
  <c r="F31" i="50" s="1"/>
  <c r="J31" i="50"/>
  <c r="J33" i="50"/>
  <c r="H33" i="50"/>
  <c r="R25" i="50"/>
  <c r="R27" i="50" s="1"/>
  <c r="P27" i="50"/>
  <c r="F114" i="50"/>
  <c r="D19" i="48"/>
  <c r="V259" i="51"/>
  <c r="R253" i="51"/>
  <c r="G238" i="51"/>
  <c r="H222" i="51"/>
  <c r="H167" i="51"/>
  <c r="O143" i="51"/>
  <c r="E13" i="51" s="1"/>
  <c r="H316" i="51"/>
  <c r="N59" i="50"/>
  <c r="N60" i="50" s="1"/>
  <c r="L60" i="50"/>
  <c r="D38" i="50"/>
  <c r="D39" i="50" s="1"/>
  <c r="F111" i="50"/>
  <c r="N29" i="50"/>
  <c r="E110" i="50"/>
  <c r="E116" i="50" s="1"/>
  <c r="N21" i="50"/>
  <c r="H15" i="50"/>
  <c r="I15" i="50"/>
  <c r="K15" i="50" s="1"/>
  <c r="T15" i="50"/>
  <c r="D14" i="48"/>
  <c r="F14" i="48" s="1"/>
  <c r="F15" i="48" s="1"/>
  <c r="F313" i="51"/>
  <c r="G314" i="51"/>
  <c r="F318" i="51"/>
  <c r="F322" i="51"/>
  <c r="H218" i="51"/>
  <c r="H186" i="51"/>
  <c r="G98" i="51"/>
  <c r="Q96" i="51"/>
  <c r="O178" i="51"/>
  <c r="P54" i="50"/>
  <c r="R52" i="50"/>
  <c r="R54" i="50" s="1"/>
  <c r="D35" i="50"/>
  <c r="F35" i="50" s="1"/>
  <c r="F36" i="50" s="1"/>
  <c r="J35" i="50"/>
  <c r="J36" i="50" s="1"/>
  <c r="D112" i="50"/>
  <c r="G112" i="50" s="1"/>
  <c r="N27" i="50"/>
  <c r="R48" i="50"/>
  <c r="N30" i="50"/>
  <c r="D19" i="50"/>
  <c r="D21" i="50" s="1"/>
  <c r="H218" i="53"/>
  <c r="E313" i="53"/>
  <c r="I63" i="53"/>
  <c r="E319" i="53"/>
  <c r="I30" i="53"/>
  <c r="D59" i="50"/>
  <c r="F59" i="50" s="1"/>
  <c r="F60" i="50" s="1"/>
  <c r="F106" i="50"/>
  <c r="G106" i="50" s="1"/>
  <c r="J19" i="50"/>
  <c r="J21" i="50" s="1"/>
  <c r="M348" i="53"/>
  <c r="G238" i="53"/>
  <c r="G218" i="53"/>
  <c r="G213" i="53"/>
  <c r="G208" i="53"/>
  <c r="N198" i="53"/>
  <c r="G193" i="53"/>
  <c r="G177" i="53"/>
  <c r="O187" i="53"/>
  <c r="J68" i="52"/>
  <c r="J69" i="52"/>
  <c r="H69" i="52"/>
  <c r="D13" i="52"/>
  <c r="D120" i="52"/>
  <c r="G120" i="52" s="1"/>
  <c r="K120" i="52" s="1"/>
  <c r="O182" i="53"/>
  <c r="H180" i="53"/>
  <c r="H182" i="53"/>
  <c r="G165" i="53"/>
  <c r="O149" i="53"/>
  <c r="O145" i="53"/>
  <c r="P145" i="53"/>
  <c r="O231" i="53"/>
  <c r="O233" i="53"/>
  <c r="E93" i="53"/>
  <c r="G29" i="53"/>
  <c r="H29" i="53" s="1"/>
  <c r="R29" i="53" s="1"/>
  <c r="F112" i="52"/>
  <c r="L72" i="52"/>
  <c r="N70" i="52"/>
  <c r="N72" i="52" s="1"/>
  <c r="L54" i="52"/>
  <c r="F116" i="52"/>
  <c r="J49" i="52"/>
  <c r="J51" i="52" s="1"/>
  <c r="N33" i="52"/>
  <c r="R15" i="52"/>
  <c r="D107" i="52"/>
  <c r="G107" i="52" s="1"/>
  <c r="K107" i="52" s="1"/>
  <c r="R65" i="52"/>
  <c r="R66" i="52" s="1"/>
  <c r="P66" i="52"/>
  <c r="N42" i="52"/>
  <c r="D113" i="52"/>
  <c r="G113" i="52" s="1"/>
  <c r="K113" i="52" s="1"/>
  <c r="N15" i="52"/>
  <c r="F353" i="53"/>
  <c r="N203" i="53"/>
  <c r="O102" i="53"/>
  <c r="F109" i="52"/>
  <c r="R50" i="52"/>
  <c r="R51" i="52"/>
  <c r="H45" i="52"/>
  <c r="H39" i="52"/>
  <c r="J32" i="52"/>
  <c r="D28" i="52"/>
  <c r="F28" i="52" s="1"/>
  <c r="F30" i="52" s="1"/>
  <c r="J19" i="52"/>
  <c r="J21" i="52" s="1"/>
  <c r="J13" i="52"/>
  <c r="J15" i="52" s="1"/>
  <c r="K16" i="54"/>
  <c r="K18" i="54" s="1"/>
  <c r="K10" i="54"/>
  <c r="K12" i="54" s="1"/>
  <c r="K58" i="54"/>
  <c r="K60" i="54" s="1"/>
  <c r="I12" i="54"/>
  <c r="J12" i="54" s="1"/>
  <c r="L12" i="54"/>
  <c r="M45" i="54"/>
  <c r="E118" i="53"/>
  <c r="I118" i="53" s="1"/>
  <c r="I133" i="51"/>
  <c r="E135" i="51"/>
  <c r="E255" i="51"/>
  <c r="D24" i="48"/>
  <c r="F19" i="48"/>
  <c r="F29" i="48"/>
  <c r="F30" i="48" s="1"/>
  <c r="E33" i="51"/>
  <c r="D18" i="48"/>
  <c r="F16" i="48"/>
  <c r="F18" i="48"/>
  <c r="H34" i="53"/>
  <c r="H41" i="53" s="1"/>
  <c r="H46" i="53" s="1"/>
  <c r="H51" i="53" s="1"/>
  <c r="H56" i="53" s="1"/>
  <c r="D36" i="50"/>
  <c r="H320" i="51"/>
  <c r="E78" i="51"/>
  <c r="M319" i="51"/>
  <c r="I349" i="53"/>
  <c r="I353" i="53" s="1"/>
  <c r="E52" i="51"/>
  <c r="O186" i="51"/>
  <c r="I319" i="51"/>
  <c r="H55" i="49"/>
  <c r="I55" i="49" s="1"/>
  <c r="I59" i="49" s="1"/>
  <c r="I63" i="49" s="1"/>
  <c r="I68" i="49" s="1"/>
  <c r="D60" i="50"/>
  <c r="F50" i="50"/>
  <c r="F51" i="50" s="1"/>
  <c r="F22" i="50"/>
  <c r="F24" i="50"/>
  <c r="D66" i="50"/>
  <c r="F64" i="50"/>
  <c r="F66" i="50" s="1"/>
  <c r="I333" i="49"/>
  <c r="D30" i="52"/>
  <c r="I93" i="53"/>
  <c r="E317" i="53"/>
  <c r="E97" i="53"/>
  <c r="I316" i="51"/>
  <c r="I320" i="51" s="1"/>
  <c r="F33" i="50"/>
  <c r="I15" i="49"/>
  <c r="H59" i="49"/>
  <c r="G331" i="49"/>
  <c r="I18" i="49"/>
  <c r="E22" i="49"/>
  <c r="E80" i="53"/>
  <c r="I75" i="53"/>
  <c r="G346" i="53"/>
  <c r="I50" i="51"/>
  <c r="E51" i="51"/>
  <c r="E272" i="51"/>
  <c r="D15" i="48"/>
  <c r="E15" i="48" s="1"/>
  <c r="G15" i="48" s="1"/>
  <c r="T15" i="48" s="1"/>
  <c r="F44" i="50"/>
  <c r="F45" i="50" s="1"/>
  <c r="D45" i="50"/>
  <c r="L22" i="49"/>
  <c r="L28" i="49" s="1"/>
  <c r="L33" i="49" s="1"/>
  <c r="L39" i="49" s="1"/>
  <c r="I91" i="51"/>
  <c r="E93" i="51"/>
  <c r="I21" i="48"/>
  <c r="K18" i="48"/>
  <c r="E17" i="49"/>
  <c r="F17" i="49"/>
  <c r="G105" i="50"/>
  <c r="S346" i="53"/>
  <c r="S353" i="53" s="1"/>
  <c r="I52" i="51"/>
  <c r="E290" i="51" l="1"/>
  <c r="E17" i="51"/>
  <c r="F17" i="51" s="1"/>
  <c r="N46" i="53"/>
  <c r="L51" i="53"/>
  <c r="L56" i="53" s="1"/>
  <c r="N56" i="53" s="1"/>
  <c r="P51" i="53"/>
  <c r="P56" i="53" s="1"/>
  <c r="R46" i="53"/>
  <c r="M24" i="50"/>
  <c r="O21" i="50"/>
  <c r="M321" i="49"/>
  <c r="G319" i="51"/>
  <c r="F61" i="50"/>
  <c r="F63" i="50" s="1"/>
  <c r="R24" i="53"/>
  <c r="H333" i="49"/>
  <c r="H261" i="49"/>
  <c r="P63" i="49"/>
  <c r="P68" i="49" s="1"/>
  <c r="P72" i="49" s="1"/>
  <c r="P76" i="49" s="1"/>
  <c r="E74" i="53"/>
  <c r="E321" i="53"/>
  <c r="D60" i="52"/>
  <c r="I40" i="49"/>
  <c r="K42" i="54"/>
  <c r="D18" i="50"/>
  <c r="F16" i="52"/>
  <c r="F18" i="52" s="1"/>
  <c r="F57" i="52"/>
  <c r="F75" i="50"/>
  <c r="F38" i="50"/>
  <c r="F39" i="50" s="1"/>
  <c r="O146" i="51"/>
  <c r="P146" i="51" s="1"/>
  <c r="P150" i="51" s="1"/>
  <c r="P155" i="51" s="1"/>
  <c r="P161" i="51" s="1"/>
  <c r="D69" i="50"/>
  <c r="I76" i="51"/>
  <c r="F19" i="50"/>
  <c r="F21" i="50" s="1"/>
  <c r="H214" i="51"/>
  <c r="I23" i="51"/>
  <c r="J15" i="54"/>
  <c r="F116" i="50"/>
  <c r="I18" i="50"/>
  <c r="G301" i="49"/>
  <c r="F47" i="50"/>
  <c r="F48" i="50" s="1"/>
  <c r="R22" i="51"/>
  <c r="I127" i="53"/>
  <c r="F25" i="48"/>
  <c r="F27" i="48" s="1"/>
  <c r="J45" i="50"/>
  <c r="F61" i="52"/>
  <c r="F63" i="52" s="1"/>
  <c r="F325" i="49"/>
  <c r="M325" i="49" s="1"/>
  <c r="F331" i="49"/>
  <c r="M331" i="49" s="1"/>
  <c r="G327" i="49"/>
  <c r="J20" i="48"/>
  <c r="J21" i="48" s="1"/>
  <c r="G226" i="51"/>
  <c r="G210" i="51"/>
  <c r="H173" i="51"/>
  <c r="H178" i="51" s="1"/>
  <c r="G178" i="51"/>
  <c r="H143" i="51"/>
  <c r="F316" i="51"/>
  <c r="F320" i="51" s="1"/>
  <c r="N69" i="50"/>
  <c r="R57" i="50"/>
  <c r="R235" i="49"/>
  <c r="S235" i="49" s="1"/>
  <c r="T235" i="49" s="1"/>
  <c r="F322" i="49"/>
  <c r="F333" i="49" s="1"/>
  <c r="D78" i="48"/>
  <c r="R27" i="48"/>
  <c r="D20" i="48"/>
  <c r="R251" i="51"/>
  <c r="S253" i="51" s="1"/>
  <c r="T253" i="51" s="1"/>
  <c r="G315" i="51"/>
  <c r="O226" i="51"/>
  <c r="M76" i="51"/>
  <c r="K78" i="51"/>
  <c r="H22" i="51"/>
  <c r="H28" i="51" s="1"/>
  <c r="H33" i="51" s="1"/>
  <c r="H39" i="51" s="1"/>
  <c r="H44" i="51" s="1"/>
  <c r="H51" i="51" s="1"/>
  <c r="H56" i="51" s="1"/>
  <c r="H63" i="51" s="1"/>
  <c r="N57" i="50"/>
  <c r="Q18" i="50"/>
  <c r="S18" i="50" s="1"/>
  <c r="R42" i="50"/>
  <c r="R21" i="48"/>
  <c r="E39" i="49"/>
  <c r="F21" i="52"/>
  <c r="J57" i="50"/>
  <c r="G324" i="49"/>
  <c r="S324" i="49" s="1"/>
  <c r="F295" i="49"/>
  <c r="F301" i="49" s="1"/>
  <c r="E23" i="49"/>
  <c r="H17" i="49"/>
  <c r="H22" i="49" s="1"/>
  <c r="H28" i="49" s="1"/>
  <c r="H33" i="49" s="1"/>
  <c r="H39" i="49" s="1"/>
  <c r="E78" i="48"/>
  <c r="G75" i="48"/>
  <c r="J77" i="48"/>
  <c r="J78" i="48" s="1"/>
  <c r="H27" i="48"/>
  <c r="P21" i="48"/>
  <c r="Q21" i="48" s="1"/>
  <c r="N15" i="48"/>
  <c r="F317" i="51"/>
  <c r="G172" i="51"/>
  <c r="N167" i="51"/>
  <c r="G146" i="51"/>
  <c r="R50" i="50"/>
  <c r="R51" i="50" s="1"/>
  <c r="P51" i="50"/>
  <c r="N36" i="50"/>
  <c r="D114" i="50"/>
  <c r="G114" i="50" s="1"/>
  <c r="I25" i="53"/>
  <c r="E29" i="53"/>
  <c r="F326" i="53"/>
  <c r="D34" i="52"/>
  <c r="J28" i="52"/>
  <c r="J30" i="52" s="1"/>
  <c r="Q21" i="54"/>
  <c r="E25" i="51"/>
  <c r="R17" i="51"/>
  <c r="N75" i="50"/>
  <c r="J72" i="50"/>
  <c r="J69" i="50"/>
  <c r="D52" i="50"/>
  <c r="N39" i="50"/>
  <c r="D29" i="50"/>
  <c r="F29" i="50" s="1"/>
  <c r="H353" i="53"/>
  <c r="G326" i="53"/>
  <c r="G223" i="53"/>
  <c r="G182" i="53"/>
  <c r="O213" i="53"/>
  <c r="M32" i="53"/>
  <c r="N12" i="53"/>
  <c r="G122" i="52"/>
  <c r="K122" i="52" s="1"/>
  <c r="J73" i="52"/>
  <c r="J75" i="52" s="1"/>
  <c r="P60" i="52"/>
  <c r="J59" i="52"/>
  <c r="J60" i="52" s="1"/>
  <c r="J52" i="52"/>
  <c r="J54" i="52" s="1"/>
  <c r="D49" i="52"/>
  <c r="R33" i="52"/>
  <c r="K68" i="54"/>
  <c r="K69" i="54" s="1"/>
  <c r="D26" i="54"/>
  <c r="G203" i="53"/>
  <c r="G173" i="53"/>
  <c r="G169" i="53"/>
  <c r="G149" i="53"/>
  <c r="K92" i="53"/>
  <c r="R72" i="52"/>
  <c r="K65" i="54"/>
  <c r="K66" i="54" s="1"/>
  <c r="D58" i="54"/>
  <c r="I45" i="54"/>
  <c r="K35" i="54"/>
  <c r="K36" i="54" s="1"/>
  <c r="K30" i="54"/>
  <c r="H231" i="53"/>
  <c r="G228" i="53"/>
  <c r="H169" i="53"/>
  <c r="I169" i="53" s="1"/>
  <c r="I173" i="53" s="1"/>
  <c r="I177" i="53" s="1"/>
  <c r="I182" i="53" s="1"/>
  <c r="I187" i="53" s="1"/>
  <c r="H75" i="52"/>
  <c r="R63" i="52"/>
  <c r="N39" i="52"/>
  <c r="N30" i="52"/>
  <c r="I63" i="54"/>
  <c r="D59" i="54"/>
  <c r="F59" i="54" s="1"/>
  <c r="K57" i="54"/>
  <c r="K54" i="54"/>
  <c r="D43" i="54"/>
  <c r="D23" i="54"/>
  <c r="D19" i="54"/>
  <c r="H64" i="51"/>
  <c r="L62" i="53"/>
  <c r="N51" i="53"/>
  <c r="F22" i="49"/>
  <c r="E120" i="53"/>
  <c r="E323" i="53"/>
  <c r="E326" i="53" s="1"/>
  <c r="H62" i="53"/>
  <c r="N41" i="53"/>
  <c r="I13" i="51"/>
  <c r="R41" i="53"/>
  <c r="N34" i="53"/>
  <c r="K21" i="48"/>
  <c r="I24" i="48"/>
  <c r="L44" i="49"/>
  <c r="N39" i="49"/>
  <c r="G111" i="50"/>
  <c r="R34" i="53"/>
  <c r="R51" i="53"/>
  <c r="L15" i="54"/>
  <c r="J18" i="54"/>
  <c r="N29" i="53"/>
  <c r="P149" i="53"/>
  <c r="P153" i="53" s="1"/>
  <c r="P157" i="53" s="1"/>
  <c r="P161" i="53" s="1"/>
  <c r="P165" i="53" s="1"/>
  <c r="P169" i="53" s="1"/>
  <c r="P173" i="53" s="1"/>
  <c r="P177" i="53" s="1"/>
  <c r="P182" i="53" s="1"/>
  <c r="P187" i="53" s="1"/>
  <c r="P193" i="53" s="1"/>
  <c r="P198" i="53" s="1"/>
  <c r="P203" i="53" s="1"/>
  <c r="P208" i="53" s="1"/>
  <c r="P213" i="53" s="1"/>
  <c r="P218" i="53" s="1"/>
  <c r="P223" i="53" s="1"/>
  <c r="P228" i="53" s="1"/>
  <c r="P233" i="53" s="1"/>
  <c r="P238" i="53" s="1"/>
  <c r="P244" i="53" s="1"/>
  <c r="H355" i="53" s="1"/>
  <c r="D15" i="52"/>
  <c r="E15" i="52" s="1"/>
  <c r="F13" i="52"/>
  <c r="F15" i="52" s="1"/>
  <c r="G110" i="50"/>
  <c r="I72" i="49"/>
  <c r="E18" i="48"/>
  <c r="M313" i="51"/>
  <c r="S313" i="51"/>
  <c r="S320" i="51" s="1"/>
  <c r="K18" i="50"/>
  <c r="I21" i="50"/>
  <c r="D33" i="50"/>
  <c r="O18" i="50"/>
  <c r="G330" i="49"/>
  <c r="G333" i="49" s="1"/>
  <c r="E18" i="50"/>
  <c r="Q18" i="52"/>
  <c r="H76" i="49"/>
  <c r="F56" i="50"/>
  <c r="F57" i="50" s="1"/>
  <c r="F25" i="50"/>
  <c r="F27" i="50" s="1"/>
  <c r="D27" i="50"/>
  <c r="F41" i="50"/>
  <c r="F42" i="50" s="1"/>
  <c r="D42" i="50"/>
  <c r="D30" i="50"/>
  <c r="F28" i="50"/>
  <c r="F30" i="50" s="1"/>
  <c r="F18" i="53"/>
  <c r="F24" i="53" s="1"/>
  <c r="J18" i="52"/>
  <c r="Y232" i="49"/>
  <c r="N22" i="51"/>
  <c r="L28" i="51"/>
  <c r="P33" i="51"/>
  <c r="R28" i="51"/>
  <c r="I18" i="52"/>
  <c r="K15" i="52"/>
  <c r="M21" i="52"/>
  <c r="O18" i="52"/>
  <c r="F48" i="52"/>
  <c r="F75" i="52"/>
  <c r="J18" i="53"/>
  <c r="N24" i="53"/>
  <c r="D66" i="52"/>
  <c r="D48" i="52"/>
  <c r="G112" i="52"/>
  <c r="K112" i="52" s="1"/>
  <c r="M40" i="49"/>
  <c r="G44" i="49"/>
  <c r="H44" i="49" s="1"/>
  <c r="E31" i="49"/>
  <c r="E292" i="49"/>
  <c r="P17" i="49"/>
  <c r="R24" i="48"/>
  <c r="H210" i="51"/>
  <c r="E55" i="51"/>
  <c r="Q21" i="50"/>
  <c r="H238" i="53"/>
  <c r="G109" i="52"/>
  <c r="K109" i="52" s="1"/>
  <c r="G108" i="52"/>
  <c r="K108" i="52" s="1"/>
  <c r="M18" i="48"/>
  <c r="O167" i="51"/>
  <c r="P167" i="51" s="1"/>
  <c r="P172" i="51" s="1"/>
  <c r="P178" i="51" s="1"/>
  <c r="P186" i="51" s="1"/>
  <c r="P190" i="51" s="1"/>
  <c r="P194" i="51" s="1"/>
  <c r="P198" i="51" s="1"/>
  <c r="P202" i="51" s="1"/>
  <c r="P206" i="51" s="1"/>
  <c r="P210" i="51" s="1"/>
  <c r="P214" i="51" s="1"/>
  <c r="P218" i="51" s="1"/>
  <c r="P222" i="51" s="1"/>
  <c r="P226" i="51" s="1"/>
  <c r="P230" i="51" s="1"/>
  <c r="E34" i="51"/>
  <c r="H203" i="53"/>
  <c r="H193" i="53"/>
  <c r="G234" i="51"/>
  <c r="H30" i="50"/>
  <c r="G244" i="53"/>
  <c r="G116" i="52"/>
  <c r="K116" i="52" s="1"/>
  <c r="P27" i="48"/>
  <c r="J13" i="48"/>
  <c r="J15" i="48" s="1"/>
  <c r="O234" i="51"/>
  <c r="D108" i="50"/>
  <c r="E138" i="53"/>
  <c r="M109" i="53"/>
  <c r="K114" i="53"/>
  <c r="M95" i="53"/>
  <c r="O92" i="53"/>
  <c r="G118" i="52"/>
  <c r="K118" i="52" s="1"/>
  <c r="G115" i="52"/>
  <c r="K115" i="52" s="1"/>
  <c r="G114" i="52"/>
  <c r="K114" i="52" s="1"/>
  <c r="G111" i="52"/>
  <c r="K111" i="52" s="1"/>
  <c r="P72" i="52"/>
  <c r="J71" i="52"/>
  <c r="J72" i="52" s="1"/>
  <c r="D71" i="52"/>
  <c r="J55" i="52"/>
  <c r="J57" i="52" s="1"/>
  <c r="P54" i="52"/>
  <c r="R53" i="52"/>
  <c r="F110" i="52"/>
  <c r="F124" i="52" s="1"/>
  <c r="P45" i="52"/>
  <c r="R37" i="52"/>
  <c r="R39" i="52" s="1"/>
  <c r="P39" i="52"/>
  <c r="J31" i="52"/>
  <c r="J33" i="52" s="1"/>
  <c r="D31" i="52"/>
  <c r="K24" i="54"/>
  <c r="S12" i="54"/>
  <c r="G119" i="52"/>
  <c r="K119" i="52" s="1"/>
  <c r="G117" i="52"/>
  <c r="K117" i="52" s="1"/>
  <c r="R54" i="52"/>
  <c r="G110" i="52"/>
  <c r="K110" i="52" s="1"/>
  <c r="D41" i="52"/>
  <c r="F41" i="52" s="1"/>
  <c r="F42" i="52" s="1"/>
  <c r="J41" i="52"/>
  <c r="J42" i="52" s="1"/>
  <c r="R24" i="52"/>
  <c r="J22" i="52"/>
  <c r="J24" i="52" s="1"/>
  <c r="F10" i="52"/>
  <c r="F12" i="52" s="1"/>
  <c r="D50" i="54"/>
  <c r="K26" i="54"/>
  <c r="K27" i="54" s="1"/>
  <c r="I24" i="54"/>
  <c r="K23" i="54"/>
  <c r="Q12" i="54"/>
  <c r="R12" i="54" s="1"/>
  <c r="M12" i="54"/>
  <c r="N12" i="54" s="1"/>
  <c r="D11" i="54"/>
  <c r="G115" i="54"/>
  <c r="H115" i="54" s="1"/>
  <c r="G112" i="54"/>
  <c r="H112" i="54" s="1"/>
  <c r="G116" i="54"/>
  <c r="H116" i="54" s="1"/>
  <c r="E120" i="54"/>
  <c r="G117" i="54"/>
  <c r="H117" i="54" s="1"/>
  <c r="G114" i="54"/>
  <c r="H114" i="54" s="1"/>
  <c r="G118" i="54"/>
  <c r="H118" i="54" s="1"/>
  <c r="F120" i="54"/>
  <c r="G111" i="54"/>
  <c r="H111" i="54" s="1"/>
  <c r="G113" i="54"/>
  <c r="H113" i="54" s="1"/>
  <c r="D120" i="54"/>
  <c r="D124" i="52"/>
  <c r="I193" i="53" l="1"/>
  <c r="I198" i="53" s="1"/>
  <c r="F43" i="54"/>
  <c r="F45" i="54" s="1"/>
  <c r="D45" i="54"/>
  <c r="F26" i="54"/>
  <c r="F27" i="54" s="1"/>
  <c r="D27" i="54"/>
  <c r="F20" i="48"/>
  <c r="F21" i="48" s="1"/>
  <c r="D21" i="48"/>
  <c r="H146" i="51"/>
  <c r="I146" i="51" s="1"/>
  <c r="I150" i="51" s="1"/>
  <c r="I155" i="51" s="1"/>
  <c r="I161" i="51" s="1"/>
  <c r="I167" i="51" s="1"/>
  <c r="I172" i="51" s="1"/>
  <c r="I178" i="51" s="1"/>
  <c r="I186" i="51" s="1"/>
  <c r="I190" i="51" s="1"/>
  <c r="I194" i="51" s="1"/>
  <c r="I198" i="51" s="1"/>
  <c r="I202" i="51" s="1"/>
  <c r="I206" i="51" s="1"/>
  <c r="G316" i="51"/>
  <c r="G320" i="51" s="1"/>
  <c r="M316" i="51"/>
  <c r="P62" i="53"/>
  <c r="R56" i="53"/>
  <c r="N44" i="49"/>
  <c r="M27" i="50"/>
  <c r="O24" i="50"/>
  <c r="I23" i="49"/>
  <c r="E28" i="49"/>
  <c r="E290" i="49"/>
  <c r="N22" i="49"/>
  <c r="J17" i="49"/>
  <c r="I76" i="49"/>
  <c r="D21" i="54"/>
  <c r="F19" i="54"/>
  <c r="F21" i="54" s="1"/>
  <c r="D54" i="50"/>
  <c r="F52" i="50"/>
  <c r="F54" i="50" s="1"/>
  <c r="F34" i="52"/>
  <c r="F36" i="52" s="1"/>
  <c r="D36" i="52"/>
  <c r="N33" i="49"/>
  <c r="N28" i="49"/>
  <c r="J17" i="51"/>
  <c r="F22" i="51"/>
  <c r="J22" i="51" s="1"/>
  <c r="I203" i="53"/>
  <c r="I208" i="53" s="1"/>
  <c r="I213" i="53" s="1"/>
  <c r="I218" i="53" s="1"/>
  <c r="I223" i="53" s="1"/>
  <c r="I228" i="53" s="1"/>
  <c r="I233" i="53" s="1"/>
  <c r="F23" i="54"/>
  <c r="F24" i="54" s="1"/>
  <c r="D24" i="54"/>
  <c r="H233" i="53"/>
  <c r="G349" i="53"/>
  <c r="D60" i="54"/>
  <c r="F58" i="54"/>
  <c r="F60" i="54" s="1"/>
  <c r="F49" i="52"/>
  <c r="F51" i="52" s="1"/>
  <c r="D51" i="52"/>
  <c r="I25" i="51"/>
  <c r="E28" i="51"/>
  <c r="F28" i="51" s="1"/>
  <c r="J28" i="51" s="1"/>
  <c r="F328" i="53"/>
  <c r="G348" i="53"/>
  <c r="G352" i="53"/>
  <c r="G347" i="53"/>
  <c r="G351" i="53"/>
  <c r="G350" i="53"/>
  <c r="Q24" i="48"/>
  <c r="S24" i="48" s="1"/>
  <c r="S21" i="48"/>
  <c r="M322" i="49"/>
  <c r="S322" i="49"/>
  <c r="N17" i="49"/>
  <c r="E279" i="51"/>
  <c r="F11" i="54"/>
  <c r="F12" i="54" s="1"/>
  <c r="D12" i="54"/>
  <c r="E12" i="54" s="1"/>
  <c r="R15" i="54"/>
  <c r="T12" i="54"/>
  <c r="F50" i="54"/>
  <c r="F51" i="54" s="1"/>
  <c r="D51" i="54"/>
  <c r="F31" i="52"/>
  <c r="F33" i="52" s="1"/>
  <c r="D33" i="52"/>
  <c r="P234" i="51"/>
  <c r="P238" i="51" s="1"/>
  <c r="S21" i="50"/>
  <c r="Q24" i="50"/>
  <c r="I210" i="51"/>
  <c r="I214" i="51" s="1"/>
  <c r="I218" i="51" s="1"/>
  <c r="I222" i="51" s="1"/>
  <c r="I226" i="51" s="1"/>
  <c r="I230" i="51" s="1"/>
  <c r="I234" i="51" s="1"/>
  <c r="I238" i="51" s="1"/>
  <c r="P22" i="49"/>
  <c r="R17" i="49"/>
  <c r="I31" i="49"/>
  <c r="E33" i="49"/>
  <c r="E295" i="49"/>
  <c r="D42" i="52"/>
  <c r="P39" i="51"/>
  <c r="R33" i="51"/>
  <c r="N28" i="51"/>
  <c r="L33" i="51"/>
  <c r="S18" i="52"/>
  <c r="Q21" i="52"/>
  <c r="N15" i="54"/>
  <c r="P12" i="54"/>
  <c r="F71" i="52"/>
  <c r="F72" i="52" s="1"/>
  <c r="D72" i="52"/>
  <c r="G108" i="50"/>
  <c r="D116" i="50"/>
  <c r="E39" i="51"/>
  <c r="I34" i="51"/>
  <c r="E253" i="51"/>
  <c r="O18" i="48"/>
  <c r="M21" i="48"/>
  <c r="I238" i="53"/>
  <c r="I244" i="53" s="1"/>
  <c r="E261" i="51"/>
  <c r="I55" i="51"/>
  <c r="E56" i="51"/>
  <c r="E301" i="49"/>
  <c r="O21" i="52"/>
  <c r="M24" i="52"/>
  <c r="K18" i="52"/>
  <c r="I21" i="52"/>
  <c r="F29" i="53"/>
  <c r="J24" i="53"/>
  <c r="G18" i="50"/>
  <c r="E21" i="50"/>
  <c r="T18" i="50"/>
  <c r="I24" i="50"/>
  <c r="K21" i="50"/>
  <c r="F33" i="51"/>
  <c r="J33" i="51" s="1"/>
  <c r="I27" i="48"/>
  <c r="K24" i="48"/>
  <c r="H67" i="53"/>
  <c r="J22" i="49"/>
  <c r="F28" i="49"/>
  <c r="J28" i="49" s="1"/>
  <c r="N62" i="53"/>
  <c r="L67" i="53"/>
  <c r="H72" i="51"/>
  <c r="G18" i="48"/>
  <c r="E21" i="48"/>
  <c r="E18" i="52"/>
  <c r="G15" i="52"/>
  <c r="T15" i="52" s="1"/>
  <c r="L18" i="54"/>
  <c r="J21" i="54"/>
  <c r="L21" i="54" s="1"/>
  <c r="H120" i="54"/>
  <c r="G120" i="54"/>
  <c r="G353" i="53" l="1"/>
  <c r="G355" i="53" s="1"/>
  <c r="R62" i="53"/>
  <c r="P67" i="53"/>
  <c r="M30" i="50"/>
  <c r="O27" i="50"/>
  <c r="Q27" i="48"/>
  <c r="E21" i="52"/>
  <c r="G18" i="52"/>
  <c r="G21" i="48"/>
  <c r="E24" i="48"/>
  <c r="H74" i="53"/>
  <c r="K24" i="50"/>
  <c r="I27" i="50"/>
  <c r="G21" i="50"/>
  <c r="T21" i="50" s="1"/>
  <c r="E24" i="50"/>
  <c r="F34" i="53"/>
  <c r="J29" i="53"/>
  <c r="M24" i="48"/>
  <c r="O21" i="48"/>
  <c r="T21" i="48" s="1"/>
  <c r="E293" i="51"/>
  <c r="F39" i="51"/>
  <c r="S21" i="52"/>
  <c r="Q24" i="52"/>
  <c r="N33" i="51"/>
  <c r="L39" i="51"/>
  <c r="F33" i="49"/>
  <c r="G12" i="54"/>
  <c r="U12" i="54" s="1"/>
  <c r="E15" i="54"/>
  <c r="H78" i="51"/>
  <c r="N67" i="53"/>
  <c r="L74" i="53"/>
  <c r="I30" i="48"/>
  <c r="K30" i="48" s="1"/>
  <c r="K27" i="48"/>
  <c r="K21" i="52"/>
  <c r="I24" i="52"/>
  <c r="O24" i="52"/>
  <c r="M27" i="52"/>
  <c r="T18" i="48"/>
  <c r="N18" i="54"/>
  <c r="P15" i="54"/>
  <c r="T18" i="52"/>
  <c r="R39" i="51"/>
  <c r="P44" i="51"/>
  <c r="R22" i="49"/>
  <c r="P28" i="49"/>
  <c r="S24" i="50"/>
  <c r="Q27" i="50"/>
  <c r="J24" i="54"/>
  <c r="T15" i="54"/>
  <c r="R18" i="54"/>
  <c r="M33" i="50" l="1"/>
  <c r="O30" i="50"/>
  <c r="S27" i="48"/>
  <c r="Q30" i="48"/>
  <c r="S30" i="48" s="1"/>
  <c r="R67" i="53"/>
  <c r="P74" i="53"/>
  <c r="T18" i="54"/>
  <c r="R21" i="54"/>
  <c r="L24" i="54"/>
  <c r="J27" i="54"/>
  <c r="S27" i="50"/>
  <c r="Q30" i="50"/>
  <c r="P33" i="49"/>
  <c r="R28" i="49"/>
  <c r="P51" i="51"/>
  <c r="R44" i="51"/>
  <c r="P18" i="54"/>
  <c r="N21" i="54"/>
  <c r="H83" i="51"/>
  <c r="J33" i="49"/>
  <c r="F39" i="49"/>
  <c r="N39" i="51"/>
  <c r="L44" i="51"/>
  <c r="S24" i="52"/>
  <c r="Q27" i="52"/>
  <c r="F44" i="51"/>
  <c r="J39" i="51"/>
  <c r="F41" i="53"/>
  <c r="J34" i="53"/>
  <c r="G21" i="52"/>
  <c r="E24" i="52"/>
  <c r="O27" i="52"/>
  <c r="M30" i="52"/>
  <c r="I27" i="52"/>
  <c r="K24" i="52"/>
  <c r="L80" i="53"/>
  <c r="N74" i="53"/>
  <c r="G15" i="54"/>
  <c r="U15" i="54" s="1"/>
  <c r="E18" i="54"/>
  <c r="T21" i="52"/>
  <c r="O24" i="48"/>
  <c r="M27" i="48"/>
  <c r="G24" i="50"/>
  <c r="T24" i="50" s="1"/>
  <c r="E27" i="50"/>
  <c r="K27" i="50"/>
  <c r="I30" i="50"/>
  <c r="H80" i="53"/>
  <c r="G24" i="48"/>
  <c r="E27" i="48"/>
  <c r="P80" i="53" l="1"/>
  <c r="R74" i="53"/>
  <c r="M36" i="50"/>
  <c r="O33" i="50"/>
  <c r="E30" i="48"/>
  <c r="G30" i="48" s="1"/>
  <c r="G27" i="48"/>
  <c r="H86" i="53"/>
  <c r="K30" i="50"/>
  <c r="I33" i="50"/>
  <c r="G27" i="50"/>
  <c r="T27" i="50" s="1"/>
  <c r="E30" i="50"/>
  <c r="O27" i="48"/>
  <c r="T27" i="48" s="1"/>
  <c r="M30" i="48"/>
  <c r="O30" i="48" s="1"/>
  <c r="N80" i="53"/>
  <c r="L86" i="53"/>
  <c r="K27" i="52"/>
  <c r="I30" i="52"/>
  <c r="F46" i="53"/>
  <c r="J41" i="53"/>
  <c r="J44" i="51"/>
  <c r="F51" i="51"/>
  <c r="H93" i="51"/>
  <c r="P56" i="51"/>
  <c r="R51" i="51"/>
  <c r="R33" i="49"/>
  <c r="P39" i="49"/>
  <c r="T24" i="48"/>
  <c r="G18" i="54"/>
  <c r="U18" i="54" s="1"/>
  <c r="E21" i="54"/>
  <c r="O30" i="52"/>
  <c r="M33" i="52"/>
  <c r="E27" i="52"/>
  <c r="G24" i="52"/>
  <c r="T24" i="52" s="1"/>
  <c r="S27" i="52"/>
  <c r="Q30" i="52"/>
  <c r="L51" i="51"/>
  <c r="N44" i="51"/>
  <c r="J39" i="49"/>
  <c r="F44" i="49"/>
  <c r="J44" i="49" s="1"/>
  <c r="P21" i="54"/>
  <c r="N24" i="54"/>
  <c r="Q33" i="50"/>
  <c r="S30" i="50"/>
  <c r="L27" i="54"/>
  <c r="J30" i="54"/>
  <c r="R24" i="54"/>
  <c r="T21" i="54"/>
  <c r="O36" i="50" l="1"/>
  <c r="M39" i="50"/>
  <c r="P86" i="53"/>
  <c r="R80" i="53"/>
  <c r="R27" i="54"/>
  <c r="T24" i="54"/>
  <c r="S33" i="50"/>
  <c r="Q36" i="50"/>
  <c r="L56" i="51"/>
  <c r="N51" i="51"/>
  <c r="T27" i="52"/>
  <c r="G27" i="52"/>
  <c r="E30" i="52"/>
  <c r="P44" i="49"/>
  <c r="R44" i="49" s="1"/>
  <c r="R39" i="49"/>
  <c r="F51" i="53"/>
  <c r="J46" i="53"/>
  <c r="L30" i="54"/>
  <c r="J33" i="54"/>
  <c r="N27" i="54"/>
  <c r="P24" i="54"/>
  <c r="S30" i="52"/>
  <c r="Q33" i="52"/>
  <c r="M36" i="52"/>
  <c r="O33" i="52"/>
  <c r="E24" i="54"/>
  <c r="G21" i="54"/>
  <c r="U21" i="54" s="1"/>
  <c r="P63" i="51"/>
  <c r="R56" i="51"/>
  <c r="H98" i="51"/>
  <c r="J51" i="51"/>
  <c r="F56" i="51"/>
  <c r="I33" i="52"/>
  <c r="K30" i="52"/>
  <c r="N86" i="53"/>
  <c r="L92" i="53"/>
  <c r="T30" i="48"/>
  <c r="G30" i="50"/>
  <c r="T30" i="50" s="1"/>
  <c r="E33" i="50"/>
  <c r="I36" i="50"/>
  <c r="K33" i="50"/>
  <c r="H92" i="53"/>
  <c r="R86" i="53" l="1"/>
  <c r="P92" i="53"/>
  <c r="P97" i="53" s="1"/>
  <c r="O39" i="50"/>
  <c r="M42" i="50"/>
  <c r="K36" i="50"/>
  <c r="I39" i="50"/>
  <c r="L97" i="53"/>
  <c r="N92" i="53"/>
  <c r="F63" i="51"/>
  <c r="J56" i="51"/>
  <c r="Q36" i="52"/>
  <c r="S33" i="52"/>
  <c r="P102" i="53"/>
  <c r="G30" i="52"/>
  <c r="E33" i="52"/>
  <c r="L63" i="51"/>
  <c r="N56" i="51"/>
  <c r="R30" i="54"/>
  <c r="T27" i="54"/>
  <c r="H97" i="53"/>
  <c r="R97" i="53" s="1"/>
  <c r="E36" i="50"/>
  <c r="G33" i="50"/>
  <c r="T33" i="50" s="1"/>
  <c r="K33" i="52"/>
  <c r="I36" i="52"/>
  <c r="H104" i="51"/>
  <c r="P64" i="51"/>
  <c r="R63" i="51"/>
  <c r="E27" i="54"/>
  <c r="G24" i="54"/>
  <c r="M39" i="52"/>
  <c r="O36" i="52"/>
  <c r="T30" i="52"/>
  <c r="P27" i="54"/>
  <c r="N30" i="54"/>
  <c r="J36" i="54"/>
  <c r="L33" i="54"/>
  <c r="F56" i="53"/>
  <c r="J51" i="53"/>
  <c r="R92" i="53"/>
  <c r="S36" i="50"/>
  <c r="Q39" i="50"/>
  <c r="U24" i="54"/>
  <c r="M45" i="50" l="1"/>
  <c r="O42" i="50"/>
  <c r="N33" i="54"/>
  <c r="P30" i="54"/>
  <c r="M42" i="52"/>
  <c r="O39" i="52"/>
  <c r="E30" i="54"/>
  <c r="G27" i="54"/>
  <c r="R64" i="51"/>
  <c r="P72" i="51"/>
  <c r="G36" i="50"/>
  <c r="T36" i="50" s="1"/>
  <c r="E39" i="50"/>
  <c r="R33" i="54"/>
  <c r="T30" i="54"/>
  <c r="G33" i="52"/>
  <c r="T33" i="52" s="1"/>
  <c r="E36" i="52"/>
  <c r="K39" i="50"/>
  <c r="I42" i="50"/>
  <c r="Q42" i="50"/>
  <c r="S39" i="50"/>
  <c r="F62" i="53"/>
  <c r="J56" i="53"/>
  <c r="L36" i="54"/>
  <c r="J39" i="54"/>
  <c r="H109" i="51"/>
  <c r="K36" i="52"/>
  <c r="I39" i="52"/>
  <c r="H102" i="53"/>
  <c r="U27" i="54"/>
  <c r="L64" i="51"/>
  <c r="N63" i="51"/>
  <c r="P108" i="53"/>
  <c r="R102" i="53"/>
  <c r="S36" i="52"/>
  <c r="Q39" i="52"/>
  <c r="F64" i="51"/>
  <c r="J63" i="51"/>
  <c r="L102" i="53"/>
  <c r="N97" i="53"/>
  <c r="M48" i="50" l="1"/>
  <c r="O45" i="50"/>
  <c r="H108" i="53"/>
  <c r="H114" i="51"/>
  <c r="N102" i="53"/>
  <c r="L108" i="53"/>
  <c r="F72" i="51"/>
  <c r="J64" i="51"/>
  <c r="P114" i="53"/>
  <c r="R108" i="53"/>
  <c r="L72" i="51"/>
  <c r="N64" i="51"/>
  <c r="I42" i="52"/>
  <c r="K39" i="52"/>
  <c r="L39" i="54"/>
  <c r="J42" i="54"/>
  <c r="K42" i="50"/>
  <c r="I45" i="50"/>
  <c r="T33" i="54"/>
  <c r="R36" i="54"/>
  <c r="E33" i="54"/>
  <c r="G30" i="54"/>
  <c r="O42" i="52"/>
  <c r="M45" i="52"/>
  <c r="P33" i="54"/>
  <c r="N36" i="54"/>
  <c r="Q42" i="52"/>
  <c r="S39" i="52"/>
  <c r="F67" i="53"/>
  <c r="J62" i="53"/>
  <c r="S42" i="50"/>
  <c r="Q45" i="50"/>
  <c r="G36" i="52"/>
  <c r="T36" i="52" s="1"/>
  <c r="E39" i="52"/>
  <c r="U30" i="54"/>
  <c r="G39" i="50"/>
  <c r="T39" i="50" s="1"/>
  <c r="E42" i="50"/>
  <c r="R72" i="51"/>
  <c r="P78" i="51"/>
  <c r="M51" i="50" l="1"/>
  <c r="O48" i="50"/>
  <c r="P83" i="51"/>
  <c r="R78" i="51"/>
  <c r="F74" i="53"/>
  <c r="J67" i="53"/>
  <c r="G33" i="54"/>
  <c r="E36" i="54"/>
  <c r="G39" i="52"/>
  <c r="E42" i="52"/>
  <c r="S45" i="50"/>
  <c r="Q48" i="50"/>
  <c r="T39" i="52"/>
  <c r="N39" i="54"/>
  <c r="P36" i="54"/>
  <c r="M48" i="52"/>
  <c r="O45" i="52"/>
  <c r="T36" i="54"/>
  <c r="R39" i="54"/>
  <c r="K45" i="50"/>
  <c r="I48" i="50"/>
  <c r="K42" i="52"/>
  <c r="I45" i="52"/>
  <c r="N72" i="51"/>
  <c r="L78" i="51"/>
  <c r="P120" i="53"/>
  <c r="N108" i="53"/>
  <c r="L114" i="53"/>
  <c r="H114" i="53"/>
  <c r="R114" i="53" s="1"/>
  <c r="G42" i="50"/>
  <c r="T42" i="50" s="1"/>
  <c r="E45" i="50"/>
  <c r="S42" i="52"/>
  <c r="Q45" i="52"/>
  <c r="U33" i="54"/>
  <c r="L42" i="54"/>
  <c r="J45" i="54"/>
  <c r="F78" i="51"/>
  <c r="J72" i="51"/>
  <c r="H119" i="51"/>
  <c r="O51" i="50" l="1"/>
  <c r="M54" i="50"/>
  <c r="H124" i="51"/>
  <c r="F83" i="51"/>
  <c r="J78" i="51"/>
  <c r="Q48" i="52"/>
  <c r="S45" i="52"/>
  <c r="E48" i="50"/>
  <c r="G45" i="50"/>
  <c r="T45" i="50" s="1"/>
  <c r="H120" i="53"/>
  <c r="N114" i="53"/>
  <c r="L120" i="53"/>
  <c r="R120" i="53"/>
  <c r="P126" i="53"/>
  <c r="N78" i="51"/>
  <c r="L83" i="51"/>
  <c r="K45" i="52"/>
  <c r="I48" i="52"/>
  <c r="K48" i="50"/>
  <c r="I51" i="50"/>
  <c r="T39" i="54"/>
  <c r="R42" i="54"/>
  <c r="F80" i="53"/>
  <c r="J74" i="53"/>
  <c r="J48" i="54"/>
  <c r="L45" i="54"/>
  <c r="M51" i="52"/>
  <c r="O48" i="52"/>
  <c r="N42" i="54"/>
  <c r="P39" i="54"/>
  <c r="Q51" i="50"/>
  <c r="S48" i="50"/>
  <c r="E45" i="52"/>
  <c r="G42" i="52"/>
  <c r="T42" i="52" s="1"/>
  <c r="E39" i="54"/>
  <c r="G36" i="54"/>
  <c r="U36" i="54" s="1"/>
  <c r="P93" i="51"/>
  <c r="R83" i="51"/>
  <c r="M57" i="50" l="1"/>
  <c r="O54" i="50"/>
  <c r="J51" i="54"/>
  <c r="L48" i="54"/>
  <c r="R45" i="54"/>
  <c r="T42" i="54"/>
  <c r="P98" i="51"/>
  <c r="R93" i="51"/>
  <c r="G39" i="54"/>
  <c r="E42" i="54"/>
  <c r="G45" i="52"/>
  <c r="E48" i="52"/>
  <c r="Q54" i="50"/>
  <c r="S51" i="50"/>
  <c r="P42" i="54"/>
  <c r="N45" i="54"/>
  <c r="M54" i="52"/>
  <c r="O51" i="52"/>
  <c r="U39" i="54"/>
  <c r="H126" i="53"/>
  <c r="G48" i="50"/>
  <c r="E51" i="50"/>
  <c r="Q51" i="52"/>
  <c r="S48" i="52"/>
  <c r="F93" i="51"/>
  <c r="J83" i="51"/>
  <c r="T48" i="50"/>
  <c r="F86" i="53"/>
  <c r="J80" i="53"/>
  <c r="K51" i="50"/>
  <c r="I54" i="50"/>
  <c r="I51" i="52"/>
  <c r="K48" i="52"/>
  <c r="N83" i="51"/>
  <c r="L93" i="51"/>
  <c r="P132" i="53"/>
  <c r="R126" i="53"/>
  <c r="L126" i="53"/>
  <c r="N120" i="53"/>
  <c r="T45" i="52"/>
  <c r="H129" i="51"/>
  <c r="O57" i="50" l="1"/>
  <c r="M60" i="50"/>
  <c r="P138" i="53"/>
  <c r="F92" i="53"/>
  <c r="J86" i="53"/>
  <c r="H135" i="51"/>
  <c r="L98" i="51"/>
  <c r="N93" i="51"/>
  <c r="K54" i="50"/>
  <c r="I57" i="50"/>
  <c r="F98" i="51"/>
  <c r="J93" i="51"/>
  <c r="S51" i="52"/>
  <c r="Q54" i="52"/>
  <c r="H132" i="53"/>
  <c r="R132" i="53" s="1"/>
  <c r="P45" i="54"/>
  <c r="N48" i="54"/>
  <c r="G48" i="52"/>
  <c r="T48" i="52" s="1"/>
  <c r="E51" i="52"/>
  <c r="G42" i="54"/>
  <c r="E45" i="54"/>
  <c r="U42" i="54"/>
  <c r="N126" i="53"/>
  <c r="L132" i="53"/>
  <c r="I54" i="52"/>
  <c r="K51" i="52"/>
  <c r="G51" i="50"/>
  <c r="T51" i="50" s="1"/>
  <c r="E54" i="50"/>
  <c r="O54" i="52"/>
  <c r="M57" i="52"/>
  <c r="S54" i="50"/>
  <c r="Q57" i="50"/>
  <c r="R98" i="51"/>
  <c r="P104" i="51"/>
  <c r="T45" i="54"/>
  <c r="R48" i="54"/>
  <c r="L51" i="54"/>
  <c r="J54" i="54"/>
  <c r="M63" i="50" l="1"/>
  <c r="O60" i="50"/>
  <c r="T48" i="54"/>
  <c r="R51" i="54"/>
  <c r="S57" i="50"/>
  <c r="Q60" i="50"/>
  <c r="O57" i="52"/>
  <c r="M60" i="52"/>
  <c r="G51" i="52"/>
  <c r="E54" i="52"/>
  <c r="L138" i="53"/>
  <c r="N132" i="53"/>
  <c r="N51" i="54"/>
  <c r="P48" i="54"/>
  <c r="Q57" i="52"/>
  <c r="S54" i="52"/>
  <c r="I60" i="50"/>
  <c r="K57" i="50"/>
  <c r="L54" i="54"/>
  <c r="J57" i="54"/>
  <c r="P109" i="51"/>
  <c r="R104" i="51"/>
  <c r="E57" i="50"/>
  <c r="G54" i="50"/>
  <c r="T54" i="50" s="1"/>
  <c r="I57" i="52"/>
  <c r="K54" i="52"/>
  <c r="G45" i="54"/>
  <c r="U45" i="54" s="1"/>
  <c r="E48" i="54"/>
  <c r="H138" i="53"/>
  <c r="T51" i="52"/>
  <c r="F104" i="51"/>
  <c r="J98" i="51"/>
  <c r="N98" i="51"/>
  <c r="L104" i="51"/>
  <c r="F97" i="53"/>
  <c r="J92" i="53"/>
  <c r="R138" i="53"/>
  <c r="M66" i="50" l="1"/>
  <c r="O63" i="50"/>
  <c r="F102" i="53"/>
  <c r="J97" i="53"/>
  <c r="K57" i="52"/>
  <c r="I60" i="52"/>
  <c r="P114" i="51"/>
  <c r="R109" i="51"/>
  <c r="F109" i="51"/>
  <c r="J104" i="51"/>
  <c r="G48" i="54"/>
  <c r="E51" i="54"/>
  <c r="J60" i="54"/>
  <c r="L57" i="54"/>
  <c r="G54" i="52"/>
  <c r="T54" i="52" s="1"/>
  <c r="E57" i="52"/>
  <c r="M63" i="52"/>
  <c r="O60" i="52"/>
  <c r="Q63" i="50"/>
  <c r="S60" i="50"/>
  <c r="T51" i="54"/>
  <c r="R54" i="54"/>
  <c r="N104" i="51"/>
  <c r="L109" i="51"/>
  <c r="G57" i="50"/>
  <c r="T57" i="50" s="1"/>
  <c r="E60" i="50"/>
  <c r="K60" i="50"/>
  <c r="I63" i="50"/>
  <c r="S57" i="52"/>
  <c r="Q60" i="52"/>
  <c r="P51" i="54"/>
  <c r="N54" i="54"/>
  <c r="N138" i="53"/>
  <c r="U48" i="54"/>
  <c r="M69" i="50" l="1"/>
  <c r="O66" i="50"/>
  <c r="N109" i="51"/>
  <c r="L114" i="51"/>
  <c r="T54" i="54"/>
  <c r="R57" i="54"/>
  <c r="P54" i="54"/>
  <c r="N57" i="54"/>
  <c r="Q63" i="52"/>
  <c r="S60" i="52"/>
  <c r="K63" i="50"/>
  <c r="I66" i="50"/>
  <c r="G60" i="50"/>
  <c r="T60" i="50" s="1"/>
  <c r="E63" i="50"/>
  <c r="S63" i="50"/>
  <c r="Q66" i="50"/>
  <c r="M66" i="52"/>
  <c r="O63" i="52"/>
  <c r="E54" i="54"/>
  <c r="G51" i="54"/>
  <c r="U51" i="54" s="1"/>
  <c r="K60" i="52"/>
  <c r="I63" i="52"/>
  <c r="E60" i="52"/>
  <c r="G57" i="52"/>
  <c r="T57" i="52" s="1"/>
  <c r="J63" i="54"/>
  <c r="L60" i="54"/>
  <c r="F114" i="51"/>
  <c r="J109" i="51"/>
  <c r="P119" i="51"/>
  <c r="R114" i="51"/>
  <c r="F108" i="53"/>
  <c r="J102" i="53"/>
  <c r="M72" i="50" l="1"/>
  <c r="O69" i="50"/>
  <c r="G54" i="54"/>
  <c r="E57" i="54"/>
  <c r="F114" i="53"/>
  <c r="J108" i="53"/>
  <c r="P124" i="51"/>
  <c r="R119" i="51"/>
  <c r="F119" i="51"/>
  <c r="J114" i="51"/>
  <c r="L63" i="54"/>
  <c r="J66" i="54"/>
  <c r="G60" i="52"/>
  <c r="E63" i="52"/>
  <c r="I66" i="52"/>
  <c r="K63" i="52"/>
  <c r="Q69" i="50"/>
  <c r="S66" i="50"/>
  <c r="S63" i="52"/>
  <c r="Q66" i="52"/>
  <c r="U54" i="54"/>
  <c r="O66" i="52"/>
  <c r="M69" i="52"/>
  <c r="G63" i="50"/>
  <c r="T63" i="50" s="1"/>
  <c r="E66" i="50"/>
  <c r="I69" i="50"/>
  <c r="K66" i="50"/>
  <c r="T60" i="52"/>
  <c r="P57" i="54"/>
  <c r="N60" i="54"/>
  <c r="T57" i="54"/>
  <c r="R60" i="54"/>
  <c r="L119" i="51"/>
  <c r="N114" i="51"/>
  <c r="M75" i="50" l="1"/>
  <c r="O75" i="50" s="1"/>
  <c r="O72" i="50"/>
  <c r="T60" i="54"/>
  <c r="R63" i="54"/>
  <c r="I72" i="50"/>
  <c r="K69" i="50"/>
  <c r="S66" i="52"/>
  <c r="Q69" i="52"/>
  <c r="L124" i="51"/>
  <c r="N119" i="51"/>
  <c r="E69" i="50"/>
  <c r="G66" i="50"/>
  <c r="O69" i="52"/>
  <c r="M72" i="52"/>
  <c r="S69" i="50"/>
  <c r="Q72" i="50"/>
  <c r="I69" i="52"/>
  <c r="K66" i="52"/>
  <c r="F124" i="51"/>
  <c r="J119" i="51"/>
  <c r="R124" i="51"/>
  <c r="P129" i="51"/>
  <c r="F120" i="53"/>
  <c r="J114" i="53"/>
  <c r="E60" i="54"/>
  <c r="G57" i="54"/>
  <c r="U57" i="54" s="1"/>
  <c r="N63" i="54"/>
  <c r="P60" i="54"/>
  <c r="T66" i="50"/>
  <c r="G63" i="52"/>
  <c r="T63" i="52" s="1"/>
  <c r="E66" i="52"/>
  <c r="L66" i="54"/>
  <c r="J69" i="54"/>
  <c r="L69" i="54" s="1"/>
  <c r="P63" i="54" l="1"/>
  <c r="N66" i="54"/>
  <c r="E63" i="54"/>
  <c r="G60" i="54"/>
  <c r="F129" i="51"/>
  <c r="J124" i="51"/>
  <c r="I72" i="52"/>
  <c r="K69" i="52"/>
  <c r="M75" i="52"/>
  <c r="O75" i="52" s="1"/>
  <c r="O72" i="52"/>
  <c r="P135" i="51"/>
  <c r="R135" i="51" s="1"/>
  <c r="R129" i="51"/>
  <c r="Q75" i="50"/>
  <c r="S75" i="50" s="1"/>
  <c r="S72" i="50"/>
  <c r="G69" i="50"/>
  <c r="E72" i="50"/>
  <c r="S69" i="52"/>
  <c r="Q72" i="52"/>
  <c r="T63" i="54"/>
  <c r="R66" i="54"/>
  <c r="E69" i="52"/>
  <c r="G66" i="52"/>
  <c r="F126" i="53"/>
  <c r="J120" i="53"/>
  <c r="T69" i="50"/>
  <c r="L129" i="51"/>
  <c r="N124" i="51"/>
  <c r="T66" i="52"/>
  <c r="K72" i="50"/>
  <c r="I75" i="50"/>
  <c r="K75" i="50" s="1"/>
  <c r="U60" i="54"/>
  <c r="F132" i="53" l="1"/>
  <c r="J126" i="53"/>
  <c r="G69" i="52"/>
  <c r="E72" i="52"/>
  <c r="T69" i="52"/>
  <c r="L135" i="51"/>
  <c r="N135" i="51" s="1"/>
  <c r="N129" i="51"/>
  <c r="R69" i="54"/>
  <c r="T69" i="54" s="1"/>
  <c r="T66" i="54"/>
  <c r="Q75" i="52"/>
  <c r="S75" i="52" s="1"/>
  <c r="S72" i="52"/>
  <c r="E75" i="50"/>
  <c r="G75" i="50" s="1"/>
  <c r="G72" i="50"/>
  <c r="T72" i="50" s="1"/>
  <c r="P66" i="54"/>
  <c r="N69" i="54"/>
  <c r="P69" i="54" s="1"/>
  <c r="U63" i="54"/>
  <c r="T75" i="50"/>
  <c r="K72" i="52"/>
  <c r="I75" i="52"/>
  <c r="K75" i="52" s="1"/>
  <c r="F135" i="51"/>
  <c r="J135" i="51" s="1"/>
  <c r="J129" i="51"/>
  <c r="E66" i="54"/>
  <c r="G63" i="54"/>
  <c r="T75" i="52" l="1"/>
  <c r="G72" i="52"/>
  <c r="E75" i="52"/>
  <c r="G75" i="52" s="1"/>
  <c r="G66" i="54"/>
  <c r="U66" i="54" s="1"/>
  <c r="E69" i="54"/>
  <c r="G69" i="54" s="1"/>
  <c r="U69" i="54" s="1"/>
  <c r="T72" i="52"/>
  <c r="F138" i="53"/>
  <c r="J138" i="53" s="1"/>
  <c r="J132" i="53"/>
</calcChain>
</file>

<file path=xl/sharedStrings.xml><?xml version="1.0" encoding="utf-8"?>
<sst xmlns="http://schemas.openxmlformats.org/spreadsheetml/2006/main" count="2173" uniqueCount="365">
  <si>
    <t>Ngµy</t>
  </si>
  <si>
    <t>Ca</t>
  </si>
  <si>
    <t>Thµnh phÈm</t>
  </si>
  <si>
    <t>Thu håi T.P</t>
  </si>
  <si>
    <t>§iÖn</t>
  </si>
  <si>
    <t>Tiªu hao ®iÖn</t>
  </si>
  <si>
    <t>sx</t>
  </si>
  <si>
    <t>Luü kÕ</t>
  </si>
  <si>
    <t>(TÊn)</t>
  </si>
  <si>
    <t>%</t>
  </si>
  <si>
    <t>KWh</t>
  </si>
  <si>
    <t>KWh/TSP</t>
  </si>
  <si>
    <t>S¶n PhÈm</t>
  </si>
  <si>
    <t xml:space="preserve">S¶n </t>
  </si>
  <si>
    <t>HiÖu suÊt thiÕt bÞ</t>
  </si>
  <si>
    <t>§×nh trÖ do CN</t>
  </si>
  <si>
    <t>§×nh trÖ do c¬ khÝ</t>
  </si>
  <si>
    <t>§×nh trÖ do  ®iÖn</t>
  </si>
  <si>
    <t>SX</t>
  </si>
  <si>
    <t>PhÈm</t>
  </si>
  <si>
    <t>( %)</t>
  </si>
  <si>
    <t>Thêi gian (h)</t>
  </si>
  <si>
    <t xml:space="preserve">Ngµy </t>
  </si>
  <si>
    <t>B</t>
  </si>
  <si>
    <t xml:space="preserve">Ng­êi lËp </t>
  </si>
  <si>
    <t xml:space="preserve">Ng­êi KiÓm Tra </t>
  </si>
  <si>
    <t>A</t>
  </si>
  <si>
    <t>Tæng</t>
  </si>
  <si>
    <t>Lª ThÞ Tó</t>
  </si>
  <si>
    <t>NhËp</t>
  </si>
  <si>
    <t>XuÊt</t>
  </si>
  <si>
    <t>L«</t>
  </si>
  <si>
    <t>SP</t>
  </si>
  <si>
    <t>Ng­êi kiÓm tra</t>
  </si>
  <si>
    <t>Ng­êi lËp</t>
  </si>
  <si>
    <t>D20 SD295I</t>
  </si>
  <si>
    <t>D6</t>
  </si>
  <si>
    <t>D25</t>
  </si>
  <si>
    <t>D8</t>
  </si>
  <si>
    <t>D20 SD295II</t>
  </si>
  <si>
    <t>D16 SD390I</t>
  </si>
  <si>
    <t>D20 SD390I</t>
  </si>
  <si>
    <t>04/03</t>
  </si>
  <si>
    <t>D25 Rb300I</t>
  </si>
  <si>
    <t>05/03</t>
  </si>
  <si>
    <t>D14 SD295I</t>
  </si>
  <si>
    <t>D14 SD295II</t>
  </si>
  <si>
    <t>D14</t>
  </si>
  <si>
    <t>D14 SD390I</t>
  </si>
  <si>
    <t xml:space="preserve"> FO</t>
  </si>
  <si>
    <t>Tiªu hao  FO</t>
  </si>
  <si>
    <t>Chñng lo¹i</t>
  </si>
  <si>
    <t>D25 Rb300II</t>
  </si>
  <si>
    <t>D25 Rb400I</t>
  </si>
  <si>
    <t>SD390 (120x6m)</t>
  </si>
  <si>
    <t>STT</t>
  </si>
  <si>
    <t>T.l­îng</t>
  </si>
  <si>
    <t>(Thanh)</t>
  </si>
  <si>
    <t>TrÞnh Xu©n Nam</t>
  </si>
  <si>
    <t xml:space="preserve">            NguyÔn Thuú D­¬ng</t>
  </si>
  <si>
    <t>CT5 120x6m</t>
  </si>
  <si>
    <t>Bïi NhÊt Qu¸n</t>
  </si>
  <si>
    <t>T. l­îng</t>
  </si>
  <si>
    <t>L­îng</t>
  </si>
  <si>
    <t>D8 II</t>
  </si>
  <si>
    <t>CN</t>
  </si>
  <si>
    <t>CK</t>
  </si>
  <si>
    <t>s¶n xuÊt th¸ng 05/2003</t>
  </si>
  <si>
    <t>C«ng nghÖ:</t>
  </si>
  <si>
    <t>§IÖn</t>
  </si>
  <si>
    <t>12/03</t>
  </si>
  <si>
    <t>CT2 120x12m</t>
  </si>
  <si>
    <t>13/03</t>
  </si>
  <si>
    <t>Kg</t>
  </si>
  <si>
    <t>Kg/ TSP</t>
  </si>
  <si>
    <t>Gr 130x11.95m</t>
  </si>
  <si>
    <t>Giê</t>
  </si>
  <si>
    <t>XuÊt SX</t>
  </si>
  <si>
    <t>XuÊt b¸n</t>
  </si>
  <si>
    <t>B¸o c¸o xuÊt nhËp ph«i th¸ng 08/2003</t>
  </si>
  <si>
    <t>L« sè</t>
  </si>
  <si>
    <t>Thanh</t>
  </si>
  <si>
    <t>Chñng lo¹i ph«i</t>
  </si>
  <si>
    <t>B¸o c¸o ®×nh trÖ s¶n xuÊt hµng ngµy</t>
  </si>
  <si>
    <t>M« t¶ sù cè thiÕt bÞ :</t>
  </si>
  <si>
    <t>C¬ khÝ:</t>
  </si>
  <si>
    <t xml:space="preserve">                                                                                                            B¸o c¸o s¶n l­îng &amp; chi phÝ hµng ngµy</t>
  </si>
  <si>
    <t>Nhµ m¸y thÐp hoµ ph¸t</t>
  </si>
  <si>
    <r>
      <t xml:space="preserve">                                                                                                 </t>
    </r>
    <r>
      <rPr>
        <b/>
        <i/>
        <sz val="12"/>
        <rFont val=".VnTime"/>
        <family val="2"/>
      </rPr>
      <t xml:space="preserve">                        </t>
    </r>
  </si>
  <si>
    <t>§iÖn:</t>
  </si>
  <si>
    <t>B.qu©n</t>
  </si>
  <si>
    <t>Ph«i (tÊn)</t>
  </si>
  <si>
    <t>Ph«i nhËp</t>
  </si>
  <si>
    <t>Ph«i xuÊt</t>
  </si>
  <si>
    <t>15/03</t>
  </si>
  <si>
    <t>CT5 130x11.9M</t>
  </si>
  <si>
    <t>16/03</t>
  </si>
  <si>
    <t>D10</t>
  </si>
  <si>
    <t>Ph«i</t>
  </si>
  <si>
    <t>DÇu</t>
  </si>
  <si>
    <t>BT</t>
  </si>
  <si>
    <t>tån</t>
  </si>
  <si>
    <t>D20 Gr 60II</t>
  </si>
  <si>
    <t>07/03</t>
  </si>
  <si>
    <t>D10 SD295I</t>
  </si>
  <si>
    <t>D10 SD295II</t>
  </si>
  <si>
    <t>Tr­íc XL</t>
  </si>
  <si>
    <t>Sau XL</t>
  </si>
  <si>
    <t>D12 SD295I</t>
  </si>
  <si>
    <t>D12 SD295II</t>
  </si>
  <si>
    <t>D12 SD295(6m)</t>
  </si>
  <si>
    <t>D10 SD390I</t>
  </si>
  <si>
    <t>D12 SD390I</t>
  </si>
  <si>
    <t>D12 SD295(8m)</t>
  </si>
  <si>
    <t>D16 SD295I</t>
  </si>
  <si>
    <t>D16 SD295II</t>
  </si>
  <si>
    <t>D16 SD295(8m)</t>
  </si>
  <si>
    <t>D16 SD295(6m)</t>
  </si>
  <si>
    <t>D18 SD295I</t>
  </si>
  <si>
    <t>D18 SD295(6m)</t>
  </si>
  <si>
    <t>D18 SD295II</t>
  </si>
  <si>
    <t>D18 SD295(8m)</t>
  </si>
  <si>
    <t>D18 Gr60I</t>
  </si>
  <si>
    <t>D18 Gr60II</t>
  </si>
  <si>
    <t>D22 SD295I</t>
  </si>
  <si>
    <t>D22 SD295II</t>
  </si>
  <si>
    <t>D22 SD295(6m)</t>
  </si>
  <si>
    <t>SD295 (130x6m)</t>
  </si>
  <si>
    <t>D22 Gr60I</t>
  </si>
  <si>
    <t>D22 Gr60(6m)</t>
  </si>
  <si>
    <t>D22 SD295(8m)</t>
  </si>
  <si>
    <t>D22 Gr60(8m)</t>
  </si>
  <si>
    <t>D22 SD390I</t>
  </si>
  <si>
    <t>D22 SD390(8m)</t>
  </si>
  <si>
    <t>D14 Gr60I</t>
  </si>
  <si>
    <t>x</t>
  </si>
  <si>
    <t>D14 SD295(8m)</t>
  </si>
  <si>
    <t>CT3 125x6m</t>
  </si>
  <si>
    <t>06/02</t>
  </si>
  <si>
    <t>D10 SD390II</t>
  </si>
  <si>
    <t>D16 SD390(6m)</t>
  </si>
  <si>
    <t>D16 SD390(8m)</t>
  </si>
  <si>
    <t>D18 SD295XL</t>
  </si>
  <si>
    <t>D18 SD390I</t>
  </si>
  <si>
    <t>D18 SD390II</t>
  </si>
  <si>
    <t>D18 SD390(8m)</t>
  </si>
  <si>
    <t>D20 SD295(8m)</t>
  </si>
  <si>
    <t>D20 SD295XL</t>
  </si>
  <si>
    <t>D20 SD295(6m)</t>
  </si>
  <si>
    <t>D20 Gr60I</t>
  </si>
  <si>
    <t>CT5 (125x11.7m)</t>
  </si>
  <si>
    <t>17/03</t>
  </si>
  <si>
    <t>08/03</t>
  </si>
  <si>
    <t>D25 Rb300(6m)</t>
  </si>
  <si>
    <t>D28 SD295I</t>
  </si>
  <si>
    <t>D28 SD295II</t>
  </si>
  <si>
    <t>D28 SD390I</t>
  </si>
  <si>
    <t>D28 SD295(8m)</t>
  </si>
  <si>
    <t>§Çu</t>
  </si>
  <si>
    <t>l­îng</t>
  </si>
  <si>
    <t>Tån cuãi</t>
  </si>
  <si>
    <t>D25 Rb300(8m)</t>
  </si>
  <si>
    <t>D28 SD390II</t>
  </si>
  <si>
    <t>D22 Gr60II</t>
  </si>
  <si>
    <t>24/02</t>
  </si>
  <si>
    <t>02/04</t>
  </si>
  <si>
    <t>25/02</t>
  </si>
  <si>
    <t>SD295A (130x12m)</t>
  </si>
  <si>
    <t>01/04</t>
  </si>
  <si>
    <t>26/2</t>
  </si>
  <si>
    <t>C</t>
  </si>
  <si>
    <t>26/02</t>
  </si>
  <si>
    <t>D10 SD295AI</t>
  </si>
  <si>
    <r>
      <t xml:space="preserve">                                                                            Ph©n x­ëng c¸n                       sè: 03                    </t>
    </r>
    <r>
      <rPr>
        <b/>
        <sz val="12"/>
        <rFont val=".VnTime"/>
        <family val="2"/>
      </rPr>
      <t xml:space="preserve">  </t>
    </r>
    <r>
      <rPr>
        <b/>
        <i/>
        <sz val="12"/>
        <rFont val=".VnTime"/>
        <family val="2"/>
      </rPr>
      <t xml:space="preserve">Ngµy 26 th¸ng 02  n¨m  2004                            </t>
    </r>
  </si>
  <si>
    <t>27/02</t>
  </si>
  <si>
    <t>28/02</t>
  </si>
  <si>
    <t>29/02</t>
  </si>
  <si>
    <t>27/2</t>
  </si>
  <si>
    <t>28/2</t>
  </si>
  <si>
    <t>29/2</t>
  </si>
  <si>
    <r>
      <t xml:space="preserve">F6 </t>
    </r>
    <r>
      <rPr>
        <sz val="10"/>
        <rFont val=".VnArialH"/>
        <family val="2"/>
      </rPr>
      <t>SWRM22I</t>
    </r>
  </si>
  <si>
    <r>
      <t xml:space="preserve">F6 </t>
    </r>
    <r>
      <rPr>
        <sz val="10"/>
        <rFont val=".VnArialH"/>
        <family val="2"/>
      </rPr>
      <t>SWRM22II</t>
    </r>
  </si>
  <si>
    <r>
      <t xml:space="preserve">F8 </t>
    </r>
    <r>
      <rPr>
        <sz val="10"/>
        <rFont val=".VnArialH"/>
        <family val="2"/>
      </rPr>
      <t>SWRM22I</t>
    </r>
  </si>
  <si>
    <r>
      <t xml:space="preserve">F8 </t>
    </r>
    <r>
      <rPr>
        <sz val="10"/>
        <rFont val=".VnArialH"/>
        <family val="2"/>
      </rPr>
      <t>SWRM22II</t>
    </r>
  </si>
  <si>
    <t>6293 kg</t>
  </si>
  <si>
    <t xml:space="preserve">F6 </t>
  </si>
  <si>
    <t>F8</t>
  </si>
  <si>
    <t>Ngµy 27/02   ca: C</t>
  </si>
  <si>
    <t>§ªm 27/02  ca: A</t>
  </si>
  <si>
    <t>Sù cè kªnh ®«i (570')</t>
  </si>
  <si>
    <t>Ngµy 28/02   ca: B</t>
  </si>
  <si>
    <t>§ªm 28/02  ca: C</t>
  </si>
  <si>
    <t>KiÓm tra lÊy khe hë block (60')</t>
  </si>
  <si>
    <t>ChØnh l¹i lùc Ðp PR4 (30')</t>
  </si>
  <si>
    <t>KiÓm tra PR 4 thay bé biÕn ®æi , lçi PR 4(120'),</t>
  </si>
  <si>
    <t>LÊy khe hë block , n¹p dÇu khÝ block (42').</t>
  </si>
  <si>
    <t>GÉy chèt an toµn K9 (25')</t>
  </si>
  <si>
    <t>Ngµy 29/02   ca: B</t>
  </si>
  <si>
    <t>§ªm 29/02  ca: C</t>
  </si>
  <si>
    <t>LÊy khe hë trôc c¸n (60'), vì con l¨n thµnh phÈm (60')</t>
  </si>
  <si>
    <t>Dß dÇu ë xi lanh ®Èy ph«i (80'), mÊt vÞ trÝ tay ®Èy ph«i (40'), hµn l¹i tÊm dÉn h­íng K6 (25')</t>
  </si>
  <si>
    <t>BM 05.16</t>
  </si>
  <si>
    <t>Ngµy hiÖu lùc : 01/03/03</t>
  </si>
  <si>
    <t>BM 05.15</t>
  </si>
  <si>
    <t>Ngµy hiÖu lùc : 01/10/03</t>
  </si>
  <si>
    <t>D12</t>
  </si>
  <si>
    <t>D12 SD390II</t>
  </si>
  <si>
    <t>D25 RB400I</t>
  </si>
  <si>
    <t>D25 RB400II</t>
  </si>
  <si>
    <t>SD390 (130x12m)</t>
  </si>
  <si>
    <t>03/04</t>
  </si>
  <si>
    <t>D25 RB400(10m)</t>
  </si>
  <si>
    <t>D25 RB400(8m)</t>
  </si>
  <si>
    <t>D16 SD390II</t>
  </si>
  <si>
    <t>D25 RB400(6m)</t>
  </si>
  <si>
    <t>D16</t>
  </si>
  <si>
    <t>D20</t>
  </si>
  <si>
    <t>CT5 125x11.7m</t>
  </si>
  <si>
    <t>CT5 (125*11.7m)</t>
  </si>
  <si>
    <t>D20 SD390II</t>
  </si>
  <si>
    <t>D20 SD390(6m)</t>
  </si>
  <si>
    <r>
      <t xml:space="preserve">                                                                                         Ph©n x­ëng C¸n                                 Sè: 03           </t>
    </r>
    <r>
      <rPr>
        <b/>
        <i/>
        <sz val="12"/>
        <rFont val=".VnTimeH"/>
        <family val="2"/>
      </rPr>
      <t xml:space="preserve">    </t>
    </r>
    <r>
      <rPr>
        <b/>
        <i/>
        <sz val="12"/>
        <rFont val=".VnTime"/>
        <family val="2"/>
      </rPr>
      <t>Ngµy  26 Th¸ng 02 n¨m 2004</t>
    </r>
  </si>
  <si>
    <t>D18 SD390(6m)</t>
  </si>
  <si>
    <t>D18</t>
  </si>
  <si>
    <t>20/3/2004</t>
  </si>
  <si>
    <t>21/3/2004</t>
  </si>
  <si>
    <t>D22 SD390II</t>
  </si>
  <si>
    <t>D22 SD390(6m)</t>
  </si>
  <si>
    <t>D22</t>
  </si>
  <si>
    <t>22/3/2004</t>
  </si>
  <si>
    <t>CT3 100x100x11.5m</t>
  </si>
  <si>
    <t>04/04</t>
  </si>
  <si>
    <t>23/3/2004</t>
  </si>
  <si>
    <r>
      <t>D8</t>
    </r>
    <r>
      <rPr>
        <sz val="10"/>
        <rFont val="Symbol"/>
        <family val="1"/>
        <charset val="2"/>
      </rPr>
      <t>+F8</t>
    </r>
  </si>
  <si>
    <t>D20 SD390(8m)</t>
  </si>
  <si>
    <r>
      <t>F8</t>
    </r>
    <r>
      <rPr>
        <sz val="10"/>
        <rFont val=".VnArial"/>
        <family val="2"/>
      </rPr>
      <t xml:space="preserve"> SWRM12 I</t>
    </r>
  </si>
  <si>
    <r>
      <t>F8</t>
    </r>
    <r>
      <rPr>
        <sz val="10"/>
        <rFont val=".VnArial"/>
        <family val="2"/>
      </rPr>
      <t xml:space="preserve"> SWRM12 II</t>
    </r>
  </si>
  <si>
    <t>D8 SWRM12 II</t>
  </si>
  <si>
    <t>D8 SWRM12 I</t>
  </si>
  <si>
    <t>B¸o c¸o xuÊt nhËp ph«i th¸ng 03/2004</t>
  </si>
  <si>
    <t>s¶n xuÊt th¸ng 03/2003</t>
  </si>
  <si>
    <t>24/3/2004</t>
  </si>
  <si>
    <t>24/3</t>
  </si>
  <si>
    <t>25/3</t>
  </si>
  <si>
    <t>25/3/2004</t>
  </si>
  <si>
    <t>SD390 (130x12m)C</t>
  </si>
  <si>
    <t>F6</t>
  </si>
  <si>
    <t>26/3</t>
  </si>
  <si>
    <t>26/3/2004</t>
  </si>
  <si>
    <r>
      <t>F6</t>
    </r>
    <r>
      <rPr>
        <sz val="10"/>
        <rFont val=".VnArial"/>
        <family val="2"/>
      </rPr>
      <t xml:space="preserve"> SWRM12 I</t>
    </r>
  </si>
  <si>
    <r>
      <t>F6</t>
    </r>
    <r>
      <rPr>
        <sz val="10"/>
        <rFont val=".VnArial"/>
        <family val="2"/>
      </rPr>
      <t xml:space="preserve"> SWRM12 II</t>
    </r>
  </si>
  <si>
    <t>27/3</t>
  </si>
  <si>
    <t>28/3</t>
  </si>
  <si>
    <t>27/3/2004</t>
  </si>
  <si>
    <t>28/3/2004</t>
  </si>
  <si>
    <t>29/3</t>
  </si>
  <si>
    <t>29/3/2004</t>
  </si>
  <si>
    <t>30/3</t>
  </si>
  <si>
    <t>30/3/2004</t>
  </si>
  <si>
    <t>D28</t>
  </si>
  <si>
    <t>Cò</t>
  </si>
  <si>
    <t>Míi</t>
  </si>
  <si>
    <t>Tiªu thô</t>
  </si>
  <si>
    <t>Hs</t>
  </si>
  <si>
    <t>31/3/2004</t>
  </si>
  <si>
    <t>31/3</t>
  </si>
  <si>
    <t>D28 SD390(6m)</t>
  </si>
  <si>
    <t>Ngµy 31/03   ca: A</t>
  </si>
  <si>
    <t>§ªm 31/03  ca: B</t>
  </si>
  <si>
    <t>MÊt tÝn hiÖu sensor m¸y c¾t 3 (60')</t>
  </si>
  <si>
    <t>ChËp hép ®Êu d©y vµ d©y ®iÒu khiÓn, thay cÇu ch× tñ LO52 (114')</t>
  </si>
  <si>
    <r>
      <t xml:space="preserve">                                                                            Ph©n x­ëng c¸n                       sè: 27                   </t>
    </r>
    <r>
      <rPr>
        <b/>
        <sz val="12"/>
        <rFont val=".VnTime"/>
        <family val="2"/>
      </rPr>
      <t xml:space="preserve">  </t>
    </r>
    <r>
      <rPr>
        <b/>
        <i/>
        <sz val="12"/>
        <rFont val=".VnTime"/>
        <family val="2"/>
      </rPr>
      <t xml:space="preserve">Ngµy 31 th¸ng 03  n¨m  2004                            </t>
    </r>
  </si>
  <si>
    <r>
      <t xml:space="preserve">                                                                                         Ph©n x­ëng C¸n                                 Sè:27         </t>
    </r>
    <r>
      <rPr>
        <b/>
        <i/>
        <sz val="12"/>
        <rFont val=".VnTimeH"/>
        <family val="2"/>
      </rPr>
      <t xml:space="preserve">    </t>
    </r>
    <r>
      <rPr>
        <b/>
        <i/>
        <sz val="12"/>
        <rFont val=".VnTime"/>
        <family val="2"/>
      </rPr>
      <t>Ngµy  31 Th¸ng 03 n¨m 2004</t>
    </r>
  </si>
  <si>
    <t>D28 SD390(5.5m)</t>
  </si>
  <si>
    <t>D32 SD390I</t>
  </si>
  <si>
    <t>D32 SD390(9m)</t>
  </si>
  <si>
    <t>D32 SD390(10m)</t>
  </si>
  <si>
    <t>D32</t>
  </si>
  <si>
    <t>Ghi chó : Nagµy 01/03 dÇu 27558 t©n</t>
  </si>
  <si>
    <t>D14 SD390II</t>
  </si>
  <si>
    <t>Q235B 120x120x11.8m</t>
  </si>
  <si>
    <t>05/04</t>
  </si>
  <si>
    <r>
      <t>D18+</t>
    </r>
    <r>
      <rPr>
        <sz val="10"/>
        <rFont val="Symbol"/>
        <family val="1"/>
        <charset val="2"/>
      </rPr>
      <t>F8</t>
    </r>
  </si>
  <si>
    <t>13/4/2004</t>
  </si>
  <si>
    <t>06/04</t>
  </si>
  <si>
    <t>CT5 130x130x11.8m</t>
  </si>
  <si>
    <t>14/4/2004</t>
  </si>
  <si>
    <t>15/4/2004</t>
  </si>
  <si>
    <t>16/4/2004</t>
  </si>
  <si>
    <t>§ªm 16/04  ca: C</t>
  </si>
  <si>
    <t>17/4/2004</t>
  </si>
  <si>
    <t>18/4/2004</t>
  </si>
  <si>
    <t>D8 SWRM12I</t>
  </si>
  <si>
    <t>D8 SWRM12II</t>
  </si>
  <si>
    <t>D8 v»n</t>
  </si>
  <si>
    <t>Ngµy 17/04   ca: B</t>
  </si>
  <si>
    <t>20/4</t>
  </si>
  <si>
    <t>21/4</t>
  </si>
  <si>
    <t>CT3 125x125x6m</t>
  </si>
  <si>
    <t>08/04</t>
  </si>
  <si>
    <r>
      <t xml:space="preserve">                                                                            Ph©n x­ëng c¸n                       sè: 47                   </t>
    </r>
    <r>
      <rPr>
        <b/>
        <sz val="12"/>
        <rFont val=".VnTime"/>
        <family val="2"/>
      </rPr>
      <t xml:space="preserve">  </t>
    </r>
    <r>
      <rPr>
        <b/>
        <i/>
        <sz val="12"/>
        <rFont val=".VnTime"/>
        <family val="2"/>
      </rPr>
      <t xml:space="preserve">Ngµy 21 th¸ng 04  n¨m  2004                            </t>
    </r>
  </si>
  <si>
    <t>22/4</t>
  </si>
  <si>
    <t>CT5 125x125x8m</t>
  </si>
  <si>
    <t>07/04</t>
  </si>
  <si>
    <t>CT5 130x130x12m</t>
  </si>
  <si>
    <r>
      <t xml:space="preserve">                                                                                         Ph©n x­ëng C¸n                                 Sè:48         </t>
    </r>
    <r>
      <rPr>
        <b/>
        <i/>
        <sz val="12"/>
        <rFont val=".VnTimeH"/>
        <family val="2"/>
      </rPr>
      <t xml:space="preserve">    </t>
    </r>
    <r>
      <rPr>
        <b/>
        <i/>
        <sz val="12"/>
        <rFont val=".VnTime"/>
        <family val="2"/>
      </rPr>
      <t>Ngµy  22 Th¸ng 04 n¨m 2004</t>
    </r>
  </si>
  <si>
    <t>Ngµy 22/04   ca: B</t>
  </si>
  <si>
    <t>§ªm 22/04  ca: C</t>
  </si>
  <si>
    <t>Hµn l¹i mèi hµn trôc truyÒn modul 1(28')</t>
  </si>
  <si>
    <t>ThÐp bÞ kÐo ®øt (32')</t>
  </si>
  <si>
    <t>Do trêi m­a to nªn mÊt ®iÖn l­íi ®ét ngét</t>
  </si>
  <si>
    <t>g©y sù cè vµ lçi hÖ thèng ®iÖn (60')</t>
  </si>
  <si>
    <t>Lçi hÖ thèng ®iÖn vÉn ch­a kh¾c phôc ®­îc do mÊt ®iÖn ®ét ngét tõ ca tr­íc (600').</t>
  </si>
  <si>
    <t>Bsung</t>
  </si>
  <si>
    <t>23/4</t>
  </si>
  <si>
    <t>13/5</t>
  </si>
  <si>
    <t>14/5</t>
  </si>
  <si>
    <t>HiÖu suÊt</t>
  </si>
  <si>
    <t>15/5</t>
  </si>
  <si>
    <t>16/5</t>
  </si>
  <si>
    <t>17/5</t>
  </si>
  <si>
    <t>18/5</t>
  </si>
  <si>
    <t>19/5</t>
  </si>
  <si>
    <t>20/5</t>
  </si>
  <si>
    <t>21/5</t>
  </si>
  <si>
    <t>Toµn bé sù cè c«ng nghÖ do ph«i vì.</t>
  </si>
  <si>
    <t>22/5</t>
  </si>
  <si>
    <t>23/5</t>
  </si>
  <si>
    <t>24/5</t>
  </si>
  <si>
    <t>Ngµy 22/05   ca: B</t>
  </si>
  <si>
    <t>§ªm 22/05  ca: C</t>
  </si>
  <si>
    <t>Thay läc dÇu block (70')</t>
  </si>
  <si>
    <t>Sù cè m¸y tÝnh lß (160')</t>
  </si>
  <si>
    <t>Ngµy 23/05   ca: B</t>
  </si>
  <si>
    <t>§ªm 23/05  ca: C</t>
  </si>
  <si>
    <t>25/5</t>
  </si>
  <si>
    <t>26/5</t>
  </si>
  <si>
    <t>27/5</t>
  </si>
  <si>
    <t>28/5</t>
  </si>
  <si>
    <t>29/5</t>
  </si>
  <si>
    <t>30/5</t>
  </si>
  <si>
    <t>31/5</t>
  </si>
  <si>
    <t>Ngµy 31/05   ca: A</t>
  </si>
  <si>
    <t>§ªm 31/05  ca: B</t>
  </si>
  <si>
    <t>ThÐp vì ®u«i m¾c trong hép n­íc (20')</t>
  </si>
  <si>
    <t xml:space="preserve"> Thay s¶n phÈm míi (65'), ph«i xÊu thÐp v¬ ®Çu hóc dÉn ra K2 (40'), thÐp vì ®ïn trong block (44')</t>
  </si>
  <si>
    <r>
      <t xml:space="preserve">                                                                            Ph©n x­ëng c¸n                       sè: 68                   </t>
    </r>
    <r>
      <rPr>
        <b/>
        <sz val="12"/>
        <rFont val=".VnTime"/>
        <family val="2"/>
      </rPr>
      <t xml:space="preserve">  </t>
    </r>
    <r>
      <rPr>
        <b/>
        <i/>
        <sz val="12"/>
        <rFont val=".VnTime"/>
        <family val="2"/>
      </rPr>
      <t xml:space="preserve">Ngµy 31 th¸ng 05  n¨m  2004                            </t>
    </r>
  </si>
  <si>
    <t>HsuÊt</t>
  </si>
  <si>
    <t>TT</t>
  </si>
  <si>
    <t>(%)</t>
  </si>
  <si>
    <t>Sản phẩm</t>
  </si>
  <si>
    <t>Hiệu suất thiết bị</t>
  </si>
  <si>
    <t>Đình trệ do thiết bị</t>
  </si>
  <si>
    <t>Đình trệ do khách quan</t>
  </si>
  <si>
    <t>Thời gian (h)</t>
  </si>
  <si>
    <t xml:space="preserve">                                             PHÂN XƯỞNG CÁN THÉP                             Tháng … năm 20….</t>
  </si>
  <si>
    <t>NGƯỜI LẬP</t>
  </si>
  <si>
    <t>Số ca SX</t>
  </si>
  <si>
    <t>Đình trệ do con người</t>
  </si>
  <si>
    <t>Cơ khí</t>
  </si>
  <si>
    <t>Điện</t>
  </si>
  <si>
    <t>Công nghệ</t>
  </si>
  <si>
    <t>Nhóm khác</t>
  </si>
  <si>
    <t>BÁO CÁO ĐÌNH TRỆ SẢN XUẤT THÁNG</t>
  </si>
  <si>
    <t>NMC</t>
  </si>
</sst>
</file>

<file path=xl/styles.xml><?xml version="1.0" encoding="utf-8"?>
<styleSheet xmlns="http://schemas.openxmlformats.org/spreadsheetml/2006/main" xmlns:mc="http://schemas.openxmlformats.org/markup-compatibility/2006" xmlns:x14ac="http://schemas.microsoft.com/office/spreadsheetml/2009/9/ac" mc:Ignorable="x14ac">
  <numFmts count="23">
    <numFmt numFmtId="41" formatCode="_(* #,##0_);_(* \(#,##0\);_(* &quot;-&quot;_);_(@_)"/>
    <numFmt numFmtId="43" formatCode="_(* #,##0.00_);_(* \(#,##0.00\);_(* &quot;-&quot;??_);_(@_)"/>
    <numFmt numFmtId="164" formatCode="_-* #,##0_-;\-* #,##0_-;_-* &quot;-&quot;_-;_-@_-"/>
    <numFmt numFmtId="165" formatCode="m/d"/>
    <numFmt numFmtId="166" formatCode="0.000"/>
    <numFmt numFmtId="167" formatCode="0.0000"/>
    <numFmt numFmtId="168" formatCode="0.0"/>
    <numFmt numFmtId="169" formatCode="_(* #,##0.0_);_(* \(#,##0.0\);_(* &quot;-&quot;??_);_(@_)"/>
    <numFmt numFmtId="170" formatCode="_(* #,##0_);_(* \(#,##0\);_(* &quot;-&quot;??_);_(@_)"/>
    <numFmt numFmtId="171" formatCode="_-&quot;$&quot;* #,##0_-;\-&quot;$&quot;* #,##0_-;_-&quot;$&quot;* &quot;-&quot;_-;_-@_-"/>
    <numFmt numFmtId="172" formatCode="_-&quot;$&quot;* #,##0.00_-;\-&quot;$&quot;* #,##0.00_-;_-&quot;$&quot;* &quot;-&quot;??_-;_-@_-"/>
    <numFmt numFmtId="173" formatCode="00.000"/>
    <numFmt numFmtId="174" formatCode="&quot;￥&quot;#,##0;&quot;￥&quot;\-#,##0"/>
    <numFmt numFmtId="175" formatCode="#,##0\ &quot;DM&quot;;\-#,##0\ &quot;DM&quot;"/>
    <numFmt numFmtId="176" formatCode="0.000%"/>
    <numFmt numFmtId="177" formatCode="_(* #,##0.000_);_(* \(#,##0.000\);_(* &quot;-&quot;??_);_(@_)"/>
    <numFmt numFmtId="178" formatCode="dd\/mm"/>
    <numFmt numFmtId="179" formatCode="_(* #,##0.0000_);_(* \(#,##0.0000\);_(* &quot;-&quot;??_);_(@_)"/>
    <numFmt numFmtId="180" formatCode="_(* #,##0.00000_);_(* \(#,##0.00000\);_(* &quot;-&quot;??_);_(@_)"/>
    <numFmt numFmtId="181" formatCode="&quot;$&quot;#,##0;[Red]\-&quot;$&quot;#,##0"/>
    <numFmt numFmtId="182" formatCode="h:mm;@"/>
    <numFmt numFmtId="183" formatCode="#,##0\ &quot;$&quot;_);[Red]\(#,##0\ &quot;$&quot;\)"/>
    <numFmt numFmtId="184" formatCode="_-* #,##0.000\ _F_-;\-* #,##0.000\ _F_-;_-* &quot;-&quot;???\ _F_-;_-@_-"/>
  </numFmts>
  <fonts count="85">
    <font>
      <sz val="12"/>
      <name val=".VnTime"/>
    </font>
    <font>
      <sz val="12"/>
      <name val=".VnTime"/>
      <family val="2"/>
    </font>
    <font>
      <sz val="10"/>
      <name val=".VnTime"/>
      <family val="2"/>
    </font>
    <font>
      <b/>
      <sz val="12"/>
      <name val="Arial"/>
      <family val="2"/>
    </font>
    <font>
      <sz val="14"/>
      <name val=".VnArial"/>
      <family val="2"/>
    </font>
    <font>
      <sz val="14"/>
      <name val="뼻뮝"/>
      <family val="3"/>
    </font>
    <font>
      <sz val="12"/>
      <name val="바탕체"/>
      <family val="3"/>
    </font>
    <font>
      <sz val="12"/>
      <name val="뼻뮝"/>
      <family val="3"/>
    </font>
    <font>
      <sz val="12"/>
      <name val="新細明體"/>
      <charset val="136"/>
    </font>
    <font>
      <sz val="11"/>
      <name val="돋움"/>
      <family val="3"/>
    </font>
    <font>
      <sz val="10"/>
      <name val="굴림체"/>
      <family val="3"/>
    </font>
    <font>
      <sz val="10"/>
      <name val="Arial"/>
      <family val="2"/>
    </font>
    <font>
      <b/>
      <sz val="12"/>
      <name val=".VnTime"/>
      <family val="2"/>
    </font>
    <font>
      <sz val="12"/>
      <name val=".VnTime"/>
      <family val="2"/>
    </font>
    <font>
      <b/>
      <sz val="12"/>
      <name val=".VnTimeH"/>
      <family val="2"/>
    </font>
    <font>
      <sz val="10"/>
      <name val=".VnArial"/>
      <family val="2"/>
    </font>
    <font>
      <b/>
      <sz val="10"/>
      <name val=".VnArial"/>
      <family val="2"/>
    </font>
    <font>
      <b/>
      <sz val="10"/>
      <name val=".VnTimeH"/>
      <family val="2"/>
    </font>
    <font>
      <b/>
      <i/>
      <u/>
      <sz val="8"/>
      <name val=".VnArial"/>
      <family val="2"/>
    </font>
    <font>
      <b/>
      <sz val="10"/>
      <name val="Symbol"/>
      <family val="1"/>
      <charset val="2"/>
    </font>
    <font>
      <b/>
      <sz val="16"/>
      <name val=".VnTimeH"/>
      <family val="2"/>
    </font>
    <font>
      <i/>
      <sz val="11"/>
      <name val=".VnTime"/>
      <family val="2"/>
    </font>
    <font>
      <b/>
      <sz val="12"/>
      <name val=".VnArialH"/>
      <family val="2"/>
    </font>
    <font>
      <b/>
      <sz val="10"/>
      <name val=".VnArialH"/>
      <family val="2"/>
    </font>
    <font>
      <b/>
      <sz val="9"/>
      <name val=".VnArial"/>
      <family val="2"/>
    </font>
    <font>
      <b/>
      <sz val="8"/>
      <name val=".VnArial"/>
      <family val="2"/>
    </font>
    <font>
      <sz val="10"/>
      <name val=".VnAvant"/>
      <family val="2"/>
    </font>
    <font>
      <b/>
      <sz val="18"/>
      <name val="Arial"/>
      <family val="2"/>
    </font>
    <font>
      <b/>
      <sz val="10"/>
      <name val=".VnAvantH"/>
      <family val="2"/>
    </font>
    <font>
      <b/>
      <sz val="10"/>
      <name val=".VnAvant"/>
      <family val="2"/>
    </font>
    <font>
      <sz val="18"/>
      <name val=".VnArialH"/>
      <family val="2"/>
    </font>
    <font>
      <sz val="10"/>
      <name val=".VnAvantH"/>
      <family val="2"/>
    </font>
    <font>
      <b/>
      <sz val="10"/>
      <name val=".VnTime"/>
      <family val="2"/>
    </font>
    <font>
      <sz val="10"/>
      <name val=".VnTime"/>
      <family val="2"/>
    </font>
    <font>
      <b/>
      <sz val="11"/>
      <name val=".VnArial"/>
      <family val="2"/>
    </font>
    <font>
      <sz val="16"/>
      <name val=".VnArial"/>
      <family val="2"/>
    </font>
    <font>
      <sz val="12"/>
      <name val=".VnTimeH"/>
      <family val="2"/>
    </font>
    <font>
      <sz val="16"/>
      <name val=".VnTimeH"/>
      <family val="2"/>
    </font>
    <font>
      <b/>
      <sz val="8"/>
      <name val=".VnAvantH"/>
      <family val="2"/>
    </font>
    <font>
      <b/>
      <i/>
      <sz val="12"/>
      <name val=".VnTimeH"/>
      <family val="2"/>
    </font>
    <font>
      <b/>
      <i/>
      <sz val="12"/>
      <name val=".VnTime"/>
      <family val="2"/>
    </font>
    <font>
      <b/>
      <sz val="11"/>
      <name val=".VnTime"/>
      <family val="2"/>
    </font>
    <font>
      <sz val="11"/>
      <name val=".VnTime"/>
      <family val="2"/>
    </font>
    <font>
      <b/>
      <i/>
      <u/>
      <sz val="10"/>
      <name val=".VnTime"/>
      <family val="2"/>
    </font>
    <font>
      <i/>
      <sz val="9"/>
      <name val=".VnTime"/>
      <family val="2"/>
    </font>
    <font>
      <b/>
      <sz val="11"/>
      <name val=".VnTimeH"/>
      <family val="2"/>
    </font>
    <font>
      <b/>
      <sz val="8"/>
      <name val=".VnTime"/>
      <family val="2"/>
    </font>
    <font>
      <sz val="8"/>
      <name val=".VnAvant"/>
      <family val="2"/>
    </font>
    <font>
      <sz val="9"/>
      <name val=".VnTime"/>
      <family val="2"/>
    </font>
    <font>
      <i/>
      <sz val="10"/>
      <name val=".VnTime"/>
      <family val="2"/>
    </font>
    <font>
      <sz val="9"/>
      <name val=".VnAvant"/>
      <family val="2"/>
    </font>
    <font>
      <sz val="8"/>
      <name val=".VnTime"/>
      <family val="2"/>
    </font>
    <font>
      <sz val="10"/>
      <name val=".VnArialH"/>
      <family val="2"/>
    </font>
    <font>
      <sz val="10"/>
      <name val="Symbol"/>
      <family val="1"/>
      <charset val="2"/>
    </font>
    <font>
      <sz val="10"/>
      <name val=".VnTimeH"/>
      <family val="2"/>
    </font>
    <font>
      <b/>
      <i/>
      <sz val="10"/>
      <name val=".VnTime"/>
      <family val="2"/>
    </font>
    <font>
      <b/>
      <sz val="9"/>
      <name val=".VnTime"/>
      <family val="2"/>
    </font>
    <font>
      <i/>
      <sz val="12"/>
      <name val=".VnTime"/>
      <family val="2"/>
    </font>
    <font>
      <sz val="10"/>
      <name val="Arial"/>
      <family val="2"/>
    </font>
    <font>
      <sz val="12"/>
      <name val="Times New Roman"/>
      <family val="1"/>
    </font>
    <font>
      <sz val="13"/>
      <name val=".VnTime"/>
      <family val="2"/>
    </font>
    <font>
      <sz val="10"/>
      <name val="MS Sans Serif"/>
      <family val="2"/>
    </font>
    <font>
      <sz val="9"/>
      <name val="Arial"/>
      <family val="2"/>
    </font>
    <font>
      <sz val="12"/>
      <name val="¹UAAA¼"/>
      <family val="3"/>
      <charset val="129"/>
    </font>
    <font>
      <sz val="11"/>
      <name val=".VnArial"/>
      <family val="2"/>
    </font>
    <font>
      <sz val="10"/>
      <name val="Times New Roman"/>
      <family val="1"/>
    </font>
    <font>
      <b/>
      <u/>
      <sz val="14"/>
      <color indexed="8"/>
      <name val=".VnBook-AntiquaH"/>
      <family val="2"/>
    </font>
    <font>
      <i/>
      <sz val="12"/>
      <color indexed="8"/>
      <name val=".VnBook-AntiquaH"/>
      <family val="2"/>
    </font>
    <font>
      <b/>
      <sz val="12"/>
      <color indexed="8"/>
      <name val=".VnBook-Antiqua"/>
      <family val="2"/>
    </font>
    <font>
      <i/>
      <sz val="12"/>
      <color indexed="8"/>
      <name val=".VnBook-Antiqua"/>
      <family val="2"/>
    </font>
    <font>
      <sz val="12"/>
      <name val="Arial"/>
      <family val="2"/>
    </font>
    <font>
      <b/>
      <sz val="9"/>
      <name val="Arial"/>
      <family val="2"/>
    </font>
    <font>
      <sz val="12"/>
      <name val="Courier"/>
      <family val="3"/>
    </font>
    <font>
      <sz val="10"/>
      <name val=" "/>
      <family val="1"/>
      <charset val="136"/>
    </font>
    <font>
      <sz val="8"/>
      <name val=".VnArial"/>
      <family val="2"/>
    </font>
    <font>
      <sz val="12"/>
      <name val=".VnArial"/>
      <family val="2"/>
    </font>
    <font>
      <b/>
      <sz val="14"/>
      <name val=".VnTimeH"/>
      <family val="2"/>
    </font>
    <font>
      <sz val="14"/>
      <name val=".VnTimeH"/>
      <family val="2"/>
    </font>
    <font>
      <b/>
      <sz val="18"/>
      <name val="Times New Roman"/>
      <family val="1"/>
    </font>
    <font>
      <b/>
      <sz val="14"/>
      <name val="Times New Roman"/>
      <family val="1"/>
    </font>
    <font>
      <sz val="14"/>
      <name val="Times New Roman"/>
      <family val="1"/>
    </font>
    <font>
      <b/>
      <sz val="13"/>
      <name val="Times New Roman"/>
      <family val="1"/>
    </font>
    <font>
      <b/>
      <sz val="12"/>
      <name val="Times New Roman"/>
      <family val="1"/>
    </font>
    <font>
      <b/>
      <sz val="18"/>
      <name val="Tahoma"/>
      <family val="2"/>
    </font>
    <font>
      <b/>
      <sz val="9"/>
      <name val="Times New Roman"/>
      <family val="1"/>
    </font>
  </fonts>
  <fills count="6">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41"/>
        <bgColor indexed="64"/>
      </patternFill>
    </fill>
    <fill>
      <patternFill patternType="solid">
        <fgColor indexed="9"/>
        <bgColor indexed="64"/>
      </patternFill>
    </fill>
  </fills>
  <borders count="47">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top style="double">
        <color indexed="64"/>
      </top>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style="hair">
        <color indexed="64"/>
      </bottom>
      <diagonal/>
    </border>
    <border>
      <left/>
      <right/>
      <top/>
      <bottom style="thin">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hair">
        <color indexed="64"/>
      </bottom>
      <diagonal/>
    </border>
    <border>
      <left style="double">
        <color indexed="64"/>
      </left>
      <right style="thin">
        <color indexed="64"/>
      </right>
      <top style="double">
        <color indexed="64"/>
      </top>
      <bottom style="hair">
        <color indexed="64"/>
      </bottom>
      <diagonal/>
    </border>
    <border>
      <left style="double">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double">
        <color indexed="64"/>
      </top>
      <bottom style="hair">
        <color indexed="64"/>
      </bottom>
      <diagonal/>
    </border>
    <border>
      <left style="thin">
        <color indexed="64"/>
      </left>
      <right style="thin">
        <color indexed="64"/>
      </right>
      <top style="hair">
        <color indexed="64"/>
      </top>
      <bottom style="double">
        <color indexed="64"/>
      </bottom>
      <diagonal/>
    </border>
    <border>
      <left style="double">
        <color indexed="64"/>
      </left>
      <right style="thin">
        <color indexed="64"/>
      </right>
      <top style="hair">
        <color indexed="64"/>
      </top>
      <bottom style="double">
        <color indexed="64"/>
      </bottom>
      <diagonal/>
    </border>
    <border>
      <left style="thin">
        <color indexed="64"/>
      </left>
      <right/>
      <top style="double">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right style="thin">
        <color indexed="64"/>
      </right>
      <top style="hair">
        <color indexed="64"/>
      </top>
      <bottom/>
      <diagonal/>
    </border>
    <border>
      <left/>
      <right style="thin">
        <color indexed="64"/>
      </right>
      <top style="double">
        <color indexed="64"/>
      </top>
      <bottom style="hair">
        <color indexed="64"/>
      </bottom>
      <diagonal/>
    </border>
    <border>
      <left/>
      <right style="thin">
        <color indexed="64"/>
      </right>
      <top style="hair">
        <color indexed="64"/>
      </top>
      <bottom style="double">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hair">
        <color indexed="64"/>
      </top>
      <bottom/>
      <diagonal/>
    </border>
    <border>
      <left/>
      <right style="thin">
        <color indexed="64"/>
      </right>
      <top/>
      <bottom/>
      <diagonal/>
    </border>
    <border>
      <left style="thin">
        <color indexed="64"/>
      </left>
      <right/>
      <top/>
      <bottom style="hair">
        <color indexed="64"/>
      </bottom>
      <diagonal/>
    </border>
    <border>
      <left/>
      <right/>
      <top/>
      <bottom style="hair">
        <color indexed="64"/>
      </bottom>
      <diagonal/>
    </border>
    <border>
      <left/>
      <right style="thin">
        <color indexed="64"/>
      </right>
      <top style="thin">
        <color indexed="64"/>
      </top>
      <bottom style="hair">
        <color indexed="64"/>
      </bottom>
      <diagonal/>
    </border>
    <border>
      <left style="thin">
        <color indexed="64"/>
      </left>
      <right/>
      <top/>
      <bottom style="thin">
        <color indexed="64"/>
      </bottom>
      <diagonal/>
    </border>
    <border>
      <left style="thin">
        <color indexed="64"/>
      </left>
      <right/>
      <top style="hair">
        <color indexed="64"/>
      </top>
      <bottom style="thin">
        <color indexed="64"/>
      </bottom>
      <diagonal/>
    </border>
    <border>
      <left style="thin">
        <color indexed="64"/>
      </left>
      <right/>
      <top style="thin">
        <color indexed="64"/>
      </top>
      <bottom style="hair">
        <color indexed="64"/>
      </bottom>
      <diagonal/>
    </border>
    <border>
      <left style="thin">
        <color indexed="64"/>
      </left>
      <right/>
      <top/>
      <bottom/>
      <diagonal/>
    </border>
    <border>
      <left/>
      <right style="thin">
        <color indexed="64"/>
      </right>
      <top style="thin">
        <color indexed="64"/>
      </top>
      <bottom/>
      <diagonal/>
    </border>
    <border>
      <left/>
      <right style="thin">
        <color indexed="64"/>
      </right>
      <top/>
      <bottom style="thin">
        <color indexed="64"/>
      </bottom>
      <diagonal/>
    </border>
    <border>
      <left/>
      <right/>
      <top style="hair">
        <color indexed="64"/>
      </top>
      <bottom style="thin">
        <color indexed="64"/>
      </bottom>
      <diagonal/>
    </border>
    <border>
      <left/>
      <right/>
      <top style="thin">
        <color indexed="64"/>
      </top>
      <bottom style="hair">
        <color indexed="64"/>
      </bottom>
      <diagonal/>
    </border>
    <border>
      <left/>
      <right/>
      <top style="hair">
        <color indexed="64"/>
      </top>
      <bottom style="hair">
        <color indexed="64"/>
      </bottom>
      <diagonal/>
    </border>
    <border>
      <left style="thin">
        <color indexed="64"/>
      </left>
      <right/>
      <top style="thin">
        <color indexed="64"/>
      </top>
      <bottom/>
      <diagonal/>
    </border>
    <border>
      <left style="thin">
        <color indexed="64"/>
      </left>
      <right/>
      <top style="hair">
        <color indexed="64"/>
      </top>
      <bottom/>
      <diagonal/>
    </border>
    <border>
      <left style="double">
        <color indexed="64"/>
      </left>
      <right style="thin">
        <color indexed="64"/>
      </right>
      <top style="hair">
        <color indexed="64"/>
      </top>
      <bottom/>
      <diagonal/>
    </border>
    <border>
      <left/>
      <right/>
      <top style="thin">
        <color indexed="64"/>
      </top>
      <bottom/>
      <diagonal/>
    </border>
    <border>
      <left/>
      <right/>
      <top/>
      <bottom style="double">
        <color indexed="64"/>
      </bottom>
      <diagonal/>
    </border>
  </borders>
  <cellStyleXfs count="114">
    <xf numFmtId="0" fontId="0" fillId="0" borderId="0"/>
    <xf numFmtId="0" fontId="58" fillId="0" borderId="0"/>
    <xf numFmtId="0" fontId="58" fillId="0" borderId="0"/>
    <xf numFmtId="0" fontId="59" fillId="0" borderId="0"/>
    <xf numFmtId="0" fontId="58" fillId="0" borderId="0"/>
    <xf numFmtId="181" fontId="60" fillId="0" borderId="0"/>
    <xf numFmtId="0" fontId="59" fillId="0" borderId="0"/>
    <xf numFmtId="181" fontId="60" fillId="0" borderId="0"/>
    <xf numFmtId="0" fontId="59" fillId="0" borderId="0"/>
    <xf numFmtId="0" fontId="58" fillId="0" borderId="0"/>
    <xf numFmtId="181" fontId="60" fillId="0" borderId="0"/>
    <xf numFmtId="0" fontId="58" fillId="0" borderId="0"/>
    <xf numFmtId="181" fontId="60" fillId="0" borderId="0"/>
    <xf numFmtId="0" fontId="58" fillId="0" borderId="0"/>
    <xf numFmtId="181" fontId="60" fillId="0" borderId="0"/>
    <xf numFmtId="181" fontId="60" fillId="0" borderId="0"/>
    <xf numFmtId="0" fontId="58" fillId="0" borderId="0"/>
    <xf numFmtId="0" fontId="58" fillId="0" borderId="0"/>
    <xf numFmtId="181" fontId="60" fillId="0" borderId="0"/>
    <xf numFmtId="0" fontId="59" fillId="0" borderId="0"/>
    <xf numFmtId="0" fontId="59" fillId="0" borderId="0"/>
    <xf numFmtId="0" fontId="58" fillId="0" borderId="0"/>
    <xf numFmtId="181" fontId="60" fillId="0" borderId="0"/>
    <xf numFmtId="0" fontId="58" fillId="0" borderId="0"/>
    <xf numFmtId="181" fontId="60" fillId="0" borderId="0"/>
    <xf numFmtId="0" fontId="59" fillId="0" borderId="0"/>
    <xf numFmtId="181" fontId="60" fillId="0" borderId="0"/>
    <xf numFmtId="181" fontId="60" fillId="0" borderId="0"/>
    <xf numFmtId="0" fontId="58" fillId="0" borderId="0"/>
    <xf numFmtId="181" fontId="60" fillId="0" borderId="0"/>
    <xf numFmtId="0" fontId="58" fillId="0" borderId="0"/>
    <xf numFmtId="0" fontId="58" fillId="0" borderId="0"/>
    <xf numFmtId="181" fontId="60" fillId="0" borderId="0"/>
    <xf numFmtId="0" fontId="58" fillId="0" borderId="0"/>
    <xf numFmtId="181" fontId="60" fillId="0" borderId="0"/>
    <xf numFmtId="0" fontId="59" fillId="0" borderId="0"/>
    <xf numFmtId="0" fontId="59" fillId="0" borderId="0"/>
    <xf numFmtId="0" fontId="58" fillId="0" borderId="0"/>
    <xf numFmtId="181" fontId="60" fillId="0" borderId="0"/>
    <xf numFmtId="0" fontId="58" fillId="0" borderId="0"/>
    <xf numFmtId="0" fontId="58" fillId="0" borderId="0"/>
    <xf numFmtId="181" fontId="60" fillId="0" borderId="0"/>
    <xf numFmtId="0" fontId="58" fillId="0" borderId="0"/>
    <xf numFmtId="0" fontId="59" fillId="0" borderId="0"/>
    <xf numFmtId="0" fontId="58" fillId="0" borderId="0"/>
    <xf numFmtId="181" fontId="60" fillId="0" borderId="0"/>
    <xf numFmtId="181" fontId="60" fillId="0" borderId="0"/>
    <xf numFmtId="0" fontId="59" fillId="0" borderId="0"/>
    <xf numFmtId="181" fontId="60" fillId="0" borderId="0"/>
    <xf numFmtId="0" fontId="58" fillId="0" borderId="0"/>
    <xf numFmtId="0" fontId="59" fillId="0" borderId="0"/>
    <xf numFmtId="181" fontId="60" fillId="0" borderId="0"/>
    <xf numFmtId="0" fontId="58" fillId="0" borderId="0"/>
    <xf numFmtId="181" fontId="60" fillId="0" borderId="0"/>
    <xf numFmtId="0" fontId="58" fillId="0" borderId="0"/>
    <xf numFmtId="0" fontId="58" fillId="0" borderId="0"/>
    <xf numFmtId="0" fontId="58" fillId="0" borderId="0"/>
    <xf numFmtId="0" fontId="66" fillId="2" borderId="0"/>
    <xf numFmtId="0" fontId="59" fillId="0" borderId="0"/>
    <xf numFmtId="0" fontId="11" fillId="0" borderId="0"/>
    <xf numFmtId="0" fontId="61" fillId="0" borderId="0"/>
    <xf numFmtId="0" fontId="62" fillId="0" borderId="0"/>
    <xf numFmtId="0" fontId="59" fillId="0" borderId="0"/>
    <xf numFmtId="0" fontId="67" fillId="2" borderId="0"/>
    <xf numFmtId="0" fontId="68" fillId="2" borderId="0"/>
    <xf numFmtId="0" fontId="69" fillId="0" borderId="0">
      <alignment wrapText="1"/>
    </xf>
    <xf numFmtId="0" fontId="63" fillId="0" borderId="0" applyFont="0" applyFill="0" applyBorder="0" applyAlignment="0" applyProtection="0"/>
    <xf numFmtId="0" fontId="63" fillId="0" borderId="0" applyFont="0" applyFill="0" applyBorder="0" applyAlignment="0" applyProtection="0"/>
    <xf numFmtId="0" fontId="64" fillId="0" borderId="0"/>
    <xf numFmtId="0" fontId="63" fillId="0" borderId="0" applyFont="0" applyFill="0" applyBorder="0" applyAlignment="0" applyProtection="0"/>
    <xf numFmtId="0" fontId="63" fillId="0" borderId="0" applyFont="0" applyFill="0" applyBorder="0" applyAlignment="0" applyProtection="0"/>
    <xf numFmtId="0" fontId="63" fillId="0" borderId="0"/>
    <xf numFmtId="43" fontId="1" fillId="0" borderId="0" applyFont="0" applyFill="0" applyBorder="0" applyAlignment="0" applyProtection="0"/>
    <xf numFmtId="3" fontId="11" fillId="0" borderId="0" applyFont="0" applyFill="0" applyBorder="0" applyAlignment="0" applyProtection="0"/>
    <xf numFmtId="0" fontId="64" fillId="0" borderId="0"/>
    <xf numFmtId="0" fontId="11" fillId="0" borderId="0" applyFont="0" applyFill="0" applyBorder="0" applyAlignment="0" applyProtection="0"/>
    <xf numFmtId="0" fontId="11" fillId="0" borderId="0" applyFont="0" applyFill="0" applyBorder="0" applyAlignment="0" applyProtection="0"/>
    <xf numFmtId="2" fontId="11" fillId="0" borderId="0" applyFont="0" applyFill="0" applyBorder="0" applyAlignment="0" applyProtection="0"/>
    <xf numFmtId="0" fontId="64" fillId="0" borderId="0"/>
    <xf numFmtId="0" fontId="3" fillId="0" borderId="1" applyNumberFormat="0" applyAlignment="0" applyProtection="0">
      <alignment horizontal="left" vertical="center"/>
    </xf>
    <xf numFmtId="0" fontId="3" fillId="0" borderId="2">
      <alignment horizontal="left" vertical="center"/>
    </xf>
    <xf numFmtId="0" fontId="27" fillId="0" borderId="0" applyNumberFormat="0" applyFill="0" applyBorder="0" applyAlignment="0" applyProtection="0"/>
    <xf numFmtId="0" fontId="3" fillId="0" borderId="0" applyNumberFormat="0" applyFill="0" applyBorder="0" applyAlignment="0" applyProtection="0"/>
    <xf numFmtId="0" fontId="62" fillId="0" borderId="0"/>
    <xf numFmtId="0" fontId="70" fillId="0" borderId="0" applyNumberFormat="0" applyFont="0" applyFill="0" applyAlignment="0"/>
    <xf numFmtId="184" fontId="1" fillId="0" borderId="0"/>
    <xf numFmtId="0" fontId="65" fillId="0" borderId="0"/>
    <xf numFmtId="0" fontId="11" fillId="0" borderId="0"/>
    <xf numFmtId="0" fontId="58" fillId="0" borderId="0"/>
    <xf numFmtId="0" fontId="11" fillId="0" borderId="3" applyNumberFormat="0" applyFont="0" applyFill="0" applyAlignment="0" applyProtection="0"/>
    <xf numFmtId="0" fontId="59" fillId="0" borderId="0"/>
    <xf numFmtId="0" fontId="59" fillId="0" borderId="0"/>
    <xf numFmtId="0" fontId="4" fillId="0" borderId="0" applyNumberFormat="0" applyFill="0" applyBorder="0" applyAlignment="0" applyProtection="0"/>
    <xf numFmtId="0" fontId="73" fillId="0" borderId="0" applyFont="0" applyFill="0" applyBorder="0" applyAlignment="0" applyProtection="0"/>
    <xf numFmtId="0" fontId="73" fillId="0" borderId="0" applyFont="0" applyFill="0" applyBorder="0" applyAlignment="0" applyProtection="0"/>
    <xf numFmtId="0" fontId="59" fillId="0" borderId="0">
      <alignment vertical="center"/>
    </xf>
    <xf numFmtId="40" fontId="5" fillId="0" borderId="0" applyFont="0" applyFill="0" applyBorder="0" applyAlignment="0" applyProtection="0"/>
    <xf numFmtId="38"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9" fontId="6" fillId="0" borderId="0" applyFont="0" applyFill="0" applyBorder="0" applyAlignment="0" applyProtection="0"/>
    <xf numFmtId="0" fontId="7" fillId="0" borderId="0"/>
    <xf numFmtId="175" fontId="9" fillId="0" borderId="0" applyFont="0" applyFill="0" applyBorder="0" applyAlignment="0" applyProtection="0"/>
    <xf numFmtId="176" fontId="9" fillId="0" borderId="0" applyFont="0" applyFill="0" applyBorder="0" applyAlignment="0" applyProtection="0"/>
    <xf numFmtId="174" fontId="9" fillId="0" borderId="0" applyFont="0" applyFill="0" applyBorder="0" applyAlignment="0" applyProtection="0"/>
    <xf numFmtId="173" fontId="9" fillId="0" borderId="0" applyFont="0" applyFill="0" applyBorder="0" applyAlignment="0" applyProtection="0"/>
    <xf numFmtId="0" fontId="10" fillId="0" borderId="0"/>
    <xf numFmtId="0" fontId="11" fillId="0" borderId="0"/>
    <xf numFmtId="0" fontId="71" fillId="0" borderId="0" applyProtection="0"/>
    <xf numFmtId="164" fontId="8" fillId="0" borderId="0" applyFont="0" applyFill="0" applyBorder="0" applyAlignment="0" applyProtection="0"/>
    <xf numFmtId="40" fontId="72" fillId="0" borderId="0" applyFont="0" applyFill="0" applyBorder="0" applyAlignment="0" applyProtection="0"/>
    <xf numFmtId="171" fontId="8" fillId="0" borderId="0" applyFont="0" applyFill="0" applyBorder="0" applyAlignment="0" applyProtection="0"/>
    <xf numFmtId="183" fontId="72" fillId="0" borderId="0" applyFont="0" applyFill="0" applyBorder="0" applyAlignment="0" applyProtection="0"/>
    <xf numFmtId="172" fontId="8" fillId="0" borderId="0" applyFont="0" applyFill="0" applyBorder="0" applyAlignment="0" applyProtection="0"/>
  </cellStyleXfs>
  <cellXfs count="755">
    <xf numFmtId="0" fontId="0" fillId="0" borderId="0" xfId="0"/>
    <xf numFmtId="0" fontId="11" fillId="0" borderId="0" xfId="107"/>
    <xf numFmtId="2" fontId="15" fillId="0" borderId="0" xfId="0" applyNumberFormat="1" applyFont="1" applyBorder="1"/>
    <xf numFmtId="2" fontId="16" fillId="0" borderId="0" xfId="0" applyNumberFormat="1" applyFont="1" applyBorder="1"/>
    <xf numFmtId="165" fontId="15" fillId="0" borderId="0" xfId="0" applyNumberFormat="1" applyFont="1" applyBorder="1"/>
    <xf numFmtId="0" fontId="15" fillId="0" borderId="0" xfId="0" applyFont="1" applyBorder="1"/>
    <xf numFmtId="168" fontId="15" fillId="0" borderId="0" xfId="0" applyNumberFormat="1" applyFont="1" applyBorder="1"/>
    <xf numFmtId="0" fontId="15" fillId="0" borderId="5" xfId="0" applyFont="1" applyBorder="1"/>
    <xf numFmtId="0" fontId="16" fillId="0" borderId="0" xfId="0" applyFont="1" applyBorder="1"/>
    <xf numFmtId="0" fontId="15" fillId="0" borderId="6" xfId="0" applyFont="1" applyBorder="1" applyAlignment="1">
      <alignment horizontal="center"/>
    </xf>
    <xf numFmtId="0" fontId="15" fillId="0" borderId="7" xfId="0" applyFont="1" applyBorder="1"/>
    <xf numFmtId="0" fontId="16" fillId="0" borderId="0" xfId="0" applyFont="1" applyBorder="1" applyAlignment="1">
      <alignment horizontal="center"/>
    </xf>
    <xf numFmtId="0" fontId="15" fillId="0" borderId="0" xfId="0" applyFont="1" applyBorder="1" applyAlignment="1">
      <alignment horizontal="center"/>
    </xf>
    <xf numFmtId="2" fontId="15" fillId="0" borderId="0" xfId="0" applyNumberFormat="1" applyFont="1" applyBorder="1" applyAlignment="1">
      <alignment horizontal="center"/>
    </xf>
    <xf numFmtId="0" fontId="15" fillId="0" borderId="0" xfId="0" applyFont="1" applyBorder="1" applyAlignment="1">
      <alignment horizontal="left"/>
    </xf>
    <xf numFmtId="2" fontId="16" fillId="0" borderId="0" xfId="0" applyNumberFormat="1" applyFont="1" applyBorder="1" applyAlignment="1">
      <alignment horizontal="center"/>
    </xf>
    <xf numFmtId="0" fontId="0" fillId="0" borderId="0" xfId="0" applyAlignment="1">
      <alignment horizontal="center"/>
    </xf>
    <xf numFmtId="0" fontId="2" fillId="0" borderId="0" xfId="0" applyFont="1"/>
    <xf numFmtId="2" fontId="2" fillId="0" borderId="0" xfId="0" applyNumberFormat="1" applyFont="1"/>
    <xf numFmtId="165" fontId="16" fillId="0" borderId="0" xfId="0" applyNumberFormat="1" applyFont="1" applyBorder="1"/>
    <xf numFmtId="0" fontId="16" fillId="0" borderId="0" xfId="0" quotePrefix="1" applyFont="1" applyBorder="1" applyAlignment="1">
      <alignment horizontal="right"/>
    </xf>
    <xf numFmtId="14" fontId="15" fillId="0" borderId="0" xfId="0" applyNumberFormat="1" applyFont="1" applyBorder="1"/>
    <xf numFmtId="14" fontId="2" fillId="0" borderId="0" xfId="0" applyNumberFormat="1" applyFont="1"/>
    <xf numFmtId="14" fontId="0" fillId="0" borderId="0" xfId="0" applyNumberFormat="1"/>
    <xf numFmtId="178" fontId="15" fillId="0" borderId="0" xfId="0" applyNumberFormat="1" applyFont="1" applyBorder="1"/>
    <xf numFmtId="14" fontId="18" fillId="0" borderId="0" xfId="0" applyNumberFormat="1" applyFont="1" applyBorder="1"/>
    <xf numFmtId="2" fontId="16" fillId="0" borderId="8" xfId="0" applyNumberFormat="1" applyFont="1" applyBorder="1"/>
    <xf numFmtId="2" fontId="16" fillId="0" borderId="8" xfId="0" quotePrefix="1" applyNumberFormat="1" applyFont="1" applyBorder="1" applyAlignment="1">
      <alignment horizontal="center"/>
    </xf>
    <xf numFmtId="2" fontId="15" fillId="0" borderId="5" xfId="0" applyNumberFormat="1" applyFont="1" applyBorder="1" applyAlignment="1">
      <alignment horizontal="right"/>
    </xf>
    <xf numFmtId="2" fontId="15" fillId="0" borderId="5" xfId="0" applyNumberFormat="1" applyFont="1" applyBorder="1"/>
    <xf numFmtId="2" fontId="15" fillId="0" borderId="5" xfId="0" quotePrefix="1" applyNumberFormat="1" applyFont="1" applyBorder="1" applyAlignment="1">
      <alignment horizontal="center"/>
    </xf>
    <xf numFmtId="0" fontId="17" fillId="0" borderId="0" xfId="0" applyFont="1" applyBorder="1" applyAlignment="1">
      <alignment horizontal="center"/>
    </xf>
    <xf numFmtId="0" fontId="15" fillId="0" borderId="0" xfId="0" applyFont="1"/>
    <xf numFmtId="166" fontId="16" fillId="0" borderId="8" xfId="0" applyNumberFormat="1" applyFont="1" applyBorder="1" applyAlignment="1">
      <alignment horizontal="center"/>
    </xf>
    <xf numFmtId="0" fontId="15" fillId="0" borderId="0" xfId="0" quotePrefix="1" applyFont="1" applyBorder="1" applyAlignment="1">
      <alignment horizontal="center"/>
    </xf>
    <xf numFmtId="166" fontId="16" fillId="0" borderId="0" xfId="0" applyNumberFormat="1" applyFont="1" applyBorder="1" applyAlignment="1">
      <alignment horizontal="center"/>
    </xf>
    <xf numFmtId="165" fontId="15" fillId="0" borderId="0" xfId="0" applyNumberFormat="1" applyFont="1"/>
    <xf numFmtId="0" fontId="16" fillId="0" borderId="0" xfId="0" applyFont="1" applyAlignment="1">
      <alignment horizontal="center"/>
    </xf>
    <xf numFmtId="170" fontId="15" fillId="0" borderId="0" xfId="72" applyNumberFormat="1" applyFont="1" applyBorder="1"/>
    <xf numFmtId="166" fontId="15" fillId="0" borderId="0" xfId="0" applyNumberFormat="1" applyFont="1" applyBorder="1" applyAlignment="1">
      <alignment horizontal="center"/>
    </xf>
    <xf numFmtId="166" fontId="16" fillId="0" borderId="0" xfId="0" applyNumberFormat="1" applyFont="1" applyBorder="1" applyAlignment="1">
      <alignment horizontal="center" vertical="center"/>
    </xf>
    <xf numFmtId="0" fontId="16" fillId="0" borderId="0" xfId="0" applyFont="1"/>
    <xf numFmtId="0" fontId="16" fillId="0" borderId="0" xfId="0" quotePrefix="1" applyFont="1" applyBorder="1" applyAlignment="1">
      <alignment horizontal="center"/>
    </xf>
    <xf numFmtId="14" fontId="16" fillId="0" borderId="0" xfId="0" applyNumberFormat="1" applyFont="1" applyBorder="1" applyAlignment="1">
      <alignment horizontal="right" vertical="center"/>
    </xf>
    <xf numFmtId="0" fontId="16" fillId="0" borderId="0" xfId="0" applyFont="1" applyBorder="1" applyAlignment="1">
      <alignment horizontal="right" vertical="center"/>
    </xf>
    <xf numFmtId="0" fontId="19" fillId="0" borderId="0" xfId="0" applyFont="1" applyBorder="1" applyAlignment="1">
      <alignment horizontal="center"/>
    </xf>
    <xf numFmtId="166" fontId="16" fillId="0" borderId="0" xfId="0" applyNumberFormat="1" applyFont="1" applyBorder="1" applyAlignment="1">
      <alignment horizontal="right"/>
    </xf>
    <xf numFmtId="165" fontId="22" fillId="0" borderId="0" xfId="0" applyNumberFormat="1" applyFont="1" applyAlignment="1">
      <alignment horizontal="center"/>
    </xf>
    <xf numFmtId="170" fontId="15" fillId="0" borderId="0" xfId="72" applyNumberFormat="1" applyFont="1" applyBorder="1" applyAlignment="1">
      <alignment horizontal="center"/>
    </xf>
    <xf numFmtId="170" fontId="16" fillId="0" borderId="0" xfId="72" applyNumberFormat="1" applyFont="1" applyBorder="1" applyAlignment="1">
      <alignment horizontal="center"/>
    </xf>
    <xf numFmtId="177" fontId="16" fillId="0" borderId="0" xfId="72" applyNumberFormat="1" applyFont="1" applyBorder="1" applyAlignment="1">
      <alignment horizontal="center"/>
    </xf>
    <xf numFmtId="177" fontId="15" fillId="0" borderId="0" xfId="72" applyNumberFormat="1" applyFont="1" applyBorder="1" applyAlignment="1">
      <alignment horizontal="center"/>
    </xf>
    <xf numFmtId="177" fontId="15" fillId="0" borderId="0" xfId="72" applyNumberFormat="1" applyFont="1"/>
    <xf numFmtId="0" fontId="16" fillId="0" borderId="0" xfId="0" applyFont="1" applyBorder="1" applyAlignment="1">
      <alignment horizontal="left"/>
    </xf>
    <xf numFmtId="0" fontId="15" fillId="0" borderId="9" xfId="0" applyFont="1" applyBorder="1"/>
    <xf numFmtId="0" fontId="16" fillId="0" borderId="10" xfId="0" applyFont="1" applyBorder="1"/>
    <xf numFmtId="170" fontId="15" fillId="0" borderId="0" xfId="72" applyNumberFormat="1" applyFont="1"/>
    <xf numFmtId="177" fontId="25" fillId="0" borderId="0" xfId="72" applyNumberFormat="1" applyFont="1" applyBorder="1" applyAlignment="1">
      <alignment horizontal="center"/>
    </xf>
    <xf numFmtId="177" fontId="24" fillId="0" borderId="0" xfId="72" applyNumberFormat="1" applyFont="1" applyBorder="1" applyAlignment="1">
      <alignment horizontal="center"/>
    </xf>
    <xf numFmtId="179" fontId="16" fillId="0" borderId="0" xfId="72" applyNumberFormat="1" applyFont="1" applyBorder="1" applyAlignment="1">
      <alignment horizontal="center"/>
    </xf>
    <xf numFmtId="169" fontId="16" fillId="0" borderId="0" xfId="72" applyNumberFormat="1" applyFont="1" applyBorder="1" applyAlignment="1">
      <alignment horizontal="right" vertical="center"/>
    </xf>
    <xf numFmtId="170" fontId="24" fillId="0" borderId="0" xfId="72" applyNumberFormat="1" applyFont="1" applyBorder="1" applyAlignment="1">
      <alignment horizontal="center"/>
    </xf>
    <xf numFmtId="170" fontId="16" fillId="0" borderId="0" xfId="72" applyNumberFormat="1" applyFont="1" applyBorder="1" applyAlignment="1">
      <alignment horizontal="right" vertical="center"/>
    </xf>
    <xf numFmtId="170" fontId="25" fillId="0" borderId="0" xfId="72" applyNumberFormat="1" applyFont="1" applyBorder="1" applyAlignment="1">
      <alignment horizontal="center"/>
    </xf>
    <xf numFmtId="14" fontId="25" fillId="0" borderId="0" xfId="0" applyNumberFormat="1" applyFont="1" applyBorder="1" applyAlignment="1">
      <alignment horizontal="right" vertical="center"/>
    </xf>
    <xf numFmtId="0" fontId="25" fillId="0" borderId="0" xfId="0" applyFont="1"/>
    <xf numFmtId="0" fontId="0" fillId="0" borderId="0" xfId="0" applyProtection="1">
      <protection locked="0"/>
    </xf>
    <xf numFmtId="0" fontId="16" fillId="0" borderId="11" xfId="0" applyFont="1" applyBorder="1"/>
    <xf numFmtId="0" fontId="16" fillId="0" borderId="12" xfId="0" applyFont="1" applyBorder="1"/>
    <xf numFmtId="0" fontId="15" fillId="0" borderId="13" xfId="0" applyFont="1" applyBorder="1"/>
    <xf numFmtId="0" fontId="28" fillId="0" borderId="14" xfId="0" applyFont="1" applyBorder="1"/>
    <xf numFmtId="0" fontId="28" fillId="0" borderId="14" xfId="0" applyFont="1" applyBorder="1" applyAlignment="1">
      <alignment horizontal="center"/>
    </xf>
    <xf numFmtId="166" fontId="28" fillId="0" borderId="14" xfId="0" applyNumberFormat="1" applyFont="1" applyBorder="1" applyAlignment="1">
      <alignment horizontal="center"/>
    </xf>
    <xf numFmtId="0" fontId="28" fillId="0" borderId="8" xfId="0" applyFont="1" applyBorder="1"/>
    <xf numFmtId="0" fontId="28" fillId="0" borderId="8" xfId="0" quotePrefix="1" applyFont="1" applyBorder="1" applyAlignment="1">
      <alignment horizontal="center"/>
    </xf>
    <xf numFmtId="14" fontId="28" fillId="0" borderId="14" xfId="0" applyNumberFormat="1" applyFont="1" applyBorder="1" applyAlignment="1">
      <alignment horizontal="center" vertical="center"/>
    </xf>
    <xf numFmtId="166" fontId="16" fillId="0" borderId="15" xfId="0" applyNumberFormat="1" applyFont="1" applyBorder="1" applyAlignment="1">
      <alignment horizontal="center"/>
    </xf>
    <xf numFmtId="0" fontId="28" fillId="0" borderId="0" xfId="0" applyFont="1" applyBorder="1" applyAlignment="1">
      <alignment horizontal="center"/>
    </xf>
    <xf numFmtId="170" fontId="26" fillId="4" borderId="5" xfId="0" applyNumberFormat="1" applyFont="1" applyFill="1" applyBorder="1"/>
    <xf numFmtId="0" fontId="16" fillId="0" borderId="0" xfId="0" applyFont="1" applyBorder="1" applyAlignment="1"/>
    <xf numFmtId="166" fontId="16" fillId="0" borderId="0" xfId="0" applyNumberFormat="1" applyFont="1" applyBorder="1" applyAlignment="1"/>
    <xf numFmtId="177" fontId="28" fillId="0" borderId="14" xfId="72" applyNumberFormat="1" applyFont="1" applyBorder="1" applyAlignment="1">
      <alignment horizontal="center"/>
    </xf>
    <xf numFmtId="177" fontId="28" fillId="0" borderId="8" xfId="72" applyNumberFormat="1" applyFont="1" applyBorder="1" applyAlignment="1">
      <alignment horizontal="center"/>
    </xf>
    <xf numFmtId="177" fontId="26" fillId="4" borderId="5" xfId="72" applyNumberFormat="1" applyFont="1" applyFill="1" applyBorder="1"/>
    <xf numFmtId="0" fontId="16" fillId="0" borderId="16" xfId="0" applyFont="1" applyBorder="1"/>
    <xf numFmtId="167" fontId="16" fillId="0" borderId="0" xfId="0" applyNumberFormat="1" applyFont="1" applyBorder="1" applyAlignment="1">
      <alignment horizontal="left"/>
    </xf>
    <xf numFmtId="0" fontId="0" fillId="0" borderId="0" xfId="0" applyProtection="1">
      <protection hidden="1"/>
    </xf>
    <xf numFmtId="170" fontId="19" fillId="0" borderId="0" xfId="72" applyNumberFormat="1" applyFont="1" applyBorder="1" applyAlignment="1">
      <alignment horizontal="center"/>
    </xf>
    <xf numFmtId="170" fontId="16" fillId="0" borderId="0" xfId="72" applyNumberFormat="1" applyFont="1" applyBorder="1" applyAlignment="1">
      <alignment horizontal="center" vertical="center"/>
    </xf>
    <xf numFmtId="0" fontId="25" fillId="0" borderId="0" xfId="0" applyFont="1" applyBorder="1" applyAlignment="1">
      <alignment horizontal="center"/>
    </xf>
    <xf numFmtId="170" fontId="16" fillId="0" borderId="17" xfId="72" applyNumberFormat="1" applyFont="1" applyBorder="1" applyAlignment="1">
      <alignment horizontal="center" vertical="center"/>
    </xf>
    <xf numFmtId="170" fontId="16" fillId="0" borderId="18" xfId="72" applyNumberFormat="1" applyFont="1" applyBorder="1" applyAlignment="1">
      <alignment horizontal="center" vertical="center"/>
    </xf>
    <xf numFmtId="0" fontId="23" fillId="0" borderId="19" xfId="0" applyFont="1" applyBorder="1" applyAlignment="1">
      <alignment horizontal="center"/>
    </xf>
    <xf numFmtId="166" fontId="16" fillId="0" borderId="19" xfId="0" applyNumberFormat="1" applyFont="1" applyBorder="1" applyAlignment="1">
      <alignment horizontal="right"/>
    </xf>
    <xf numFmtId="166" fontId="16" fillId="0" borderId="19" xfId="0" applyNumberFormat="1" applyFont="1" applyBorder="1" applyAlignment="1">
      <alignment horizontal="center" vertical="center"/>
    </xf>
    <xf numFmtId="0" fontId="16" fillId="0" borderId="19" xfId="0" applyFont="1" applyBorder="1" applyAlignment="1">
      <alignment horizontal="center" vertical="center"/>
    </xf>
    <xf numFmtId="0" fontId="29" fillId="0" borderId="5" xfId="0" applyFont="1" applyBorder="1" applyAlignment="1">
      <alignment horizontal="center"/>
    </xf>
    <xf numFmtId="0" fontId="16" fillId="0" borderId="5" xfId="0" applyFont="1" applyBorder="1" applyAlignment="1">
      <alignment horizontal="right" vertical="center"/>
    </xf>
    <xf numFmtId="169" fontId="16" fillId="0" borderId="5" xfId="72" applyNumberFormat="1" applyFont="1" applyBorder="1" applyAlignment="1">
      <alignment horizontal="right"/>
    </xf>
    <xf numFmtId="169" fontId="16" fillId="0" borderId="5" xfId="72" applyNumberFormat="1" applyFont="1" applyBorder="1" applyAlignment="1">
      <alignment horizontal="center" vertical="center"/>
    </xf>
    <xf numFmtId="169" fontId="34" fillId="0" borderId="5" xfId="0" applyNumberFormat="1" applyFont="1" applyBorder="1" applyAlignment="1">
      <alignment vertical="center"/>
    </xf>
    <xf numFmtId="0" fontId="0" fillId="0" borderId="0" xfId="0" applyProtection="1">
      <protection locked="0" hidden="1"/>
    </xf>
    <xf numFmtId="2" fontId="16" fillId="0" borderId="20" xfId="0" quotePrefix="1" applyNumberFormat="1" applyFont="1" applyBorder="1" applyAlignment="1">
      <alignment horizontal="center"/>
    </xf>
    <xf numFmtId="177" fontId="16" fillId="0" borderId="0" xfId="0" applyNumberFormat="1" applyFont="1" applyBorder="1"/>
    <xf numFmtId="177" fontId="16" fillId="0" borderId="0" xfId="0" applyNumberFormat="1" applyFont="1"/>
    <xf numFmtId="177" fontId="16" fillId="0" borderId="0" xfId="72" applyNumberFormat="1" applyFont="1"/>
    <xf numFmtId="167" fontId="19" fillId="0" borderId="0" xfId="0" applyNumberFormat="1" applyFont="1" applyBorder="1" applyAlignment="1">
      <alignment horizontal="center"/>
    </xf>
    <xf numFmtId="179" fontId="15" fillId="0" borderId="0" xfId="72" applyNumberFormat="1" applyFont="1" applyBorder="1"/>
    <xf numFmtId="169" fontId="26" fillId="4" borderId="5" xfId="72" applyNumberFormat="1" applyFont="1" applyFill="1" applyBorder="1"/>
    <xf numFmtId="170" fontId="15" fillId="0" borderId="0" xfId="0" applyNumberFormat="1" applyFont="1" applyBorder="1"/>
    <xf numFmtId="170" fontId="28" fillId="0" borderId="14" xfId="72" applyNumberFormat="1" applyFont="1" applyBorder="1" applyAlignment="1">
      <alignment horizontal="center"/>
    </xf>
    <xf numFmtId="170" fontId="28" fillId="0" borderId="8" xfId="72" applyNumberFormat="1" applyFont="1" applyBorder="1" applyAlignment="1">
      <alignment horizontal="center"/>
    </xf>
    <xf numFmtId="166" fontId="16" fillId="0" borderId="13" xfId="0" applyNumberFormat="1" applyFont="1" applyBorder="1" applyAlignment="1">
      <alignment horizontal="right"/>
    </xf>
    <xf numFmtId="0" fontId="15" fillId="5" borderId="0" xfId="0" applyFont="1" applyFill="1" applyBorder="1"/>
    <xf numFmtId="2" fontId="15" fillId="5" borderId="5" xfId="0" quotePrefix="1" applyNumberFormat="1" applyFont="1" applyFill="1" applyBorder="1" applyAlignment="1">
      <alignment horizontal="center"/>
    </xf>
    <xf numFmtId="2" fontId="16" fillId="5" borderId="8" xfId="0" quotePrefix="1" applyNumberFormat="1" applyFont="1" applyFill="1" applyBorder="1" applyAlignment="1">
      <alignment horizontal="center"/>
    </xf>
    <xf numFmtId="0" fontId="16" fillId="5" borderId="0" xfId="0" applyFont="1" applyFill="1" applyBorder="1" applyAlignment="1">
      <alignment horizontal="center"/>
    </xf>
    <xf numFmtId="0" fontId="17" fillId="5" borderId="0" xfId="0" applyFont="1" applyFill="1" applyBorder="1" applyAlignment="1">
      <alignment horizontal="center"/>
    </xf>
    <xf numFmtId="2" fontId="15" fillId="5" borderId="0" xfId="0" applyNumberFormat="1" applyFont="1" applyFill="1" applyBorder="1" applyAlignment="1">
      <alignment horizontal="center"/>
    </xf>
    <xf numFmtId="0" fontId="2" fillId="5" borderId="0" xfId="0" applyFont="1" applyFill="1"/>
    <xf numFmtId="2" fontId="16" fillId="5" borderId="0" xfId="0" applyNumberFormat="1" applyFont="1" applyFill="1" applyBorder="1"/>
    <xf numFmtId="0" fontId="0" fillId="5" borderId="0" xfId="0" applyFill="1"/>
    <xf numFmtId="2" fontId="15" fillId="5" borderId="0" xfId="0" applyNumberFormat="1" applyFont="1" applyFill="1" applyBorder="1"/>
    <xf numFmtId="0" fontId="16" fillId="5" borderId="0" xfId="0" applyFont="1" applyFill="1" applyBorder="1" applyAlignment="1">
      <alignment horizontal="left"/>
    </xf>
    <xf numFmtId="177" fontId="25" fillId="0" borderId="13" xfId="72" applyNumberFormat="1" applyFont="1" applyBorder="1" applyAlignment="1">
      <alignment horizontal="center"/>
    </xf>
    <xf numFmtId="170" fontId="25" fillId="0" borderId="13" xfId="72" applyNumberFormat="1" applyFont="1" applyBorder="1" applyAlignment="1">
      <alignment horizontal="center"/>
    </xf>
    <xf numFmtId="166" fontId="17" fillId="0" borderId="0" xfId="0" applyNumberFormat="1" applyFont="1" applyBorder="1" applyAlignment="1">
      <alignment horizontal="center"/>
    </xf>
    <xf numFmtId="169" fontId="16" fillId="0" borderId="5" xfId="72" applyNumberFormat="1" applyFont="1" applyBorder="1" applyAlignment="1"/>
    <xf numFmtId="0" fontId="15" fillId="0" borderId="9" xfId="0" applyFont="1" applyBorder="1" applyAlignment="1">
      <alignment horizontal="center"/>
    </xf>
    <xf numFmtId="166" fontId="15" fillId="0" borderId="9" xfId="0" applyNumberFormat="1" applyFont="1" applyBorder="1" applyAlignment="1">
      <alignment horizontal="center"/>
    </xf>
    <xf numFmtId="170" fontId="24" fillId="0" borderId="8" xfId="0" quotePrefix="1" applyNumberFormat="1" applyFont="1" applyBorder="1" applyAlignment="1">
      <alignment horizontal="center"/>
    </xf>
    <xf numFmtId="177" fontId="24" fillId="0" borderId="8" xfId="0" quotePrefix="1" applyNumberFormat="1" applyFont="1" applyBorder="1" applyAlignment="1">
      <alignment horizontal="center"/>
    </xf>
    <xf numFmtId="177" fontId="29" fillId="4" borderId="8" xfId="72" applyNumberFormat="1" applyFont="1" applyFill="1" applyBorder="1"/>
    <xf numFmtId="169" fontId="24" fillId="0" borderId="8" xfId="72" quotePrefix="1" applyNumberFormat="1" applyFont="1" applyBorder="1" applyAlignment="1">
      <alignment horizontal="center"/>
    </xf>
    <xf numFmtId="0" fontId="16" fillId="0" borderId="21" xfId="0" applyFont="1" applyBorder="1"/>
    <xf numFmtId="0" fontId="16" fillId="0" borderId="20" xfId="0" applyFont="1" applyBorder="1"/>
    <xf numFmtId="0" fontId="16" fillId="0" borderId="7" xfId="0" applyFont="1" applyBorder="1"/>
    <xf numFmtId="0" fontId="16" fillId="0" borderId="22" xfId="0" applyFont="1" applyBorder="1"/>
    <xf numFmtId="0" fontId="38" fillId="0" borderId="0" xfId="0" applyFont="1"/>
    <xf numFmtId="0" fontId="15" fillId="0" borderId="6" xfId="0" applyFont="1" applyBorder="1"/>
    <xf numFmtId="0" fontId="15" fillId="5" borderId="6" xfId="0" applyFont="1" applyFill="1" applyBorder="1" applyAlignment="1">
      <alignment horizontal="center"/>
    </xf>
    <xf numFmtId="0" fontId="15" fillId="0" borderId="6" xfId="0" applyFont="1" applyBorder="1" applyAlignment="1"/>
    <xf numFmtId="0" fontId="17" fillId="0" borderId="6" xfId="0" applyFont="1" applyBorder="1" applyAlignment="1"/>
    <xf numFmtId="0" fontId="12" fillId="0" borderId="19" xfId="0" applyFont="1" applyBorder="1"/>
    <xf numFmtId="0" fontId="12" fillId="0" borderId="4" xfId="0" applyFont="1" applyBorder="1"/>
    <xf numFmtId="0" fontId="12" fillId="0" borderId="4" xfId="0" applyFont="1" applyBorder="1" applyAlignment="1">
      <alignment horizontal="center" vertical="center"/>
    </xf>
    <xf numFmtId="0" fontId="12" fillId="0" borderId="23" xfId="0" applyFont="1" applyBorder="1"/>
    <xf numFmtId="0" fontId="12" fillId="0" borderId="23" xfId="0" applyFont="1" applyBorder="1" applyAlignment="1">
      <alignment horizontal="center" vertical="center"/>
    </xf>
    <xf numFmtId="178" fontId="12" fillId="0" borderId="24" xfId="0" applyNumberFormat="1" applyFont="1" applyBorder="1"/>
    <xf numFmtId="0" fontId="13" fillId="0" borderId="24" xfId="0" applyFont="1" applyBorder="1"/>
    <xf numFmtId="0" fontId="13" fillId="0" borderId="24" xfId="0" applyFont="1" applyBorder="1" applyAlignment="1">
      <alignment horizontal="center" vertical="center"/>
    </xf>
    <xf numFmtId="0" fontId="13" fillId="0" borderId="24" xfId="0" applyFont="1" applyBorder="1" applyAlignment="1">
      <alignment horizontal="center"/>
    </xf>
    <xf numFmtId="0" fontId="13" fillId="5" borderId="24" xfId="0" applyFont="1" applyFill="1" applyBorder="1" applyAlignment="1">
      <alignment horizontal="center"/>
    </xf>
    <xf numFmtId="0" fontId="13" fillId="0" borderId="13" xfId="0" applyFont="1" applyBorder="1" applyAlignment="1">
      <alignment horizontal="center" vertical="center"/>
    </xf>
    <xf numFmtId="178" fontId="13" fillId="0" borderId="5" xfId="0" applyNumberFormat="1" applyFont="1" applyBorder="1"/>
    <xf numFmtId="0" fontId="12" fillId="0" borderId="5" xfId="0" applyFont="1" applyBorder="1"/>
    <xf numFmtId="178" fontId="12" fillId="0" borderId="8" xfId="0" applyNumberFormat="1" applyFont="1" applyBorder="1"/>
    <xf numFmtId="0" fontId="12" fillId="0" borderId="8" xfId="0" applyFont="1" applyBorder="1"/>
    <xf numFmtId="178" fontId="12" fillId="0" borderId="8" xfId="0" applyNumberFormat="1" applyFont="1" applyBorder="1" applyAlignment="1">
      <alignment horizontal="center"/>
    </xf>
    <xf numFmtId="178" fontId="40" fillId="0" borderId="0" xfId="0" applyNumberFormat="1" applyFont="1" applyBorder="1"/>
    <xf numFmtId="0" fontId="40" fillId="0" borderId="0" xfId="0" applyFont="1" applyBorder="1"/>
    <xf numFmtId="0" fontId="40" fillId="0" borderId="0" xfId="0" quotePrefix="1" applyFont="1" applyBorder="1" applyAlignment="1">
      <alignment horizontal="center" vertical="center"/>
    </xf>
    <xf numFmtId="2" fontId="12" fillId="0" borderId="0" xfId="0" applyNumberFormat="1" applyFont="1" applyBorder="1"/>
    <xf numFmtId="2" fontId="12" fillId="5" borderId="0" xfId="0" quotePrefix="1" applyNumberFormat="1" applyFont="1" applyFill="1" applyBorder="1" applyAlignment="1">
      <alignment horizontal="center"/>
    </xf>
    <xf numFmtId="2" fontId="12" fillId="0" borderId="0" xfId="0" quotePrefix="1" applyNumberFormat="1" applyFont="1" applyBorder="1" applyAlignment="1">
      <alignment horizontal="center"/>
    </xf>
    <xf numFmtId="178" fontId="12" fillId="0" borderId="0" xfId="0" applyNumberFormat="1" applyFont="1" applyBorder="1"/>
    <xf numFmtId="0" fontId="12" fillId="0" borderId="0" xfId="0" applyFont="1" applyBorder="1"/>
    <xf numFmtId="0" fontId="12" fillId="0" borderId="0" xfId="0" quotePrefix="1" applyFont="1" applyBorder="1" applyAlignment="1">
      <alignment horizontal="center" vertical="center"/>
    </xf>
    <xf numFmtId="2" fontId="13" fillId="0" borderId="0" xfId="0" applyNumberFormat="1" applyFont="1" applyBorder="1"/>
    <xf numFmtId="2" fontId="13" fillId="5" borderId="0" xfId="0" quotePrefix="1" applyNumberFormat="1" applyFont="1" applyFill="1" applyBorder="1" applyAlignment="1">
      <alignment horizontal="center"/>
    </xf>
    <xf numFmtId="2" fontId="13" fillId="0" borderId="0" xfId="0" quotePrefix="1" applyNumberFormat="1" applyFont="1" applyBorder="1" applyAlignment="1">
      <alignment horizontal="center"/>
    </xf>
    <xf numFmtId="178" fontId="13" fillId="0" borderId="0" xfId="0" applyNumberFormat="1" applyFont="1" applyBorder="1"/>
    <xf numFmtId="0" fontId="13" fillId="0" borderId="0" xfId="0" applyFont="1" applyBorder="1"/>
    <xf numFmtId="2" fontId="36" fillId="0" borderId="0" xfId="0" applyNumberFormat="1" applyFont="1" applyBorder="1" applyAlignment="1">
      <alignment horizontal="center"/>
    </xf>
    <xf numFmtId="2" fontId="36" fillId="0" borderId="0" xfId="0" applyNumberFormat="1" applyFont="1" applyBorder="1"/>
    <xf numFmtId="0" fontId="33" fillId="0" borderId="0" xfId="0" applyFont="1"/>
    <xf numFmtId="177" fontId="33" fillId="0" borderId="0" xfId="72" applyNumberFormat="1" applyFont="1"/>
    <xf numFmtId="170" fontId="33" fillId="0" borderId="0" xfId="72" applyNumberFormat="1" applyFont="1"/>
    <xf numFmtId="165" fontId="32" fillId="0" borderId="8" xfId="0" applyNumberFormat="1" applyFont="1" applyBorder="1"/>
    <xf numFmtId="165" fontId="32" fillId="0" borderId="25" xfId="0" applyNumberFormat="1" applyFont="1" applyBorder="1"/>
    <xf numFmtId="165" fontId="32" fillId="0" borderId="0" xfId="0" applyNumberFormat="1" applyFont="1" applyBorder="1"/>
    <xf numFmtId="0" fontId="32" fillId="0" borderId="0" xfId="0" applyNumberFormat="1" applyFont="1" applyBorder="1" applyAlignment="1">
      <alignment horizontal="center"/>
    </xf>
    <xf numFmtId="166" fontId="32" fillId="0" borderId="0" xfId="0" applyNumberFormat="1" applyFont="1" applyBorder="1" applyAlignment="1">
      <alignment horizontal="center"/>
    </xf>
    <xf numFmtId="2" fontId="32" fillId="0" borderId="0" xfId="0" applyNumberFormat="1" applyFont="1" applyBorder="1" applyAlignment="1">
      <alignment horizontal="center"/>
    </xf>
    <xf numFmtId="1" fontId="32" fillId="0" borderId="0" xfId="72" applyNumberFormat="1" applyFont="1" applyBorder="1" applyAlignment="1">
      <alignment horizontal="center"/>
    </xf>
    <xf numFmtId="170" fontId="32" fillId="0" borderId="0" xfId="72" applyNumberFormat="1" applyFont="1" applyBorder="1" applyAlignment="1">
      <alignment horizontal="center"/>
    </xf>
    <xf numFmtId="43" fontId="32" fillId="0" borderId="0" xfId="72" applyFont="1" applyBorder="1" applyAlignment="1">
      <alignment horizontal="center"/>
    </xf>
    <xf numFmtId="0" fontId="32" fillId="0" borderId="13" xfId="0" applyNumberFormat="1" applyFont="1" applyBorder="1" applyAlignment="1">
      <alignment horizontal="center"/>
    </xf>
    <xf numFmtId="0" fontId="32" fillId="0" borderId="5" xfId="0" applyNumberFormat="1" applyFont="1" applyBorder="1" applyAlignment="1">
      <alignment horizontal="center"/>
    </xf>
    <xf numFmtId="165" fontId="21" fillId="0" borderId="9" xfId="0" applyNumberFormat="1" applyFont="1" applyBorder="1" applyAlignment="1">
      <alignment horizontal="center"/>
    </xf>
    <xf numFmtId="165" fontId="41" fillId="0" borderId="26" xfId="0" applyNumberFormat="1" applyFont="1" applyBorder="1"/>
    <xf numFmtId="14" fontId="42" fillId="0" borderId="24" xfId="0" quotePrefix="1" applyNumberFormat="1" applyFont="1" applyBorder="1" applyAlignment="1">
      <alignment horizontal="center"/>
    </xf>
    <xf numFmtId="170" fontId="42" fillId="0" borderId="24" xfId="72" quotePrefix="1" applyNumberFormat="1" applyFont="1" applyBorder="1" applyAlignment="1">
      <alignment horizontal="center"/>
    </xf>
    <xf numFmtId="166" fontId="21" fillId="0" borderId="24" xfId="0" applyNumberFormat="1" applyFont="1" applyBorder="1" applyAlignment="1">
      <alignment horizontal="center"/>
    </xf>
    <xf numFmtId="0" fontId="21" fillId="0" borderId="27" xfId="0" applyFont="1" applyBorder="1" applyAlignment="1">
      <alignment horizontal="left"/>
    </xf>
    <xf numFmtId="14" fontId="21" fillId="0" borderId="26" xfId="0" quotePrefix="1" applyNumberFormat="1" applyFont="1" applyBorder="1" applyAlignment="1">
      <alignment horizontal="left"/>
    </xf>
    <xf numFmtId="14" fontId="21" fillId="0" borderId="24" xfId="0" quotePrefix="1" applyNumberFormat="1" applyFont="1" applyBorder="1" applyAlignment="1">
      <alignment horizontal="center"/>
    </xf>
    <xf numFmtId="170" fontId="21" fillId="0" borderId="24" xfId="72" quotePrefix="1" applyNumberFormat="1" applyFont="1" applyBorder="1" applyAlignment="1">
      <alignment horizontal="center"/>
    </xf>
    <xf numFmtId="1" fontId="21" fillId="0" borderId="27" xfId="72" applyNumberFormat="1" applyFont="1" applyBorder="1" applyAlignment="1">
      <alignment horizontal="center"/>
    </xf>
    <xf numFmtId="166" fontId="21" fillId="0" borderId="2" xfId="0" applyNumberFormat="1" applyFont="1" applyBorder="1" applyAlignment="1">
      <alignment horizontal="center"/>
    </xf>
    <xf numFmtId="43" fontId="41" fillId="0" borderId="26" xfId="72" applyFont="1" applyBorder="1" applyAlignment="1">
      <alignment horizontal="center"/>
    </xf>
    <xf numFmtId="0" fontId="17" fillId="0" borderId="0" xfId="0" applyFont="1"/>
    <xf numFmtId="0" fontId="20" fillId="0" borderId="0" xfId="0" applyFont="1" applyAlignment="1">
      <alignment horizontal="center"/>
    </xf>
    <xf numFmtId="0" fontId="17" fillId="0" borderId="0" xfId="0" applyFont="1" applyBorder="1" applyAlignment="1"/>
    <xf numFmtId="0" fontId="37" fillId="0" borderId="0" xfId="0" applyFont="1"/>
    <xf numFmtId="0" fontId="35" fillId="0" borderId="0" xfId="0" applyFont="1"/>
    <xf numFmtId="178" fontId="12" fillId="0" borderId="23" xfId="0" applyNumberFormat="1" applyFont="1" applyBorder="1"/>
    <xf numFmtId="165" fontId="32" fillId="0" borderId="13" xfId="0" applyNumberFormat="1" applyFont="1" applyBorder="1" applyAlignment="1">
      <alignment horizontal="center"/>
    </xf>
    <xf numFmtId="0" fontId="32" fillId="0" borderId="10" xfId="0" applyNumberFormat="1" applyFont="1" applyBorder="1" applyAlignment="1">
      <alignment horizontal="center"/>
    </xf>
    <xf numFmtId="0" fontId="32" fillId="0" borderId="28" xfId="0" applyNumberFormat="1" applyFont="1" applyBorder="1" applyAlignment="1">
      <alignment horizontal="center"/>
    </xf>
    <xf numFmtId="0" fontId="32" fillId="0" borderId="29" xfId="0" applyNumberFormat="1" applyFont="1" applyBorder="1" applyAlignment="1">
      <alignment horizontal="center"/>
    </xf>
    <xf numFmtId="0" fontId="42" fillId="0" borderId="13" xfId="0" applyNumberFormat="1" applyFont="1" applyBorder="1" applyAlignment="1">
      <alignment horizontal="center"/>
    </xf>
    <xf numFmtId="0" fontId="42" fillId="0" borderId="23" xfId="0" applyNumberFormat="1" applyFont="1" applyBorder="1" applyAlignment="1">
      <alignment horizontal="center"/>
    </xf>
    <xf numFmtId="165" fontId="41" fillId="0" borderId="8" xfId="0" applyNumberFormat="1" applyFont="1" applyBorder="1"/>
    <xf numFmtId="166" fontId="41" fillId="0" borderId="8" xfId="0" applyNumberFormat="1" applyFont="1" applyBorder="1" applyAlignment="1">
      <alignment horizontal="center"/>
    </xf>
    <xf numFmtId="0" fontId="41" fillId="0" borderId="8" xfId="0" applyNumberFormat="1" applyFont="1" applyBorder="1" applyAlignment="1">
      <alignment horizontal="center"/>
    </xf>
    <xf numFmtId="170" fontId="41" fillId="0" borderId="8" xfId="72" applyNumberFormat="1" applyFont="1" applyBorder="1" applyAlignment="1">
      <alignment horizontal="center"/>
    </xf>
    <xf numFmtId="0" fontId="42" fillId="0" borderId="13" xfId="0" applyNumberFormat="1" applyFont="1" applyBorder="1" applyAlignment="1">
      <alignment horizontal="left"/>
    </xf>
    <xf numFmtId="165" fontId="41" fillId="0" borderId="13" xfId="0" applyNumberFormat="1" applyFont="1" applyBorder="1" applyAlignment="1">
      <alignment horizontal="center"/>
    </xf>
    <xf numFmtId="165" fontId="41" fillId="0" borderId="7" xfId="0" applyNumberFormat="1" applyFont="1" applyBorder="1"/>
    <xf numFmtId="165" fontId="41" fillId="0" borderId="13" xfId="0" applyNumberFormat="1" applyFont="1" applyBorder="1"/>
    <xf numFmtId="166" fontId="41" fillId="0" borderId="30" xfId="0" applyNumberFormat="1" applyFont="1" applyBorder="1" applyAlignment="1">
      <alignment horizontal="center"/>
    </xf>
    <xf numFmtId="166" fontId="41" fillId="0" borderId="10" xfId="0" applyNumberFormat="1" applyFont="1" applyBorder="1" applyAlignment="1">
      <alignment horizontal="center"/>
    </xf>
    <xf numFmtId="1" fontId="41" fillId="0" borderId="30" xfId="72" applyNumberFormat="1" applyFont="1" applyBorder="1" applyAlignment="1">
      <alignment horizontal="center"/>
    </xf>
    <xf numFmtId="170" fontId="41" fillId="0" borderId="31" xfId="72" applyNumberFormat="1" applyFont="1" applyBorder="1" applyAlignment="1">
      <alignment horizontal="center"/>
    </xf>
    <xf numFmtId="43" fontId="41" fillId="0" borderId="10" xfId="72" applyFont="1" applyBorder="1" applyAlignment="1">
      <alignment horizontal="center"/>
    </xf>
    <xf numFmtId="0" fontId="41" fillId="0" borderId="13" xfId="0" applyNumberFormat="1" applyFont="1" applyBorder="1" applyAlignment="1">
      <alignment horizontal="center"/>
    </xf>
    <xf numFmtId="0" fontId="41" fillId="0" borderId="5" xfId="0" applyNumberFormat="1" applyFont="1" applyBorder="1" applyAlignment="1">
      <alignment horizontal="center"/>
    </xf>
    <xf numFmtId="14" fontId="42" fillId="0" borderId="13" xfId="0" quotePrefix="1" applyNumberFormat="1" applyFont="1" applyBorder="1" applyAlignment="1">
      <alignment horizontal="center"/>
    </xf>
    <xf numFmtId="170" fontId="42" fillId="0" borderId="13" xfId="72" quotePrefix="1" applyNumberFormat="1" applyFont="1" applyBorder="1" applyAlignment="1">
      <alignment horizontal="center"/>
    </xf>
    <xf numFmtId="165" fontId="41" fillId="0" borderId="25" xfId="0" applyNumberFormat="1" applyFont="1" applyBorder="1"/>
    <xf numFmtId="43" fontId="41" fillId="0" borderId="25" xfId="72" applyFont="1" applyBorder="1" applyAlignment="1">
      <alignment horizontal="center"/>
    </xf>
    <xf numFmtId="14" fontId="42" fillId="0" borderId="32" xfId="0" quotePrefix="1" applyNumberFormat="1" applyFont="1" applyBorder="1" applyAlignment="1"/>
    <xf numFmtId="177" fontId="42" fillId="0" borderId="13" xfId="72" quotePrefix="1" applyNumberFormat="1" applyFont="1" applyBorder="1" applyAlignment="1">
      <alignment horizontal="center"/>
    </xf>
    <xf numFmtId="177" fontId="42" fillId="0" borderId="13" xfId="72" applyNumberFormat="1" applyFont="1" applyBorder="1" applyAlignment="1">
      <alignment horizontal="left"/>
    </xf>
    <xf numFmtId="14" fontId="42" fillId="0" borderId="13" xfId="0" quotePrefix="1" applyNumberFormat="1" applyFont="1" applyBorder="1" applyAlignment="1">
      <alignment horizontal="left"/>
    </xf>
    <xf numFmtId="177" fontId="42" fillId="0" borderId="33" xfId="72" applyNumberFormat="1" applyFont="1" applyBorder="1" applyAlignment="1">
      <alignment horizontal="left"/>
    </xf>
    <xf numFmtId="14" fontId="42" fillId="0" borderId="25" xfId="0" quotePrefix="1" applyNumberFormat="1" applyFont="1" applyBorder="1" applyAlignment="1">
      <alignment horizontal="left"/>
    </xf>
    <xf numFmtId="177" fontId="42" fillId="0" borderId="9" xfId="72" quotePrefix="1" applyNumberFormat="1" applyFont="1" applyBorder="1" applyAlignment="1">
      <alignment horizontal="center"/>
    </xf>
    <xf numFmtId="170" fontId="41" fillId="0" borderId="9" xfId="0" applyNumberFormat="1" applyFont="1" applyBorder="1" applyAlignment="1">
      <alignment horizontal="right" vertical="center"/>
    </xf>
    <xf numFmtId="177" fontId="41" fillId="0" borderId="9" xfId="0" applyNumberFormat="1" applyFont="1" applyBorder="1" applyAlignment="1">
      <alignment horizontal="right" vertical="center"/>
    </xf>
    <xf numFmtId="165" fontId="41" fillId="0" borderId="34" xfId="0" applyNumberFormat="1" applyFont="1" applyBorder="1" applyAlignment="1">
      <alignment horizontal="center"/>
    </xf>
    <xf numFmtId="165" fontId="41" fillId="0" borderId="25" xfId="0" applyNumberFormat="1" applyFont="1" applyBorder="1" applyAlignment="1">
      <alignment horizontal="center"/>
    </xf>
    <xf numFmtId="0" fontId="41" fillId="0" borderId="0" xfId="0" applyNumberFormat="1" applyFont="1" applyBorder="1" applyAlignment="1">
      <alignment horizontal="center"/>
    </xf>
    <xf numFmtId="165" fontId="41" fillId="0" borderId="0" xfId="0" applyNumberFormat="1" applyFont="1" applyBorder="1"/>
    <xf numFmtId="165" fontId="41" fillId="0" borderId="0" xfId="0" applyNumberFormat="1" applyFont="1" applyBorder="1" applyAlignment="1">
      <alignment horizontal="center"/>
    </xf>
    <xf numFmtId="166" fontId="41" fillId="0" borderId="0" xfId="0" applyNumberFormat="1" applyFont="1" applyBorder="1" applyAlignment="1">
      <alignment horizontal="center"/>
    </xf>
    <xf numFmtId="170" fontId="41" fillId="0" borderId="0" xfId="0" applyNumberFormat="1" applyFont="1" applyBorder="1" applyAlignment="1">
      <alignment horizontal="right" vertical="center"/>
    </xf>
    <xf numFmtId="177" fontId="41" fillId="0" borderId="0" xfId="0" applyNumberFormat="1" applyFont="1" applyBorder="1" applyAlignment="1">
      <alignment horizontal="right" vertical="center"/>
    </xf>
    <xf numFmtId="177" fontId="41" fillId="0" borderId="0" xfId="72" applyNumberFormat="1" applyFont="1" applyBorder="1" applyAlignment="1">
      <alignment horizontal="center" vertical="center"/>
    </xf>
    <xf numFmtId="43" fontId="41" fillId="0" borderId="0" xfId="72" applyFont="1" applyBorder="1" applyAlignment="1">
      <alignment horizontal="center"/>
    </xf>
    <xf numFmtId="165" fontId="44" fillId="0" borderId="0" xfId="0" applyNumberFormat="1" applyFont="1" applyBorder="1" applyAlignment="1">
      <alignment horizontal="left"/>
    </xf>
    <xf numFmtId="14" fontId="42" fillId="0" borderId="19" xfId="0" quotePrefix="1" applyNumberFormat="1" applyFont="1" applyBorder="1" applyAlignment="1">
      <alignment horizontal="center"/>
    </xf>
    <xf numFmtId="177" fontId="42" fillId="0" borderId="19" xfId="72" quotePrefix="1" applyNumberFormat="1" applyFont="1" applyBorder="1" applyAlignment="1">
      <alignment horizontal="center"/>
    </xf>
    <xf numFmtId="177" fontId="42" fillId="0" borderId="30" xfId="72" quotePrefix="1" applyNumberFormat="1" applyFont="1" applyBorder="1" applyAlignment="1">
      <alignment horizontal="center"/>
    </xf>
    <xf numFmtId="177" fontId="42" fillId="0" borderId="10" xfId="72" quotePrefix="1" applyNumberFormat="1" applyFont="1" applyBorder="1" applyAlignment="1">
      <alignment horizontal="center"/>
    </xf>
    <xf numFmtId="177" fontId="42" fillId="0" borderId="32" xfId="72" quotePrefix="1" applyNumberFormat="1" applyFont="1" applyBorder="1" applyAlignment="1">
      <alignment horizontal="center"/>
    </xf>
    <xf numFmtId="14" fontId="43" fillId="0" borderId="0" xfId="0" applyNumberFormat="1" applyFont="1" applyBorder="1"/>
    <xf numFmtId="0" fontId="44" fillId="0" borderId="0" xfId="0" applyFont="1" applyBorder="1" applyAlignment="1">
      <alignment horizontal="left"/>
    </xf>
    <xf numFmtId="0" fontId="44" fillId="0" borderId="0" xfId="0" applyFont="1" applyBorder="1" applyAlignment="1"/>
    <xf numFmtId="0" fontId="42" fillId="0" borderId="35" xfId="0" applyFont="1" applyBorder="1" applyAlignment="1"/>
    <xf numFmtId="177" fontId="42" fillId="0" borderId="30" xfId="72" quotePrefix="1" applyNumberFormat="1" applyFont="1" applyBorder="1" applyAlignment="1">
      <alignment horizontal="left"/>
    </xf>
    <xf numFmtId="177" fontId="42" fillId="0" borderId="10" xfId="72" quotePrefix="1" applyNumberFormat="1" applyFont="1" applyBorder="1" applyAlignment="1">
      <alignment horizontal="left"/>
    </xf>
    <xf numFmtId="177" fontId="42" fillId="0" borderId="28" xfId="72" quotePrefix="1" applyNumberFormat="1" applyFont="1" applyBorder="1" applyAlignment="1">
      <alignment horizontal="center"/>
    </xf>
    <xf numFmtId="177" fontId="42" fillId="0" borderId="30" xfId="72" applyNumberFormat="1" applyFont="1" applyBorder="1" applyAlignment="1">
      <alignment horizontal="left"/>
    </xf>
    <xf numFmtId="170" fontId="26" fillId="4" borderId="5" xfId="72" applyNumberFormat="1" applyFont="1" applyFill="1" applyBorder="1"/>
    <xf numFmtId="177" fontId="28" fillId="0" borderId="34" xfId="72" applyNumberFormat="1" applyFont="1" applyBorder="1" applyAlignment="1">
      <alignment horizontal="center"/>
    </xf>
    <xf numFmtId="177" fontId="28" fillId="0" borderId="20" xfId="72" applyNumberFormat="1" applyFont="1" applyBorder="1" applyAlignment="1">
      <alignment horizontal="center"/>
    </xf>
    <xf numFmtId="169" fontId="15" fillId="0" borderId="0" xfId="72" applyNumberFormat="1" applyFont="1" applyBorder="1"/>
    <xf numFmtId="165" fontId="32" fillId="0" borderId="13" xfId="0" applyNumberFormat="1" applyFont="1" applyBorder="1" applyAlignment="1">
      <alignment horizontal="left"/>
    </xf>
    <xf numFmtId="166" fontId="42" fillId="0" borderId="13" xfId="0" applyNumberFormat="1" applyFont="1" applyBorder="1" applyAlignment="1">
      <alignment horizontal="center"/>
    </xf>
    <xf numFmtId="170" fontId="46" fillId="0" borderId="0" xfId="72" applyNumberFormat="1" applyFont="1" applyBorder="1" applyAlignment="1">
      <alignment horizontal="center"/>
    </xf>
    <xf numFmtId="1" fontId="16" fillId="0" borderId="0" xfId="0" applyNumberFormat="1" applyFont="1" applyBorder="1" applyAlignment="1">
      <alignment horizontal="center"/>
    </xf>
    <xf numFmtId="1" fontId="16" fillId="0" borderId="0" xfId="0" applyNumberFormat="1" applyFont="1"/>
    <xf numFmtId="43" fontId="16" fillId="0" borderId="0" xfId="0" applyNumberFormat="1" applyFont="1" applyBorder="1" applyAlignment="1">
      <alignment horizontal="right" vertical="center"/>
    </xf>
    <xf numFmtId="177" fontId="16" fillId="0" borderId="0" xfId="0" applyNumberFormat="1" applyFont="1" applyBorder="1" applyAlignment="1">
      <alignment horizontal="right" vertical="center"/>
    </xf>
    <xf numFmtId="166" fontId="32" fillId="0" borderId="8" xfId="0" applyNumberFormat="1" applyFont="1" applyBorder="1" applyAlignment="1">
      <alignment horizontal="center"/>
    </xf>
    <xf numFmtId="170" fontId="42" fillId="0" borderId="30" xfId="72" applyNumberFormat="1" applyFont="1" applyBorder="1" applyAlignment="1">
      <alignment horizontal="center"/>
    </xf>
    <xf numFmtId="43" fontId="32" fillId="0" borderId="8" xfId="72" applyFont="1" applyBorder="1" applyAlignment="1">
      <alignment horizontal="center"/>
    </xf>
    <xf numFmtId="177" fontId="26" fillId="4" borderId="29" xfId="72" applyNumberFormat="1" applyFont="1" applyFill="1" applyBorder="1" applyAlignment="1">
      <alignment horizontal="center"/>
    </xf>
    <xf numFmtId="170" fontId="41" fillId="0" borderId="0" xfId="72" applyNumberFormat="1" applyFont="1" applyBorder="1" applyAlignment="1">
      <alignment horizontal="center"/>
    </xf>
    <xf numFmtId="177" fontId="42" fillId="0" borderId="0" xfId="72" applyNumberFormat="1" applyFont="1" applyBorder="1" applyAlignment="1">
      <alignment horizontal="left"/>
    </xf>
    <xf numFmtId="14" fontId="42" fillId="0" borderId="0" xfId="0" quotePrefix="1" applyNumberFormat="1" applyFont="1" applyBorder="1" applyAlignment="1">
      <alignment horizontal="left"/>
    </xf>
    <xf numFmtId="177" fontId="42" fillId="0" borderId="0" xfId="72" quotePrefix="1" applyNumberFormat="1" applyFont="1" applyBorder="1" applyAlignment="1">
      <alignment horizontal="center"/>
    </xf>
    <xf numFmtId="177" fontId="47" fillId="4" borderId="36" xfId="72" applyNumberFormat="1" applyFont="1" applyFill="1" applyBorder="1" applyAlignment="1">
      <alignment horizontal="center"/>
    </xf>
    <xf numFmtId="2" fontId="13" fillId="0" borderId="0" xfId="0" applyNumberFormat="1" applyFont="1" applyBorder="1" applyAlignment="1">
      <alignment horizontal="left"/>
    </xf>
    <xf numFmtId="2" fontId="13" fillId="5" borderId="0" xfId="0" quotePrefix="1" applyNumberFormat="1" applyFont="1" applyFill="1" applyBorder="1" applyAlignment="1">
      <alignment horizontal="left"/>
    </xf>
    <xf numFmtId="2" fontId="12" fillId="0" borderId="0" xfId="0" applyNumberFormat="1" applyFont="1" applyBorder="1" applyAlignment="1">
      <alignment horizontal="left"/>
    </xf>
    <xf numFmtId="2" fontId="12" fillId="0" borderId="0" xfId="0" quotePrefix="1" applyNumberFormat="1" applyFont="1" applyBorder="1" applyAlignment="1">
      <alignment horizontal="left"/>
    </xf>
    <xf numFmtId="177" fontId="42" fillId="0" borderId="35" xfId="72" quotePrefix="1" applyNumberFormat="1" applyFont="1" applyBorder="1" applyAlignment="1">
      <alignment horizontal="left"/>
    </xf>
    <xf numFmtId="165" fontId="41" fillId="0" borderId="19" xfId="0" applyNumberFormat="1" applyFont="1" applyBorder="1"/>
    <xf numFmtId="170" fontId="41" fillId="0" borderId="0" xfId="72" applyNumberFormat="1" applyFont="1" applyBorder="1" applyAlignment="1">
      <alignment horizontal="right" vertical="center"/>
    </xf>
    <xf numFmtId="170" fontId="46" fillId="0" borderId="0" xfId="72" applyNumberFormat="1" applyFont="1" applyBorder="1" applyAlignment="1">
      <alignment horizontal="right" vertical="center"/>
    </xf>
    <xf numFmtId="170" fontId="46" fillId="0" borderId="0" xfId="72" applyNumberFormat="1" applyFont="1" applyBorder="1" applyAlignment="1">
      <alignment horizontal="center" vertical="center"/>
    </xf>
    <xf numFmtId="177" fontId="46" fillId="0" borderId="0" xfId="72" applyNumberFormat="1" applyFont="1" applyBorder="1" applyAlignment="1">
      <alignment horizontal="center" vertical="center"/>
    </xf>
    <xf numFmtId="2" fontId="46" fillId="0" borderId="0" xfId="0" quotePrefix="1" applyNumberFormat="1" applyFont="1" applyBorder="1" applyAlignment="1">
      <alignment horizontal="center"/>
    </xf>
    <xf numFmtId="165" fontId="41" fillId="0" borderId="37" xfId="0" applyNumberFormat="1" applyFont="1" applyBorder="1"/>
    <xf numFmtId="165" fontId="41" fillId="0" borderId="4" xfId="0" applyNumberFormat="1" applyFont="1" applyBorder="1" applyAlignment="1">
      <alignment horizontal="center"/>
    </xf>
    <xf numFmtId="165" fontId="41" fillId="0" borderId="4" xfId="0" applyNumberFormat="1" applyFont="1" applyBorder="1"/>
    <xf numFmtId="165" fontId="42" fillId="0" borderId="5" xfId="0" applyNumberFormat="1" applyFont="1" applyBorder="1"/>
    <xf numFmtId="165" fontId="42" fillId="0" borderId="29" xfId="0" applyNumberFormat="1" applyFont="1" applyBorder="1"/>
    <xf numFmtId="165" fontId="41" fillId="0" borderId="23" xfId="0" applyNumberFormat="1" applyFont="1" applyBorder="1" applyAlignment="1">
      <alignment horizontal="center"/>
    </xf>
    <xf numFmtId="170" fontId="41" fillId="0" borderId="4" xfId="72" applyNumberFormat="1" applyFont="1" applyBorder="1" applyAlignment="1">
      <alignment horizontal="center"/>
    </xf>
    <xf numFmtId="165" fontId="42" fillId="0" borderId="8" xfId="0" applyNumberFormat="1" applyFont="1" applyBorder="1"/>
    <xf numFmtId="165" fontId="42" fillId="0" borderId="38" xfId="0" applyNumberFormat="1" applyFont="1" applyBorder="1"/>
    <xf numFmtId="165" fontId="42" fillId="0" borderId="9" xfId="0" applyNumberFormat="1" applyFont="1" applyBorder="1"/>
    <xf numFmtId="0" fontId="33" fillId="0" borderId="13" xfId="0" applyNumberFormat="1" applyFont="1" applyBorder="1" applyAlignment="1">
      <alignment horizontal="left"/>
    </xf>
    <xf numFmtId="0" fontId="33" fillId="0" borderId="13" xfId="0" applyNumberFormat="1" applyFont="1" applyBorder="1" applyAlignment="1">
      <alignment horizontal="center"/>
    </xf>
    <xf numFmtId="0" fontId="33" fillId="5" borderId="13" xfId="0" applyNumberFormat="1" applyFont="1" applyFill="1" applyBorder="1" applyAlignment="1">
      <alignment horizontal="center"/>
    </xf>
    <xf numFmtId="2" fontId="32" fillId="0" borderId="8" xfId="0" applyNumberFormat="1" applyFont="1" applyBorder="1" applyAlignment="1">
      <alignment horizontal="center"/>
    </xf>
    <xf numFmtId="1" fontId="32" fillId="0" borderId="8" xfId="72" applyNumberFormat="1" applyFont="1" applyBorder="1" applyAlignment="1">
      <alignment horizontal="center"/>
    </xf>
    <xf numFmtId="170" fontId="32" fillId="0" borderId="8" xfId="72" applyNumberFormat="1" applyFont="1" applyBorder="1" applyAlignment="1">
      <alignment horizontal="center"/>
    </xf>
    <xf numFmtId="0" fontId="33" fillId="3" borderId="13" xfId="0" applyNumberFormat="1" applyFont="1" applyFill="1" applyBorder="1" applyAlignment="1">
      <alignment horizontal="left"/>
    </xf>
    <xf numFmtId="0" fontId="33" fillId="0" borderId="5" xfId="0" applyNumberFormat="1" applyFont="1" applyBorder="1" applyAlignment="1">
      <alignment horizontal="left"/>
    </xf>
    <xf numFmtId="165" fontId="41" fillId="0" borderId="13" xfId="0" applyNumberFormat="1" applyFont="1" applyBorder="1" applyAlignment="1">
      <alignment horizontal="left"/>
    </xf>
    <xf numFmtId="165" fontId="41" fillId="0" borderId="24" xfId="0" applyNumberFormat="1" applyFont="1" applyBorder="1"/>
    <xf numFmtId="166" fontId="41" fillId="0" borderId="24" xfId="0" applyNumberFormat="1" applyFont="1" applyBorder="1" applyAlignment="1">
      <alignment horizontal="center"/>
    </xf>
    <xf numFmtId="165" fontId="42" fillId="0" borderId="23" xfId="0" applyNumberFormat="1" applyFont="1" applyBorder="1"/>
    <xf numFmtId="165" fontId="41" fillId="0" borderId="10" xfId="0" applyNumberFormat="1" applyFont="1" applyBorder="1"/>
    <xf numFmtId="165" fontId="41" fillId="0" borderId="9" xfId="0" applyNumberFormat="1" applyFont="1" applyBorder="1"/>
    <xf numFmtId="165" fontId="41" fillId="0" borderId="27" xfId="0" applyNumberFormat="1" applyFont="1" applyBorder="1"/>
    <xf numFmtId="170" fontId="16" fillId="0" borderId="0" xfId="0" applyNumberFormat="1" applyFont="1" applyBorder="1" applyAlignment="1">
      <alignment horizontal="center"/>
    </xf>
    <xf numFmtId="170" fontId="28" fillId="0" borderId="0" xfId="72" applyNumberFormat="1" applyFont="1"/>
    <xf numFmtId="170" fontId="16" fillId="0" borderId="0" xfId="72" applyNumberFormat="1" applyFont="1"/>
    <xf numFmtId="0" fontId="48" fillId="0" borderId="13" xfId="0" applyNumberFormat="1" applyFont="1" applyBorder="1" applyAlignment="1">
      <alignment horizontal="left"/>
    </xf>
    <xf numFmtId="14" fontId="24" fillId="0" borderId="0" xfId="0" applyNumberFormat="1" applyFont="1" applyBorder="1" applyAlignment="1">
      <alignment horizontal="right" vertical="center"/>
    </xf>
    <xf numFmtId="0" fontId="48" fillId="0" borderId="23" xfId="0" applyNumberFormat="1" applyFont="1" applyBorder="1" applyAlignment="1">
      <alignment horizontal="center"/>
    </xf>
    <xf numFmtId="0" fontId="24" fillId="0" borderId="0" xfId="0" applyFont="1" applyBorder="1" applyAlignment="1">
      <alignment horizontal="center"/>
    </xf>
    <xf numFmtId="177" fontId="24" fillId="0" borderId="0" xfId="0" quotePrefix="1" applyNumberFormat="1" applyFont="1" applyBorder="1" applyAlignment="1">
      <alignment horizontal="center"/>
    </xf>
    <xf numFmtId="43" fontId="24" fillId="0" borderId="0" xfId="0" quotePrefix="1" applyNumberFormat="1" applyFont="1" applyBorder="1" applyAlignment="1">
      <alignment horizontal="center"/>
    </xf>
    <xf numFmtId="177" fontId="24" fillId="0" borderId="0" xfId="0" applyNumberFormat="1" applyFont="1" applyBorder="1" applyAlignment="1">
      <alignment horizontal="center"/>
    </xf>
    <xf numFmtId="0" fontId="24" fillId="0" borderId="0" xfId="0" quotePrefix="1" applyFont="1" applyBorder="1" applyAlignment="1">
      <alignment horizontal="center"/>
    </xf>
    <xf numFmtId="0" fontId="13" fillId="0" borderId="0" xfId="0" applyFont="1" applyBorder="1" applyAlignment="1">
      <alignment horizontal="left"/>
    </xf>
    <xf numFmtId="179" fontId="25" fillId="0" borderId="0" xfId="72" applyNumberFormat="1" applyFont="1" applyBorder="1" applyAlignment="1">
      <alignment horizontal="center"/>
    </xf>
    <xf numFmtId="170" fontId="42" fillId="0" borderId="35" xfId="72" applyNumberFormat="1" applyFont="1" applyBorder="1" applyAlignment="1">
      <alignment horizontal="center"/>
    </xf>
    <xf numFmtId="165" fontId="49" fillId="0" borderId="9" xfId="0" applyNumberFormat="1" applyFont="1" applyBorder="1" applyAlignment="1">
      <alignment horizontal="center"/>
    </xf>
    <xf numFmtId="170" fontId="49" fillId="0" borderId="9" xfId="72" applyNumberFormat="1" applyFont="1" applyBorder="1" applyAlignment="1">
      <alignment horizontal="center"/>
    </xf>
    <xf numFmtId="166" fontId="45" fillId="0" borderId="0" xfId="0" applyNumberFormat="1" applyFont="1" applyBorder="1" applyAlignment="1">
      <alignment horizontal="center"/>
    </xf>
    <xf numFmtId="165" fontId="41" fillId="0" borderId="24" xfId="0" applyNumberFormat="1" applyFont="1" applyBorder="1" applyAlignment="1">
      <alignment horizontal="center"/>
    </xf>
    <xf numFmtId="165" fontId="41" fillId="0" borderId="38" xfId="0" applyNumberFormat="1" applyFont="1" applyBorder="1"/>
    <xf numFmtId="0" fontId="41" fillId="0" borderId="24" xfId="0" applyNumberFormat="1" applyFont="1" applyBorder="1" applyAlignment="1">
      <alignment horizontal="center"/>
    </xf>
    <xf numFmtId="14" fontId="42" fillId="0" borderId="10" xfId="0" applyNumberFormat="1" applyFont="1" applyBorder="1" applyAlignment="1">
      <alignment horizontal="left"/>
    </xf>
    <xf numFmtId="14" fontId="42" fillId="0" borderId="31" xfId="0" quotePrefix="1" applyNumberFormat="1" applyFont="1" applyBorder="1" applyAlignment="1">
      <alignment horizontal="left"/>
    </xf>
    <xf numFmtId="14" fontId="42" fillId="0" borderId="32" xfId="0" quotePrefix="1" applyNumberFormat="1" applyFont="1" applyBorder="1" applyAlignment="1">
      <alignment horizontal="left"/>
    </xf>
    <xf numFmtId="177" fontId="42" fillId="0" borderId="34" xfId="72" applyNumberFormat="1" applyFont="1" applyBorder="1" applyAlignment="1">
      <alignment horizontal="left"/>
    </xf>
    <xf numFmtId="177" fontId="42" fillId="0" borderId="25" xfId="72" quotePrefix="1" applyNumberFormat="1" applyFont="1" applyBorder="1" applyAlignment="1">
      <alignment horizontal="left"/>
    </xf>
    <xf numFmtId="177" fontId="42" fillId="0" borderId="25" xfId="72" quotePrefix="1" applyNumberFormat="1" applyFont="1" applyBorder="1" applyAlignment="1">
      <alignment horizontal="center"/>
    </xf>
    <xf numFmtId="170" fontId="42" fillId="0" borderId="8" xfId="72" quotePrefix="1" applyNumberFormat="1" applyFont="1" applyBorder="1" applyAlignment="1">
      <alignment horizontal="center"/>
    </xf>
    <xf numFmtId="177" fontId="42" fillId="0" borderId="8" xfId="72" quotePrefix="1" applyNumberFormat="1" applyFont="1" applyBorder="1" applyAlignment="1">
      <alignment horizontal="center"/>
    </xf>
    <xf numFmtId="1" fontId="41" fillId="0" borderId="34" xfId="72" applyNumberFormat="1" applyFont="1" applyBorder="1" applyAlignment="1">
      <alignment horizontal="center"/>
    </xf>
    <xf numFmtId="170" fontId="41" fillId="0" borderId="39" xfId="72" applyNumberFormat="1" applyFont="1" applyBorder="1" applyAlignment="1">
      <alignment horizontal="center"/>
    </xf>
    <xf numFmtId="0" fontId="42" fillId="5" borderId="13" xfId="0" applyNumberFormat="1" applyFont="1" applyFill="1" applyBorder="1" applyAlignment="1">
      <alignment horizontal="center"/>
    </xf>
    <xf numFmtId="0" fontId="41" fillId="0" borderId="23" xfId="0" applyNumberFormat="1" applyFont="1" applyBorder="1" applyAlignment="1">
      <alignment horizontal="center"/>
    </xf>
    <xf numFmtId="178" fontId="12" fillId="0" borderId="0" xfId="0" applyNumberFormat="1" applyFont="1" applyBorder="1" applyAlignment="1">
      <alignment horizontal="center"/>
    </xf>
    <xf numFmtId="2" fontId="16" fillId="5" borderId="0" xfId="0" quotePrefix="1" applyNumberFormat="1" applyFont="1" applyFill="1" applyBorder="1" applyAlignment="1">
      <alignment horizontal="center"/>
    </xf>
    <xf numFmtId="2" fontId="16" fillId="0" borderId="0" xfId="0" quotePrefix="1" applyNumberFormat="1" applyFont="1" applyBorder="1" applyAlignment="1">
      <alignment horizontal="center"/>
    </xf>
    <xf numFmtId="166" fontId="41" fillId="0" borderId="27" xfId="0" applyNumberFormat="1" applyFont="1" applyBorder="1" applyAlignment="1">
      <alignment horizontal="center"/>
    </xf>
    <xf numFmtId="166" fontId="41" fillId="0" borderId="26" xfId="0" applyNumberFormat="1" applyFont="1" applyBorder="1" applyAlignment="1">
      <alignment horizontal="center"/>
    </xf>
    <xf numFmtId="165" fontId="32" fillId="0" borderId="6" xfId="0" applyNumberFormat="1" applyFont="1" applyBorder="1"/>
    <xf numFmtId="166" fontId="32" fillId="0" borderId="6" xfId="0" applyNumberFormat="1" applyFont="1" applyBorder="1" applyAlignment="1">
      <alignment horizontal="center"/>
    </xf>
    <xf numFmtId="2" fontId="32" fillId="0" borderId="6" xfId="0" applyNumberFormat="1" applyFont="1" applyBorder="1" applyAlignment="1">
      <alignment horizontal="center"/>
    </xf>
    <xf numFmtId="1" fontId="32" fillId="0" borderId="6" xfId="72" applyNumberFormat="1" applyFont="1" applyBorder="1" applyAlignment="1">
      <alignment horizontal="center"/>
    </xf>
    <xf numFmtId="170" fontId="32" fillId="0" borderId="6" xfId="72" applyNumberFormat="1" applyFont="1" applyBorder="1" applyAlignment="1">
      <alignment horizontal="center"/>
    </xf>
    <xf numFmtId="43" fontId="32" fillId="0" borderId="6" xfId="72" applyFont="1" applyBorder="1" applyAlignment="1">
      <alignment horizontal="center"/>
    </xf>
    <xf numFmtId="177" fontId="42" fillId="0" borderId="35" xfId="72" applyNumberFormat="1" applyFont="1" applyBorder="1" applyAlignment="1">
      <alignment horizontal="left"/>
    </xf>
    <xf numFmtId="177" fontId="42" fillId="0" borderId="32" xfId="72" quotePrefix="1" applyNumberFormat="1" applyFont="1" applyBorder="1" applyAlignment="1">
      <alignment horizontal="left"/>
    </xf>
    <xf numFmtId="170" fontId="42" fillId="0" borderId="19" xfId="72" quotePrefix="1" applyNumberFormat="1" applyFont="1" applyBorder="1" applyAlignment="1">
      <alignment horizontal="center"/>
    </xf>
    <xf numFmtId="165" fontId="41" fillId="0" borderId="33" xfId="0" applyNumberFormat="1" applyFont="1" applyBorder="1" applyAlignment="1">
      <alignment horizontal="center"/>
    </xf>
    <xf numFmtId="165" fontId="41" fillId="0" borderId="38" xfId="0" applyNumberFormat="1" applyFont="1" applyBorder="1" applyAlignment="1">
      <alignment horizontal="center"/>
    </xf>
    <xf numFmtId="0" fontId="41" fillId="0" borderId="9" xfId="0" applyNumberFormat="1" applyFont="1" applyBorder="1" applyAlignment="1">
      <alignment horizontal="center"/>
    </xf>
    <xf numFmtId="170" fontId="41" fillId="0" borderId="9" xfId="72" applyNumberFormat="1" applyFont="1" applyBorder="1" applyAlignment="1">
      <alignment horizontal="center"/>
    </xf>
    <xf numFmtId="166" fontId="41" fillId="0" borderId="9" xfId="0" applyNumberFormat="1" applyFont="1" applyBorder="1" applyAlignment="1">
      <alignment horizontal="center"/>
    </xf>
    <xf numFmtId="177" fontId="42" fillId="0" borderId="27" xfId="72" applyNumberFormat="1" applyFont="1" applyBorder="1" applyAlignment="1">
      <alignment horizontal="left"/>
    </xf>
    <xf numFmtId="177" fontId="42" fillId="0" borderId="26" xfId="72" quotePrefix="1" applyNumberFormat="1" applyFont="1" applyBorder="1" applyAlignment="1">
      <alignment horizontal="left"/>
    </xf>
    <xf numFmtId="177" fontId="42" fillId="0" borderId="26" xfId="72" quotePrefix="1" applyNumberFormat="1" applyFont="1" applyBorder="1" applyAlignment="1">
      <alignment horizontal="center"/>
    </xf>
    <xf numFmtId="177" fontId="42" fillId="0" borderId="24" xfId="72" quotePrefix="1" applyNumberFormat="1" applyFont="1" applyBorder="1" applyAlignment="1">
      <alignment horizontal="center"/>
    </xf>
    <xf numFmtId="43" fontId="41" fillId="0" borderId="38" xfId="72" applyFont="1" applyBorder="1" applyAlignment="1">
      <alignment horizontal="center"/>
    </xf>
    <xf numFmtId="1" fontId="41" fillId="0" borderId="27" xfId="72" applyNumberFormat="1" applyFont="1" applyBorder="1" applyAlignment="1">
      <alignment horizontal="center"/>
    </xf>
    <xf numFmtId="170" fontId="41" fillId="0" borderId="2" xfId="72" applyNumberFormat="1" applyFont="1" applyBorder="1" applyAlignment="1">
      <alignment horizontal="center"/>
    </xf>
    <xf numFmtId="166" fontId="41" fillId="0" borderId="33" xfId="0" applyNumberFormat="1" applyFont="1" applyBorder="1" applyAlignment="1">
      <alignment horizontal="center"/>
    </xf>
    <xf numFmtId="166" fontId="41" fillId="0" borderId="38" xfId="0" applyNumberFormat="1" applyFont="1" applyBorder="1" applyAlignment="1">
      <alignment horizontal="center"/>
    </xf>
    <xf numFmtId="177" fontId="50" fillId="4" borderId="5" xfId="72" applyNumberFormat="1" applyFont="1" applyFill="1" applyBorder="1"/>
    <xf numFmtId="0" fontId="41" fillId="0" borderId="19" xfId="0" applyNumberFormat="1" applyFont="1" applyBorder="1" applyAlignment="1">
      <alignment horizontal="center"/>
    </xf>
    <xf numFmtId="0" fontId="42" fillId="0" borderId="19" xfId="0" applyNumberFormat="1" applyFont="1" applyBorder="1" applyAlignment="1">
      <alignment horizontal="left"/>
    </xf>
    <xf numFmtId="0" fontId="42" fillId="0" borderId="19" xfId="0" applyNumberFormat="1" applyFont="1" applyBorder="1" applyAlignment="1">
      <alignment horizontal="center"/>
    </xf>
    <xf numFmtId="0" fontId="42" fillId="5" borderId="19" xfId="0" applyNumberFormat="1" applyFont="1" applyFill="1" applyBorder="1" applyAlignment="1">
      <alignment horizontal="center"/>
    </xf>
    <xf numFmtId="166" fontId="42" fillId="0" borderId="19" xfId="0" applyNumberFormat="1" applyFont="1" applyBorder="1" applyAlignment="1">
      <alignment horizontal="center"/>
    </xf>
    <xf numFmtId="0" fontId="42" fillId="0" borderId="9" xfId="0" applyNumberFormat="1" applyFont="1" applyBorder="1" applyAlignment="1">
      <alignment horizontal="left"/>
    </xf>
    <xf numFmtId="0" fontId="42" fillId="0" borderId="9" xfId="0" applyNumberFormat="1" applyFont="1" applyBorder="1" applyAlignment="1">
      <alignment horizontal="center"/>
    </xf>
    <xf numFmtId="166" fontId="42" fillId="0" borderId="9" xfId="0" applyNumberFormat="1" applyFont="1" applyBorder="1" applyAlignment="1">
      <alignment horizontal="center"/>
    </xf>
    <xf numFmtId="0" fontId="42" fillId="0" borderId="30" xfId="0" applyFont="1" applyBorder="1" applyAlignment="1"/>
    <xf numFmtId="14" fontId="42" fillId="0" borderId="10" xfId="0" quotePrefix="1" applyNumberFormat="1" applyFont="1" applyBorder="1" applyAlignment="1"/>
    <xf numFmtId="165" fontId="41" fillId="0" borderId="28" xfId="0" applyNumberFormat="1" applyFont="1" applyBorder="1"/>
    <xf numFmtId="177" fontId="42" fillId="0" borderId="38" xfId="72" quotePrefix="1" applyNumberFormat="1" applyFont="1" applyBorder="1" applyAlignment="1">
      <alignment horizontal="left"/>
    </xf>
    <xf numFmtId="177" fontId="42" fillId="0" borderId="38" xfId="72" quotePrefix="1" applyNumberFormat="1" applyFont="1" applyBorder="1" applyAlignment="1">
      <alignment horizontal="center"/>
    </xf>
    <xf numFmtId="170" fontId="42" fillId="0" borderId="9" xfId="72" quotePrefix="1" applyNumberFormat="1" applyFont="1" applyBorder="1" applyAlignment="1">
      <alignment horizontal="center"/>
    </xf>
    <xf numFmtId="0" fontId="42" fillId="0" borderId="34" xfId="0" applyFont="1" applyBorder="1" applyAlignment="1"/>
    <xf numFmtId="14" fontId="42" fillId="0" borderId="25" xfId="0" quotePrefix="1" applyNumberFormat="1" applyFont="1" applyBorder="1" applyAlignment="1"/>
    <xf numFmtId="14" fontId="42" fillId="0" borderId="8" xfId="0" quotePrefix="1" applyNumberFormat="1" applyFont="1" applyBorder="1" applyAlignment="1">
      <alignment horizontal="center"/>
    </xf>
    <xf numFmtId="170" fontId="42" fillId="0" borderId="34" xfId="72" applyNumberFormat="1" applyFont="1" applyBorder="1" applyAlignment="1">
      <alignment horizontal="center"/>
    </xf>
    <xf numFmtId="177" fontId="51" fillId="0" borderId="0" xfId="72" applyNumberFormat="1" applyFont="1" applyBorder="1" applyAlignment="1">
      <alignment horizontal="center"/>
    </xf>
    <xf numFmtId="0" fontId="53" fillId="0" borderId="13" xfId="0" applyNumberFormat="1" applyFont="1" applyBorder="1" applyAlignment="1">
      <alignment horizontal="left"/>
    </xf>
    <xf numFmtId="1" fontId="41" fillId="0" borderId="33" xfId="72" applyNumberFormat="1" applyFont="1" applyBorder="1" applyAlignment="1">
      <alignment horizontal="center"/>
    </xf>
    <xf numFmtId="170" fontId="41" fillId="0" borderId="6" xfId="72" applyNumberFormat="1" applyFont="1" applyBorder="1" applyAlignment="1">
      <alignment horizontal="center"/>
    </xf>
    <xf numFmtId="14" fontId="42" fillId="0" borderId="19" xfId="0" applyNumberFormat="1" applyFont="1" applyBorder="1" applyAlignment="1">
      <alignment horizontal="left"/>
    </xf>
    <xf numFmtId="14" fontId="42" fillId="0" borderId="19" xfId="0" quotePrefix="1" applyNumberFormat="1" applyFont="1" applyBorder="1" applyAlignment="1">
      <alignment horizontal="left"/>
    </xf>
    <xf numFmtId="165" fontId="41" fillId="0" borderId="5" xfId="0" applyNumberFormat="1" applyFont="1" applyBorder="1"/>
    <xf numFmtId="14" fontId="42" fillId="0" borderId="5" xfId="0" quotePrefix="1" applyNumberFormat="1" applyFont="1" applyBorder="1" applyAlignment="1">
      <alignment horizontal="center"/>
    </xf>
    <xf numFmtId="177" fontId="42" fillId="0" borderId="5" xfId="72" quotePrefix="1" applyNumberFormat="1" applyFont="1" applyBorder="1" applyAlignment="1">
      <alignment horizontal="center"/>
    </xf>
    <xf numFmtId="170" fontId="42" fillId="0" borderId="5" xfId="72" quotePrefix="1" applyNumberFormat="1" applyFont="1" applyBorder="1" applyAlignment="1">
      <alignment horizontal="center"/>
    </xf>
    <xf numFmtId="166" fontId="41" fillId="0" borderId="35" xfId="0" applyNumberFormat="1" applyFont="1" applyBorder="1" applyAlignment="1">
      <alignment horizontal="center"/>
    </xf>
    <xf numFmtId="166" fontId="41" fillId="0" borderId="32" xfId="0" applyNumberFormat="1" applyFont="1" applyBorder="1" applyAlignment="1">
      <alignment horizontal="center"/>
    </xf>
    <xf numFmtId="1" fontId="41" fillId="0" borderId="35" xfId="72" applyNumberFormat="1" applyFont="1" applyBorder="1" applyAlignment="1">
      <alignment horizontal="center"/>
    </xf>
    <xf numFmtId="170" fontId="41" fillId="0" borderId="40" xfId="72" applyNumberFormat="1" applyFont="1" applyBorder="1" applyAlignment="1">
      <alignment horizontal="center"/>
    </xf>
    <xf numFmtId="0" fontId="42" fillId="0" borderId="18" xfId="0" applyFont="1" applyBorder="1" applyAlignment="1"/>
    <xf numFmtId="14" fontId="42" fillId="0" borderId="7" xfId="0" quotePrefix="1" applyNumberFormat="1" applyFont="1" applyBorder="1" applyAlignment="1"/>
    <xf numFmtId="170" fontId="42" fillId="0" borderId="18" xfId="72" applyNumberFormat="1" applyFont="1" applyBorder="1" applyAlignment="1">
      <alignment horizontal="center"/>
    </xf>
    <xf numFmtId="177" fontId="42" fillId="0" borderId="18" xfId="72" applyNumberFormat="1" applyFont="1" applyBorder="1" applyAlignment="1">
      <alignment horizontal="left"/>
    </xf>
    <xf numFmtId="177" fontId="42" fillId="0" borderId="7" xfId="72" quotePrefix="1" applyNumberFormat="1" applyFont="1" applyBorder="1" applyAlignment="1">
      <alignment horizontal="left"/>
    </xf>
    <xf numFmtId="177" fontId="42" fillId="0" borderId="7" xfId="72" quotePrefix="1" applyNumberFormat="1" applyFont="1" applyBorder="1" applyAlignment="1">
      <alignment horizontal="center"/>
    </xf>
    <xf numFmtId="1" fontId="41" fillId="0" borderId="18" xfId="72" applyNumberFormat="1" applyFont="1" applyBorder="1" applyAlignment="1">
      <alignment horizontal="center"/>
    </xf>
    <xf numFmtId="170" fontId="41" fillId="0" borderId="41" xfId="72" applyNumberFormat="1" applyFont="1" applyBorder="1" applyAlignment="1">
      <alignment horizontal="center"/>
    </xf>
    <xf numFmtId="43" fontId="41" fillId="0" borderId="7" xfId="72" applyFont="1" applyBorder="1" applyAlignment="1">
      <alignment horizontal="center"/>
    </xf>
    <xf numFmtId="165" fontId="41" fillId="0" borderId="19" xfId="0" applyNumberFormat="1" applyFont="1" applyBorder="1" applyAlignment="1">
      <alignment horizontal="center"/>
    </xf>
    <xf numFmtId="165" fontId="41" fillId="0" borderId="32" xfId="0" applyNumberFormat="1" applyFont="1" applyBorder="1"/>
    <xf numFmtId="14" fontId="42" fillId="0" borderId="32" xfId="0" quotePrefix="1" applyNumberFormat="1" applyFont="1" applyBorder="1" applyAlignment="1">
      <alignment horizontal="center"/>
    </xf>
    <xf numFmtId="0" fontId="53" fillId="0" borderId="13" xfId="0" applyNumberFormat="1" applyFont="1" applyBorder="1" applyAlignment="1">
      <alignment horizontal="center"/>
    </xf>
    <xf numFmtId="0" fontId="15" fillId="0" borderId="29" xfId="0" applyFont="1" applyBorder="1" applyAlignment="1"/>
    <xf numFmtId="0" fontId="54" fillId="0" borderId="0" xfId="0" applyFont="1" applyBorder="1"/>
    <xf numFmtId="179" fontId="24" fillId="0" borderId="0" xfId="72" applyNumberFormat="1" applyFont="1" applyBorder="1" applyAlignment="1">
      <alignment horizontal="center"/>
    </xf>
    <xf numFmtId="179" fontId="24" fillId="0" borderId="0" xfId="0" quotePrefix="1" applyNumberFormat="1" applyFont="1" applyBorder="1" applyAlignment="1">
      <alignment horizontal="center"/>
    </xf>
    <xf numFmtId="166" fontId="42" fillId="0" borderId="23" xfId="0" applyNumberFormat="1" applyFont="1" applyBorder="1" applyAlignment="1">
      <alignment horizontal="center"/>
    </xf>
    <xf numFmtId="0" fontId="15" fillId="0" borderId="13" xfId="0" applyNumberFormat="1" applyFont="1" applyBorder="1" applyAlignment="1">
      <alignment horizontal="left"/>
    </xf>
    <xf numFmtId="0" fontId="15" fillId="0" borderId="13" xfId="0" applyNumberFormat="1" applyFont="1" applyBorder="1" applyAlignment="1">
      <alignment horizontal="center"/>
    </xf>
    <xf numFmtId="178" fontId="43" fillId="0" borderId="0" xfId="0" applyNumberFormat="1" applyFont="1" applyBorder="1"/>
    <xf numFmtId="178" fontId="49" fillId="0" borderId="0" xfId="0" applyNumberFormat="1" applyFont="1" applyBorder="1"/>
    <xf numFmtId="2" fontId="55" fillId="0" borderId="0" xfId="0" applyNumberFormat="1" applyFont="1" applyBorder="1"/>
    <xf numFmtId="0" fontId="41" fillId="0" borderId="28" xfId="0" applyNumberFormat="1" applyFont="1" applyBorder="1" applyAlignment="1">
      <alignment horizontal="center"/>
    </xf>
    <xf numFmtId="165" fontId="41" fillId="0" borderId="20" xfId="0" applyNumberFormat="1" applyFont="1" applyBorder="1"/>
    <xf numFmtId="165" fontId="41" fillId="0" borderId="23" xfId="0" applyNumberFormat="1" applyFont="1" applyBorder="1"/>
    <xf numFmtId="166" fontId="41" fillId="0" borderId="36" xfId="0" applyNumberFormat="1" applyFont="1" applyBorder="1" applyAlignment="1">
      <alignment horizontal="center"/>
    </xf>
    <xf numFmtId="166" fontId="41" fillId="0" borderId="29" xfId="0" applyNumberFormat="1" applyFont="1" applyBorder="1" applyAlignment="1">
      <alignment horizontal="center"/>
    </xf>
    <xf numFmtId="1" fontId="41" fillId="0" borderId="36" xfId="72" applyNumberFormat="1" applyFont="1" applyBorder="1" applyAlignment="1">
      <alignment horizontal="center"/>
    </xf>
    <xf numFmtId="43" fontId="41" fillId="0" borderId="29" xfId="72" applyFont="1" applyBorder="1" applyAlignment="1">
      <alignment horizontal="center"/>
    </xf>
    <xf numFmtId="177" fontId="42" fillId="0" borderId="28" xfId="0" applyNumberFormat="1" applyFont="1" applyBorder="1" applyAlignment="1">
      <alignment horizontal="center" vertical="center"/>
    </xf>
    <xf numFmtId="43" fontId="42" fillId="0" borderId="28" xfId="72" applyNumberFormat="1" applyFont="1" applyBorder="1" applyAlignment="1">
      <alignment horizontal="center" vertical="center"/>
    </xf>
    <xf numFmtId="177" fontId="42" fillId="0" borderId="36" xfId="72" quotePrefix="1" applyNumberFormat="1" applyFont="1" applyBorder="1" applyAlignment="1">
      <alignment horizontal="left"/>
    </xf>
    <xf numFmtId="177" fontId="42" fillId="0" borderId="29" xfId="72" quotePrefix="1" applyNumberFormat="1" applyFont="1" applyBorder="1" applyAlignment="1">
      <alignment horizontal="left"/>
    </xf>
    <xf numFmtId="177" fontId="42" fillId="0" borderId="29" xfId="72" quotePrefix="1" applyNumberFormat="1" applyFont="1" applyBorder="1" applyAlignment="1">
      <alignment horizontal="center"/>
    </xf>
    <xf numFmtId="170" fontId="42" fillId="0" borderId="23" xfId="72" quotePrefix="1" applyNumberFormat="1" applyFont="1" applyBorder="1" applyAlignment="1">
      <alignment horizontal="center"/>
    </xf>
    <xf numFmtId="177" fontId="42" fillId="0" borderId="23" xfId="72" quotePrefix="1" applyNumberFormat="1" applyFont="1" applyBorder="1" applyAlignment="1">
      <alignment horizontal="center"/>
    </xf>
    <xf numFmtId="1" fontId="42" fillId="0" borderId="4" xfId="72" applyNumberFormat="1" applyFont="1" applyBorder="1" applyAlignment="1">
      <alignment horizontal="center" vertical="center"/>
    </xf>
    <xf numFmtId="43" fontId="42" fillId="0" borderId="4" xfId="0" applyNumberFormat="1" applyFont="1" applyBorder="1" applyAlignment="1">
      <alignment horizontal="center" vertical="center"/>
    </xf>
    <xf numFmtId="43" fontId="42" fillId="0" borderId="28" xfId="0" applyNumberFormat="1" applyFont="1" applyBorder="1" applyAlignment="1">
      <alignment horizontal="center" vertical="center"/>
    </xf>
    <xf numFmtId="1" fontId="41" fillId="0" borderId="0" xfId="0" applyNumberFormat="1" applyFont="1" applyBorder="1" applyAlignment="1">
      <alignment horizontal="center"/>
    </xf>
    <xf numFmtId="177" fontId="25" fillId="0" borderId="0" xfId="0" quotePrefix="1" applyNumberFormat="1" applyFont="1" applyBorder="1" applyAlignment="1">
      <alignment horizontal="center"/>
    </xf>
    <xf numFmtId="165" fontId="56" fillId="0" borderId="19" xfId="0" applyNumberFormat="1" applyFont="1" applyBorder="1"/>
    <xf numFmtId="165" fontId="56" fillId="0" borderId="24" xfId="0" applyNumberFormat="1" applyFont="1" applyBorder="1"/>
    <xf numFmtId="170" fontId="16" fillId="0" borderId="0" xfId="0" applyNumberFormat="1" applyFont="1"/>
    <xf numFmtId="166" fontId="42" fillId="5" borderId="13" xfId="0" applyNumberFormat="1" applyFont="1" applyFill="1" applyBorder="1" applyAlignment="1">
      <alignment horizontal="center"/>
    </xf>
    <xf numFmtId="177" fontId="41" fillId="0" borderId="8" xfId="72" applyNumberFormat="1" applyFont="1" applyBorder="1" applyAlignment="1">
      <alignment horizontal="center"/>
    </xf>
    <xf numFmtId="170" fontId="42" fillId="0" borderId="30" xfId="72" quotePrefix="1" applyNumberFormat="1" applyFont="1" applyBorder="1" applyAlignment="1">
      <alignment horizontal="center"/>
    </xf>
    <xf numFmtId="2" fontId="41" fillId="0" borderId="36" xfId="72" applyNumberFormat="1" applyFont="1" applyBorder="1" applyAlignment="1">
      <alignment horizontal="center"/>
    </xf>
    <xf numFmtId="169" fontId="42" fillId="0" borderId="13" xfId="72" quotePrefix="1" applyNumberFormat="1" applyFont="1" applyBorder="1" applyAlignment="1">
      <alignment horizontal="center"/>
    </xf>
    <xf numFmtId="177" fontId="42" fillId="0" borderId="13" xfId="72" applyNumberFormat="1" applyFont="1" applyBorder="1"/>
    <xf numFmtId="170" fontId="42" fillId="0" borderId="13" xfId="72" applyNumberFormat="1" applyFont="1" applyBorder="1"/>
    <xf numFmtId="0" fontId="42" fillId="5" borderId="18" xfId="0" applyFont="1" applyFill="1" applyBorder="1"/>
    <xf numFmtId="0" fontId="42" fillId="5" borderId="7" xfId="0" quotePrefix="1" applyFont="1" applyFill="1" applyBorder="1" applyAlignment="1">
      <alignment horizontal="center"/>
    </xf>
    <xf numFmtId="43" fontId="41" fillId="0" borderId="0" xfId="72" applyNumberFormat="1" applyFont="1" applyBorder="1" applyAlignment="1">
      <alignment horizontal="center"/>
    </xf>
    <xf numFmtId="14" fontId="42" fillId="0" borderId="10" xfId="0" applyNumberFormat="1" applyFont="1" applyBorder="1" applyAlignment="1">
      <alignment horizontal="center"/>
    </xf>
    <xf numFmtId="43" fontId="38" fillId="0" borderId="0" xfId="0" applyNumberFormat="1" applyFont="1"/>
    <xf numFmtId="43" fontId="41" fillId="0" borderId="0" xfId="72" applyNumberFormat="1" applyFont="1" applyBorder="1" applyAlignment="1">
      <alignment horizontal="right" vertical="center"/>
    </xf>
    <xf numFmtId="43" fontId="41" fillId="0" borderId="36" xfId="72" applyFont="1" applyBorder="1" applyAlignment="1">
      <alignment horizontal="center"/>
    </xf>
    <xf numFmtId="168" fontId="41" fillId="0" borderId="34" xfId="72" applyNumberFormat="1" applyFont="1" applyBorder="1" applyAlignment="1">
      <alignment horizontal="center"/>
    </xf>
    <xf numFmtId="177" fontId="41" fillId="0" borderId="0" xfId="72" applyNumberFormat="1" applyFont="1" applyBorder="1" applyAlignment="1">
      <alignment horizontal="center"/>
    </xf>
    <xf numFmtId="0" fontId="42" fillId="5" borderId="23" xfId="0" applyNumberFormat="1" applyFont="1" applyFill="1" applyBorder="1" applyAlignment="1">
      <alignment horizontal="center"/>
    </xf>
    <xf numFmtId="0" fontId="15" fillId="0" borderId="23" xfId="0" applyNumberFormat="1" applyFont="1" applyBorder="1" applyAlignment="1">
      <alignment horizontal="left"/>
    </xf>
    <xf numFmtId="0" fontId="41" fillId="0" borderId="4" xfId="0" applyNumberFormat="1" applyFont="1" applyBorder="1" applyAlignment="1">
      <alignment horizontal="center"/>
    </xf>
    <xf numFmtId="0" fontId="15" fillId="0" borderId="19" xfId="0" applyNumberFormat="1" applyFont="1" applyBorder="1" applyAlignment="1">
      <alignment horizontal="left"/>
    </xf>
    <xf numFmtId="0" fontId="42" fillId="0" borderId="4" xfId="0" applyNumberFormat="1" applyFont="1" applyBorder="1" applyAlignment="1">
      <alignment horizontal="center"/>
    </xf>
    <xf numFmtId="166" fontId="42" fillId="0" borderId="4" xfId="0" applyNumberFormat="1" applyFont="1" applyBorder="1" applyAlignment="1">
      <alignment horizontal="center"/>
    </xf>
    <xf numFmtId="177" fontId="41" fillId="0" borderId="25" xfId="72" applyNumberFormat="1" applyFont="1" applyBorder="1" applyAlignment="1">
      <alignment horizontal="center"/>
    </xf>
    <xf numFmtId="177" fontId="41" fillId="0" borderId="32" xfId="72" applyNumberFormat="1" applyFont="1" applyBorder="1" applyAlignment="1">
      <alignment horizontal="center"/>
    </xf>
    <xf numFmtId="177" fontId="38" fillId="0" borderId="0" xfId="0" applyNumberFormat="1" applyFont="1"/>
    <xf numFmtId="177" fontId="41" fillId="0" borderId="10" xfId="72" applyNumberFormat="1" applyFont="1" applyBorder="1" applyAlignment="1">
      <alignment horizontal="center"/>
    </xf>
    <xf numFmtId="177" fontId="46" fillId="0" borderId="32" xfId="72" applyNumberFormat="1" applyFont="1" applyBorder="1" applyAlignment="1">
      <alignment horizontal="center"/>
    </xf>
    <xf numFmtId="165" fontId="32" fillId="0" borderId="23" xfId="0" applyNumberFormat="1" applyFont="1" applyBorder="1"/>
    <xf numFmtId="165" fontId="32" fillId="0" borderId="29" xfId="0" applyNumberFormat="1" applyFont="1" applyBorder="1"/>
    <xf numFmtId="165" fontId="32" fillId="0" borderId="24" xfId="0" applyNumberFormat="1" applyFont="1" applyBorder="1"/>
    <xf numFmtId="166" fontId="32" fillId="0" borderId="24" xfId="0" applyNumberFormat="1" applyFont="1" applyBorder="1" applyAlignment="1">
      <alignment horizontal="center"/>
    </xf>
    <xf numFmtId="2" fontId="32" fillId="0" borderId="24" xfId="0" applyNumberFormat="1" applyFont="1" applyBorder="1" applyAlignment="1">
      <alignment horizontal="center"/>
    </xf>
    <xf numFmtId="1" fontId="32" fillId="0" borderId="24" xfId="72" applyNumberFormat="1" applyFont="1" applyBorder="1" applyAlignment="1">
      <alignment horizontal="center"/>
    </xf>
    <xf numFmtId="170" fontId="32" fillId="0" borderId="24" xfId="72" applyNumberFormat="1" applyFont="1" applyBorder="1" applyAlignment="1">
      <alignment horizontal="center"/>
    </xf>
    <xf numFmtId="43" fontId="32" fillId="0" borderId="24" xfId="72" applyFont="1" applyBorder="1" applyAlignment="1">
      <alignment horizontal="center"/>
    </xf>
    <xf numFmtId="165" fontId="32" fillId="0" borderId="9" xfId="0" applyNumberFormat="1" applyFont="1" applyBorder="1"/>
    <xf numFmtId="166" fontId="32" fillId="0" borderId="9" xfId="0" applyNumberFormat="1" applyFont="1" applyBorder="1" applyAlignment="1">
      <alignment horizontal="center"/>
    </xf>
    <xf numFmtId="2" fontId="32" fillId="0" borderId="9" xfId="0" applyNumberFormat="1" applyFont="1" applyBorder="1" applyAlignment="1">
      <alignment horizontal="center"/>
    </xf>
    <xf numFmtId="1" fontId="32" fillId="0" borderId="9" xfId="72" applyNumberFormat="1" applyFont="1" applyBorder="1" applyAlignment="1">
      <alignment horizontal="center"/>
    </xf>
    <xf numFmtId="170" fontId="32" fillId="0" borderId="9" xfId="72" applyNumberFormat="1" applyFont="1" applyBorder="1" applyAlignment="1">
      <alignment horizontal="center"/>
    </xf>
    <xf numFmtId="43" fontId="32" fillId="0" borderId="9" xfId="72" applyFont="1" applyBorder="1" applyAlignment="1">
      <alignment horizontal="center"/>
    </xf>
    <xf numFmtId="0" fontId="15" fillId="0" borderId="9" xfId="0" applyNumberFormat="1" applyFont="1" applyBorder="1" applyAlignment="1">
      <alignment horizontal="left"/>
    </xf>
    <xf numFmtId="1" fontId="42" fillId="0" borderId="13" xfId="0" applyNumberFormat="1" applyFont="1" applyBorder="1" applyAlignment="1">
      <alignment horizontal="center"/>
    </xf>
    <xf numFmtId="178" fontId="13" fillId="0" borderId="5" xfId="0" applyNumberFormat="1" applyFont="1" applyBorder="1" applyAlignment="1">
      <alignment horizontal="left"/>
    </xf>
    <xf numFmtId="178" fontId="12" fillId="0" borderId="8" xfId="0" applyNumberFormat="1" applyFont="1" applyBorder="1" applyAlignment="1">
      <alignment horizontal="left"/>
    </xf>
    <xf numFmtId="177" fontId="42" fillId="0" borderId="36" xfId="72" applyNumberFormat="1" applyFont="1" applyBorder="1" applyAlignment="1">
      <alignment horizontal="left"/>
    </xf>
    <xf numFmtId="0" fontId="53" fillId="0" borderId="19" xfId="0" applyNumberFormat="1" applyFont="1" applyBorder="1" applyAlignment="1">
      <alignment horizontal="left"/>
    </xf>
    <xf numFmtId="167" fontId="42" fillId="0" borderId="13" xfId="0" applyNumberFormat="1" applyFont="1" applyBorder="1" applyAlignment="1">
      <alignment horizontal="center"/>
    </xf>
    <xf numFmtId="0" fontId="53" fillId="0" borderId="5" xfId="0" applyNumberFormat="1" applyFont="1" applyBorder="1" applyAlignment="1">
      <alignment horizontal="left"/>
    </xf>
    <xf numFmtId="167" fontId="42" fillId="0" borderId="4" xfId="0" applyNumberFormat="1" applyFont="1" applyBorder="1" applyAlignment="1">
      <alignment horizontal="center"/>
    </xf>
    <xf numFmtId="43" fontId="16" fillId="0" borderId="0" xfId="0" applyNumberFormat="1" applyFont="1"/>
    <xf numFmtId="43" fontId="42" fillId="0" borderId="19" xfId="72" applyNumberFormat="1" applyFont="1" applyBorder="1" applyAlignment="1">
      <alignment horizontal="center" vertical="center"/>
    </xf>
    <xf numFmtId="43" fontId="42" fillId="0" borderId="5" xfId="72" applyNumberFormat="1" applyFont="1" applyBorder="1" applyAlignment="1">
      <alignment horizontal="center" vertical="center"/>
    </xf>
    <xf numFmtId="165" fontId="33" fillId="0" borderId="28" xfId="0" applyNumberFormat="1" applyFont="1" applyBorder="1"/>
    <xf numFmtId="166" fontId="32" fillId="0" borderId="19" xfId="0" applyNumberFormat="1" applyFont="1" applyBorder="1" applyAlignment="1">
      <alignment horizontal="center"/>
    </xf>
    <xf numFmtId="2" fontId="32" fillId="0" borderId="19" xfId="0" applyNumberFormat="1" applyFont="1" applyBorder="1" applyAlignment="1">
      <alignment horizontal="center"/>
    </xf>
    <xf numFmtId="1" fontId="32" fillId="0" borderId="19" xfId="72" applyNumberFormat="1" applyFont="1" applyBorder="1" applyAlignment="1">
      <alignment horizontal="center"/>
    </xf>
    <xf numFmtId="170" fontId="32" fillId="0" borderId="19" xfId="72" applyNumberFormat="1" applyFont="1" applyBorder="1" applyAlignment="1">
      <alignment horizontal="center"/>
    </xf>
    <xf numFmtId="43" fontId="32" fillId="0" borderId="19" xfId="72" applyFont="1" applyBorder="1" applyAlignment="1">
      <alignment horizontal="center"/>
    </xf>
    <xf numFmtId="2" fontId="16" fillId="0" borderId="0" xfId="0" applyNumberFormat="1" applyFont="1" applyBorder="1" applyAlignment="1">
      <alignment horizontal="right" vertical="center"/>
    </xf>
    <xf numFmtId="177" fontId="26" fillId="4" borderId="36" xfId="72" applyNumberFormat="1" applyFont="1" applyFill="1" applyBorder="1" applyAlignment="1">
      <alignment horizontal="centerContinuous"/>
    </xf>
    <xf numFmtId="177" fontId="26" fillId="4" borderId="29" xfId="72" applyNumberFormat="1" applyFont="1" applyFill="1" applyBorder="1" applyAlignment="1">
      <alignment horizontal="centerContinuous"/>
    </xf>
    <xf numFmtId="177" fontId="26" fillId="4" borderId="30" xfId="72" applyNumberFormat="1" applyFont="1" applyFill="1" applyBorder="1" applyAlignment="1">
      <alignment horizontal="centerContinuous"/>
    </xf>
    <xf numFmtId="177" fontId="26" fillId="4" borderId="10" xfId="72" applyNumberFormat="1" applyFont="1" applyFill="1" applyBorder="1" applyAlignment="1">
      <alignment horizontal="centerContinuous"/>
    </xf>
    <xf numFmtId="177" fontId="42" fillId="4" borderId="30" xfId="72" quotePrefix="1" applyNumberFormat="1" applyFont="1" applyFill="1" applyBorder="1" applyAlignment="1">
      <alignment horizontal="left"/>
    </xf>
    <xf numFmtId="177" fontId="42" fillId="4" borderId="10" xfId="72" quotePrefix="1" applyNumberFormat="1" applyFont="1" applyFill="1" applyBorder="1" applyAlignment="1">
      <alignment horizontal="left"/>
    </xf>
    <xf numFmtId="177" fontId="42" fillId="4" borderId="10" xfId="72" quotePrefix="1" applyNumberFormat="1" applyFont="1" applyFill="1" applyBorder="1" applyAlignment="1">
      <alignment horizontal="center"/>
    </xf>
    <xf numFmtId="170" fontId="42" fillId="4" borderId="13" xfId="72" quotePrefix="1" applyNumberFormat="1" applyFont="1" applyFill="1" applyBorder="1" applyAlignment="1">
      <alignment horizontal="center"/>
    </xf>
    <xf numFmtId="177" fontId="42" fillId="4" borderId="13" xfId="72" quotePrefix="1" applyNumberFormat="1" applyFont="1" applyFill="1" applyBorder="1" applyAlignment="1">
      <alignment horizontal="center"/>
    </xf>
    <xf numFmtId="0" fontId="15" fillId="4" borderId="23" xfId="0" applyNumberFormat="1" applyFont="1" applyFill="1" applyBorder="1" applyAlignment="1">
      <alignment horizontal="left"/>
    </xf>
    <xf numFmtId="0" fontId="15" fillId="4" borderId="13" xfId="0" applyNumberFormat="1" applyFont="1" applyFill="1" applyBorder="1" applyAlignment="1">
      <alignment horizontal="left"/>
    </xf>
    <xf numFmtId="165" fontId="41" fillId="0" borderId="19" xfId="0" applyNumberFormat="1" applyFont="1" applyBorder="1" applyAlignment="1">
      <alignment horizontal="left"/>
    </xf>
    <xf numFmtId="0" fontId="15" fillId="0" borderId="4" xfId="0" applyNumberFormat="1" applyFont="1" applyBorder="1" applyAlignment="1">
      <alignment horizontal="left"/>
    </xf>
    <xf numFmtId="0" fontId="15" fillId="0" borderId="5" xfId="0" applyNumberFormat="1" applyFont="1" applyBorder="1" applyAlignment="1">
      <alignment horizontal="left"/>
    </xf>
    <xf numFmtId="0" fontId="42" fillId="0" borderId="5" xfId="0" applyNumberFormat="1" applyFont="1" applyBorder="1" applyAlignment="1">
      <alignment horizontal="center"/>
    </xf>
    <xf numFmtId="166" fontId="42" fillId="0" borderId="5" xfId="0" applyNumberFormat="1" applyFont="1" applyBorder="1" applyAlignment="1">
      <alignment horizontal="center"/>
    </xf>
    <xf numFmtId="0" fontId="53" fillId="0" borderId="9" xfId="0" applyNumberFormat="1" applyFont="1" applyBorder="1" applyAlignment="1">
      <alignment horizontal="left"/>
    </xf>
    <xf numFmtId="177" fontId="42" fillId="0" borderId="42" xfId="72" applyNumberFormat="1" applyFont="1" applyBorder="1" applyAlignment="1">
      <alignment horizontal="left"/>
    </xf>
    <xf numFmtId="177" fontId="42" fillId="0" borderId="37" xfId="72" quotePrefix="1" applyNumberFormat="1" applyFont="1" applyBorder="1" applyAlignment="1">
      <alignment horizontal="left"/>
    </xf>
    <xf numFmtId="177" fontId="42" fillId="0" borderId="37" xfId="72" quotePrefix="1" applyNumberFormat="1" applyFont="1" applyBorder="1" applyAlignment="1">
      <alignment horizontal="center"/>
    </xf>
    <xf numFmtId="170" fontId="42" fillId="0" borderId="4" xfId="72" quotePrefix="1" applyNumberFormat="1" applyFont="1" applyBorder="1" applyAlignment="1">
      <alignment horizontal="center"/>
    </xf>
    <xf numFmtId="177" fontId="42" fillId="0" borderId="4" xfId="72" quotePrefix="1" applyNumberFormat="1" applyFont="1" applyBorder="1" applyAlignment="1">
      <alignment horizontal="center"/>
    </xf>
    <xf numFmtId="177" fontId="42" fillId="0" borderId="34" xfId="72" quotePrefix="1" applyNumberFormat="1" applyFont="1" applyBorder="1" applyAlignment="1">
      <alignment horizontal="left"/>
    </xf>
    <xf numFmtId="165" fontId="32" fillId="0" borderId="13" xfId="0" applyNumberFormat="1" applyFont="1" applyBorder="1" applyAlignment="1">
      <alignment horizontal="right"/>
    </xf>
    <xf numFmtId="0" fontId="53" fillId="0" borderId="8" xfId="0" applyNumberFormat="1" applyFont="1" applyBorder="1" applyAlignment="1">
      <alignment horizontal="left"/>
    </xf>
    <xf numFmtId="0" fontId="15" fillId="0" borderId="8" xfId="0" applyNumberFormat="1" applyFont="1" applyBorder="1" applyAlignment="1">
      <alignment horizontal="left"/>
    </xf>
    <xf numFmtId="177" fontId="42" fillId="0" borderId="42" xfId="72" quotePrefix="1" applyNumberFormat="1" applyFont="1" applyBorder="1" applyAlignment="1">
      <alignment horizontal="left"/>
    </xf>
    <xf numFmtId="177" fontId="42" fillId="0" borderId="43" xfId="72" applyNumberFormat="1" applyFont="1" applyBorder="1" applyAlignment="1">
      <alignment horizontal="left"/>
    </xf>
    <xf numFmtId="177" fontId="42" fillId="0" borderId="20" xfId="72" quotePrefix="1" applyNumberFormat="1" applyFont="1" applyBorder="1" applyAlignment="1">
      <alignment horizontal="left"/>
    </xf>
    <xf numFmtId="177" fontId="42" fillId="0" borderId="20" xfId="72" quotePrefix="1" applyNumberFormat="1" applyFont="1" applyBorder="1" applyAlignment="1">
      <alignment horizontal="center"/>
    </xf>
    <xf numFmtId="170" fontId="42" fillId="0" borderId="28" xfId="72" quotePrefix="1" applyNumberFormat="1" applyFont="1" applyBorder="1" applyAlignment="1">
      <alignment horizontal="center"/>
    </xf>
    <xf numFmtId="43" fontId="42" fillId="0" borderId="30" xfId="72" applyFont="1" applyBorder="1" applyAlignment="1">
      <alignment horizontal="left"/>
    </xf>
    <xf numFmtId="43" fontId="42" fillId="0" borderId="10" xfId="72" quotePrefix="1" applyFont="1" applyBorder="1" applyAlignment="1">
      <alignment horizontal="left"/>
    </xf>
    <xf numFmtId="165" fontId="41" fillId="0" borderId="8" xfId="0" applyNumberFormat="1" applyFont="1" applyBorder="1" applyAlignment="1">
      <alignment horizontal="center"/>
    </xf>
    <xf numFmtId="0" fontId="32" fillId="0" borderId="23" xfId="0" applyNumberFormat="1" applyFont="1" applyBorder="1" applyAlignment="1">
      <alignment horizontal="center"/>
    </xf>
    <xf numFmtId="165" fontId="32" fillId="0" borderId="8" xfId="0" applyNumberFormat="1" applyFont="1" applyBorder="1" applyAlignment="1">
      <alignment horizontal="left"/>
    </xf>
    <xf numFmtId="43" fontId="42" fillId="0" borderId="23" xfId="0" applyNumberFormat="1" applyFont="1" applyBorder="1" applyAlignment="1">
      <alignment horizontal="center"/>
    </xf>
    <xf numFmtId="178" fontId="33" fillId="0" borderId="0" xfId="0" applyNumberFormat="1" applyFont="1" applyBorder="1"/>
    <xf numFmtId="2" fontId="32" fillId="0" borderId="0" xfId="0" applyNumberFormat="1" applyFont="1" applyBorder="1"/>
    <xf numFmtId="2" fontId="32" fillId="5" borderId="0" xfId="0" quotePrefix="1" applyNumberFormat="1" applyFont="1" applyFill="1" applyBorder="1" applyAlignment="1">
      <alignment horizontal="center"/>
    </xf>
    <xf numFmtId="2" fontId="32" fillId="0" borderId="0" xfId="0" quotePrefix="1" applyNumberFormat="1" applyFont="1" applyBorder="1" applyAlignment="1">
      <alignment horizontal="center"/>
    </xf>
    <xf numFmtId="177" fontId="25" fillId="0" borderId="0" xfId="0" applyNumberFormat="1" applyFont="1" applyBorder="1" applyAlignment="1">
      <alignment horizontal="center"/>
    </xf>
    <xf numFmtId="165" fontId="32" fillId="0" borderId="26" xfId="0" applyNumberFormat="1" applyFont="1" applyBorder="1"/>
    <xf numFmtId="177" fontId="47" fillId="4" borderId="5" xfId="72" applyNumberFormat="1" applyFont="1" applyFill="1" applyBorder="1"/>
    <xf numFmtId="177" fontId="25" fillId="0" borderId="8" xfId="0" quotePrefix="1" applyNumberFormat="1" applyFont="1" applyBorder="1" applyAlignment="1">
      <alignment horizontal="center"/>
    </xf>
    <xf numFmtId="177" fontId="42" fillId="0" borderId="9" xfId="72" applyNumberFormat="1" applyFont="1" applyBorder="1" applyAlignment="1">
      <alignment horizontal="center"/>
    </xf>
    <xf numFmtId="165" fontId="32" fillId="0" borderId="23" xfId="0" applyNumberFormat="1" applyFont="1" applyBorder="1" applyAlignment="1">
      <alignment horizontal="left"/>
    </xf>
    <xf numFmtId="177" fontId="42" fillId="0" borderId="4" xfId="0" applyNumberFormat="1" applyFont="1" applyBorder="1" applyAlignment="1">
      <alignment horizontal="center" vertical="center"/>
    </xf>
    <xf numFmtId="177" fontId="42" fillId="0" borderId="23" xfId="0" applyNumberFormat="1" applyFont="1" applyBorder="1" applyAlignment="1">
      <alignment horizontal="center" vertical="center"/>
    </xf>
    <xf numFmtId="177" fontId="42" fillId="0" borderId="9" xfId="0" applyNumberFormat="1" applyFont="1" applyBorder="1" applyAlignment="1">
      <alignment horizontal="center" vertical="center"/>
    </xf>
    <xf numFmtId="1" fontId="25" fillId="0" borderId="0" xfId="0" applyNumberFormat="1" applyFont="1"/>
    <xf numFmtId="170" fontId="41" fillId="0" borderId="30" xfId="72" applyNumberFormat="1" applyFont="1" applyBorder="1" applyAlignment="1">
      <alignment horizontal="center"/>
    </xf>
    <xf numFmtId="170" fontId="42" fillId="0" borderId="0" xfId="72" quotePrefix="1" applyNumberFormat="1" applyFont="1" applyBorder="1" applyAlignment="1">
      <alignment horizontal="left"/>
    </xf>
    <xf numFmtId="165" fontId="41" fillId="0" borderId="29" xfId="0" applyNumberFormat="1" applyFont="1" applyBorder="1"/>
    <xf numFmtId="169" fontId="42" fillId="0" borderId="23" xfId="72" quotePrefix="1" applyNumberFormat="1" applyFont="1" applyBorder="1" applyAlignment="1">
      <alignment horizontal="center"/>
    </xf>
    <xf numFmtId="180" fontId="42" fillId="0" borderId="13" xfId="72" quotePrefix="1" applyNumberFormat="1" applyFont="1" applyBorder="1" applyAlignment="1">
      <alignment horizontal="center"/>
    </xf>
    <xf numFmtId="166" fontId="32" fillId="0" borderId="24" xfId="0" applyNumberFormat="1" applyFont="1" applyBorder="1" applyAlignment="1">
      <alignment horizontal="centerContinuous"/>
    </xf>
    <xf numFmtId="166" fontId="48" fillId="0" borderId="23" xfId="0" applyNumberFormat="1" applyFont="1" applyBorder="1" applyAlignment="1">
      <alignment horizontal="left"/>
    </xf>
    <xf numFmtId="43" fontId="48" fillId="0" borderId="23" xfId="0" applyNumberFormat="1" applyFont="1" applyBorder="1" applyAlignment="1">
      <alignment horizontal="left"/>
    </xf>
    <xf numFmtId="166" fontId="42" fillId="3" borderId="23" xfId="0" applyNumberFormat="1" applyFont="1" applyFill="1" applyBorder="1" applyAlignment="1">
      <alignment horizontal="center"/>
    </xf>
    <xf numFmtId="0" fontId="42" fillId="3" borderId="23" xfId="0" applyNumberFormat="1" applyFont="1" applyFill="1" applyBorder="1" applyAlignment="1">
      <alignment horizontal="center"/>
    </xf>
    <xf numFmtId="0" fontId="42" fillId="3" borderId="9" xfId="0" applyNumberFormat="1" applyFont="1" applyFill="1" applyBorder="1" applyAlignment="1">
      <alignment horizontal="center"/>
    </xf>
    <xf numFmtId="0" fontId="42" fillId="3" borderId="19" xfId="0" applyNumberFormat="1" applyFont="1" applyFill="1" applyBorder="1" applyAlignment="1">
      <alignment horizontal="center"/>
    </xf>
    <xf numFmtId="0" fontId="16" fillId="0" borderId="44" xfId="0" applyFont="1" applyBorder="1"/>
    <xf numFmtId="0" fontId="16" fillId="0" borderId="29" xfId="0" applyFont="1" applyBorder="1"/>
    <xf numFmtId="0" fontId="15" fillId="0" borderId="23" xfId="0" applyFont="1" applyBorder="1"/>
    <xf numFmtId="177" fontId="25" fillId="0" borderId="23" xfId="72" applyNumberFormat="1" applyFont="1" applyBorder="1" applyAlignment="1">
      <alignment horizontal="center"/>
    </xf>
    <xf numFmtId="170" fontId="26" fillId="4" borderId="28" xfId="0" applyNumberFormat="1" applyFont="1" applyFill="1" applyBorder="1"/>
    <xf numFmtId="177" fontId="26" fillId="4" borderId="28" xfId="72" applyNumberFormat="1" applyFont="1" applyFill="1" applyBorder="1"/>
    <xf numFmtId="169" fontId="16" fillId="0" borderId="28" xfId="72" applyNumberFormat="1" applyFont="1" applyBorder="1" applyAlignment="1"/>
    <xf numFmtId="169" fontId="16" fillId="0" borderId="28" xfId="72" applyNumberFormat="1" applyFont="1" applyBorder="1" applyAlignment="1">
      <alignment horizontal="right"/>
    </xf>
    <xf numFmtId="169" fontId="16" fillId="0" borderId="28" xfId="72" applyNumberFormat="1" applyFont="1" applyBorder="1" applyAlignment="1">
      <alignment horizontal="center" vertical="center"/>
    </xf>
    <xf numFmtId="169" fontId="34" fillId="0" borderId="28" xfId="0" applyNumberFormat="1" applyFont="1" applyBorder="1" applyAlignment="1">
      <alignment vertical="center"/>
    </xf>
    <xf numFmtId="166" fontId="41" fillId="0" borderId="36" xfId="72" applyNumberFormat="1" applyFont="1" applyBorder="1" applyAlignment="1">
      <alignment horizontal="center"/>
    </xf>
    <xf numFmtId="0" fontId="15" fillId="0" borderId="19" xfId="0" applyFont="1" applyBorder="1" applyAlignment="1">
      <alignment horizontal="left"/>
    </xf>
    <xf numFmtId="0" fontId="15" fillId="0" borderId="19" xfId="0" applyFont="1" applyBorder="1"/>
    <xf numFmtId="2" fontId="15" fillId="5" borderId="19" xfId="0" applyNumberFormat="1" applyFont="1" applyFill="1" applyBorder="1" applyAlignment="1">
      <alignment horizontal="center"/>
    </xf>
    <xf numFmtId="2" fontId="15" fillId="0" borderId="19" xfId="0" applyNumberFormat="1" applyFont="1" applyBorder="1"/>
    <xf numFmtId="2" fontId="15" fillId="0" borderId="19" xfId="0" applyNumberFormat="1" applyFont="1" applyBorder="1" applyAlignment="1">
      <alignment horizontal="center"/>
    </xf>
    <xf numFmtId="0" fontId="53" fillId="0" borderId="5" xfId="0" applyNumberFormat="1" applyFont="1" applyBorder="1" applyAlignment="1">
      <alignment horizontal="center"/>
    </xf>
    <xf numFmtId="2" fontId="15" fillId="0" borderId="5" xfId="0" applyNumberFormat="1" applyFont="1" applyBorder="1" applyAlignment="1">
      <alignment horizontal="center"/>
    </xf>
    <xf numFmtId="2" fontId="15" fillId="5" borderId="5" xfId="0" applyNumberFormat="1" applyFont="1" applyFill="1" applyBorder="1" applyAlignment="1">
      <alignment horizontal="center"/>
    </xf>
    <xf numFmtId="0" fontId="2" fillId="5" borderId="5" xfId="0" applyFont="1" applyFill="1" applyBorder="1"/>
    <xf numFmtId="0" fontId="15" fillId="0" borderId="5" xfId="0" applyNumberFormat="1" applyFont="1" applyBorder="1" applyAlignment="1">
      <alignment horizontal="center"/>
    </xf>
    <xf numFmtId="0" fontId="2" fillId="0" borderId="5" xfId="0" applyFont="1" applyBorder="1"/>
    <xf numFmtId="0" fontId="16" fillId="0" borderId="5" xfId="0" applyFont="1" applyBorder="1" applyAlignment="1">
      <alignment horizontal="left"/>
    </xf>
    <xf numFmtId="2" fontId="16" fillId="5" borderId="5" xfId="0" applyNumberFormat="1" applyFont="1" applyFill="1" applyBorder="1"/>
    <xf numFmtId="0" fontId="15" fillId="0" borderId="5" xfId="0" applyFont="1" applyBorder="1" applyAlignment="1">
      <alignment horizontal="center"/>
    </xf>
    <xf numFmtId="0" fontId="15" fillId="0" borderId="8" xfId="0" applyFont="1" applyBorder="1" applyAlignment="1">
      <alignment horizontal="center"/>
    </xf>
    <xf numFmtId="2" fontId="15" fillId="0" borderId="8" xfId="0" applyNumberFormat="1" applyFont="1" applyBorder="1"/>
    <xf numFmtId="2" fontId="15" fillId="0" borderId="8" xfId="0" applyNumberFormat="1" applyFont="1" applyBorder="1" applyAlignment="1">
      <alignment horizontal="center"/>
    </xf>
    <xf numFmtId="2" fontId="15" fillId="5" borderId="8" xfId="0" applyNumberFormat="1" applyFont="1" applyFill="1" applyBorder="1" applyAlignment="1">
      <alignment horizontal="center"/>
    </xf>
    <xf numFmtId="178" fontId="57" fillId="0" borderId="0" xfId="0" applyNumberFormat="1" applyFont="1" applyBorder="1"/>
    <xf numFmtId="0" fontId="12" fillId="0" borderId="4" xfId="0" applyFont="1" applyBorder="1" applyAlignment="1">
      <alignment horizontal="center"/>
    </xf>
    <xf numFmtId="0" fontId="12" fillId="0" borderId="24" xfId="0" applyFont="1" applyBorder="1" applyAlignment="1">
      <alignment horizontal="center"/>
    </xf>
    <xf numFmtId="178" fontId="16" fillId="0" borderId="0" xfId="0" applyNumberFormat="1" applyFont="1" applyBorder="1"/>
    <xf numFmtId="14" fontId="15" fillId="0" borderId="0" xfId="0" applyNumberFormat="1" applyFont="1" applyBorder="1" applyAlignment="1">
      <alignment horizontal="center"/>
    </xf>
    <xf numFmtId="14" fontId="0" fillId="0" borderId="0" xfId="0" applyNumberFormat="1" applyAlignment="1">
      <alignment horizontal="center"/>
    </xf>
    <xf numFmtId="0" fontId="14" fillId="0" borderId="6" xfId="0" applyFont="1" applyBorder="1" applyAlignment="1">
      <alignment horizontal="center"/>
    </xf>
    <xf numFmtId="0" fontId="17" fillId="0" borderId="6" xfId="0" applyFont="1" applyBorder="1" applyAlignment="1">
      <alignment horizontal="center"/>
    </xf>
    <xf numFmtId="178" fontId="16" fillId="0" borderId="0" xfId="0" applyNumberFormat="1" applyFont="1" applyBorder="1" applyAlignment="1"/>
    <xf numFmtId="0" fontId="0" fillId="0" borderId="0" xfId="0" applyBorder="1"/>
    <xf numFmtId="0" fontId="75" fillId="0" borderId="0" xfId="0" applyFont="1" applyBorder="1"/>
    <xf numFmtId="0" fontId="75" fillId="0" borderId="0" xfId="0" applyFont="1" applyBorder="1" applyAlignment="1">
      <alignment horizontal="center" vertical="center"/>
    </xf>
    <xf numFmtId="0" fontId="75" fillId="0" borderId="45" xfId="0" applyFont="1" applyBorder="1"/>
    <xf numFmtId="165" fontId="76" fillId="0" borderId="45" xfId="0" applyNumberFormat="1" applyFont="1" applyBorder="1" applyAlignment="1">
      <alignment horizontal="left"/>
    </xf>
    <xf numFmtId="2" fontId="77" fillId="0" borderId="0" xfId="0" applyNumberFormat="1" applyFont="1" applyBorder="1"/>
    <xf numFmtId="0" fontId="77" fillId="0" borderId="0" xfId="0" applyFont="1" applyBorder="1"/>
    <xf numFmtId="0" fontId="16" fillId="0" borderId="0" xfId="0" applyFont="1" applyBorder="1" applyAlignment="1">
      <alignment horizontal="center"/>
    </xf>
    <xf numFmtId="0" fontId="59" fillId="0" borderId="24" xfId="0" applyNumberFormat="1" applyFont="1" applyBorder="1" applyAlignment="1">
      <alignment horizontal="center"/>
    </xf>
    <xf numFmtId="41" fontId="59" fillId="0" borderId="24" xfId="0" applyNumberFormat="1" applyFont="1" applyBorder="1" applyAlignment="1">
      <alignment horizontal="center"/>
    </xf>
    <xf numFmtId="0" fontId="82" fillId="0" borderId="24" xfId="0" applyFont="1" applyBorder="1" applyAlignment="1">
      <alignment horizontal="center" vertical="center"/>
    </xf>
    <xf numFmtId="182" fontId="59" fillId="0" borderId="27" xfId="0" applyNumberFormat="1" applyFont="1" applyBorder="1" applyAlignment="1"/>
    <xf numFmtId="182" fontId="59" fillId="0" borderId="26" xfId="0" applyNumberFormat="1" applyFont="1" applyBorder="1" applyAlignment="1"/>
    <xf numFmtId="182" fontId="59" fillId="0" borderId="24" xfId="0" applyNumberFormat="1" applyFont="1" applyBorder="1" applyAlignment="1"/>
    <xf numFmtId="0" fontId="80" fillId="0" borderId="24" xfId="0" applyNumberFormat="1" applyFont="1" applyBorder="1" applyAlignment="1">
      <alignment horizontal="center"/>
    </xf>
    <xf numFmtId="178" fontId="79" fillId="0" borderId="24" xfId="0" applyNumberFormat="1" applyFont="1" applyBorder="1" applyAlignment="1">
      <alignment shrinkToFit="1"/>
    </xf>
    <xf numFmtId="41" fontId="79" fillId="0" borderId="24" xfId="0" applyNumberFormat="1" applyFont="1" applyBorder="1" applyAlignment="1">
      <alignment horizontal="right"/>
    </xf>
    <xf numFmtId="0" fontId="79" fillId="0" borderId="24" xfId="0" applyFont="1" applyBorder="1" applyAlignment="1">
      <alignment horizontal="left" vertical="center"/>
    </xf>
    <xf numFmtId="178" fontId="79" fillId="0" borderId="24" xfId="0" applyNumberFormat="1" applyFont="1" applyBorder="1" applyAlignment="1">
      <alignment wrapText="1" shrinkToFit="1"/>
    </xf>
    <xf numFmtId="182" fontId="82" fillId="0" borderId="27" xfId="0" applyNumberFormat="1" applyFont="1" applyBorder="1" applyAlignment="1"/>
    <xf numFmtId="182" fontId="82" fillId="0" borderId="26" xfId="0" applyNumberFormat="1" applyFont="1" applyBorder="1" applyAlignment="1"/>
    <xf numFmtId="182" fontId="82" fillId="0" borderId="24" xfId="0" applyNumberFormat="1" applyFont="1" applyBorder="1" applyAlignment="1"/>
    <xf numFmtId="165" fontId="82" fillId="0" borderId="45" xfId="0" applyNumberFormat="1" applyFont="1" applyBorder="1" applyAlignment="1">
      <alignment horizontal="left"/>
    </xf>
    <xf numFmtId="0" fontId="84" fillId="0" borderId="24" xfId="0" applyFont="1" applyBorder="1" applyAlignment="1">
      <alignment vertical="center" shrinkToFit="1"/>
    </xf>
    <xf numFmtId="0" fontId="82" fillId="0" borderId="26" xfId="0" applyFont="1" applyBorder="1" applyAlignment="1">
      <alignment vertical="center" shrinkToFit="1"/>
    </xf>
    <xf numFmtId="177" fontId="42" fillId="0" borderId="28" xfId="0" applyNumberFormat="1" applyFont="1" applyBorder="1" applyAlignment="1">
      <alignment horizontal="center" vertical="center"/>
    </xf>
    <xf numFmtId="177" fontId="42" fillId="0" borderId="13" xfId="0" applyNumberFormat="1" applyFont="1" applyBorder="1" applyAlignment="1">
      <alignment horizontal="center" vertical="center"/>
    </xf>
    <xf numFmtId="43" fontId="42" fillId="0" borderId="28" xfId="72" applyNumberFormat="1" applyFont="1" applyBorder="1" applyAlignment="1">
      <alignment horizontal="center" vertical="center"/>
    </xf>
    <xf numFmtId="43" fontId="42" fillId="0" borderId="13" xfId="72" applyNumberFormat="1" applyFont="1" applyBorder="1" applyAlignment="1">
      <alignment horizontal="center" vertical="center"/>
    </xf>
    <xf numFmtId="1" fontId="42" fillId="0" borderId="4" xfId="72" applyNumberFormat="1" applyFont="1" applyBorder="1" applyAlignment="1">
      <alignment horizontal="center" vertical="center"/>
    </xf>
    <xf numFmtId="1" fontId="42" fillId="0" borderId="23" xfId="72" applyNumberFormat="1" applyFont="1" applyBorder="1" applyAlignment="1">
      <alignment horizontal="center" vertical="center"/>
    </xf>
    <xf numFmtId="43" fontId="42" fillId="0" borderId="4" xfId="0" applyNumberFormat="1" applyFont="1" applyBorder="1" applyAlignment="1">
      <alignment horizontal="center" vertical="center"/>
    </xf>
    <xf numFmtId="43" fontId="42" fillId="0" borderId="23" xfId="0" applyNumberFormat="1" applyFont="1" applyBorder="1" applyAlignment="1">
      <alignment horizontal="center" vertical="center"/>
    </xf>
    <xf numFmtId="177" fontId="42" fillId="0" borderId="0" xfId="72" applyNumberFormat="1" applyFont="1" applyBorder="1" applyAlignment="1">
      <alignment horizontal="center"/>
    </xf>
    <xf numFmtId="177" fontId="47" fillId="4" borderId="36" xfId="72" applyNumberFormat="1" applyFont="1" applyFill="1" applyBorder="1" applyAlignment="1">
      <alignment horizontal="center"/>
    </xf>
    <xf numFmtId="177" fontId="47" fillId="4" borderId="29" xfId="72" applyNumberFormat="1" applyFont="1" applyFill="1" applyBorder="1" applyAlignment="1">
      <alignment horizontal="center"/>
    </xf>
    <xf numFmtId="177" fontId="4" fillId="0" borderId="46" xfId="72" applyNumberFormat="1" applyFont="1" applyBorder="1" applyAlignment="1"/>
    <xf numFmtId="177" fontId="16" fillId="0" borderId="0" xfId="72" applyNumberFormat="1" applyFont="1" applyBorder="1" applyAlignment="1">
      <alignment horizontal="center"/>
    </xf>
    <xf numFmtId="170" fontId="24" fillId="0" borderId="0" xfId="72" quotePrefix="1" applyNumberFormat="1" applyFont="1" applyBorder="1" applyAlignment="1">
      <alignment horizontal="center"/>
    </xf>
    <xf numFmtId="166" fontId="45" fillId="0" borderId="0" xfId="0" applyNumberFormat="1" applyFont="1" applyBorder="1" applyAlignment="1">
      <alignment horizontal="center"/>
    </xf>
    <xf numFmtId="177" fontId="30" fillId="0" borderId="0" xfId="72" applyNumberFormat="1" applyFont="1" applyBorder="1" applyAlignment="1"/>
    <xf numFmtId="177" fontId="42" fillId="0" borderId="4" xfId="0" applyNumberFormat="1" applyFont="1" applyBorder="1" applyAlignment="1">
      <alignment horizontal="center" vertical="center"/>
    </xf>
    <xf numFmtId="177" fontId="42" fillId="0" borderId="23" xfId="0" applyNumberFormat="1" applyFont="1" applyBorder="1" applyAlignment="1">
      <alignment horizontal="center" vertical="center"/>
    </xf>
    <xf numFmtId="177" fontId="42" fillId="0" borderId="9" xfId="0" applyNumberFormat="1" applyFont="1" applyBorder="1" applyAlignment="1">
      <alignment horizontal="center" vertical="center"/>
    </xf>
    <xf numFmtId="43" fontId="42" fillId="0" borderId="4" xfId="72" applyNumberFormat="1" applyFont="1" applyBorder="1" applyAlignment="1">
      <alignment horizontal="center" vertical="center"/>
    </xf>
    <xf numFmtId="43" fontId="42" fillId="0" borderId="23" xfId="72" applyNumberFormat="1" applyFont="1" applyBorder="1" applyAlignment="1">
      <alignment horizontal="center" vertical="center"/>
    </xf>
    <xf numFmtId="43" fontId="42" fillId="0" borderId="9" xfId="72" applyNumberFormat="1" applyFont="1" applyBorder="1"/>
    <xf numFmtId="1" fontId="42" fillId="0" borderId="9" xfId="72" applyNumberFormat="1" applyFont="1" applyBorder="1" applyAlignment="1">
      <alignment horizontal="center" vertical="center"/>
    </xf>
    <xf numFmtId="43" fontId="42" fillId="0" borderId="9" xfId="0" applyNumberFormat="1" applyFont="1" applyBorder="1" applyAlignment="1">
      <alignment horizontal="center" vertical="center"/>
    </xf>
    <xf numFmtId="166" fontId="41" fillId="0" borderId="34" xfId="0" applyNumberFormat="1" applyFont="1" applyBorder="1" applyAlignment="1">
      <alignment horizontal="center"/>
    </xf>
    <xf numFmtId="166" fontId="41" fillId="0" borderId="25" xfId="0" applyNumberFormat="1" applyFont="1" applyBorder="1" applyAlignment="1">
      <alignment horizontal="center"/>
    </xf>
    <xf numFmtId="166" fontId="41" fillId="0" borderId="33" xfId="0" applyNumberFormat="1" applyFont="1" applyBorder="1" applyAlignment="1">
      <alignment horizontal="center"/>
    </xf>
    <xf numFmtId="166" fontId="41" fillId="0" borderId="38" xfId="0" applyNumberFormat="1" applyFont="1" applyBorder="1" applyAlignment="1">
      <alignment horizontal="center"/>
    </xf>
    <xf numFmtId="0" fontId="14" fillId="0" borderId="0" xfId="0" applyFont="1" applyAlignment="1">
      <alignment horizontal="center"/>
    </xf>
    <xf numFmtId="165" fontId="41" fillId="0" borderId="42" xfId="0" applyNumberFormat="1" applyFont="1" applyBorder="1" applyAlignment="1">
      <alignment horizontal="center"/>
    </xf>
    <xf numFmtId="165" fontId="41" fillId="0" borderId="37" xfId="0" applyNumberFormat="1" applyFont="1" applyBorder="1" applyAlignment="1">
      <alignment horizontal="center"/>
    </xf>
    <xf numFmtId="165" fontId="41" fillId="0" borderId="24" xfId="0" applyNumberFormat="1" applyFont="1" applyBorder="1" applyAlignment="1">
      <alignment horizontal="center"/>
    </xf>
    <xf numFmtId="165" fontId="41" fillId="0" borderId="27" xfId="0" applyNumberFormat="1" applyFont="1" applyBorder="1" applyAlignment="1">
      <alignment horizontal="center"/>
    </xf>
    <xf numFmtId="165" fontId="41" fillId="0" borderId="26" xfId="0" applyNumberFormat="1" applyFont="1" applyBorder="1" applyAlignment="1">
      <alignment horizontal="center"/>
    </xf>
    <xf numFmtId="170" fontId="41" fillId="0" borderId="27" xfId="72" applyNumberFormat="1" applyFont="1" applyBorder="1" applyAlignment="1">
      <alignment horizontal="center"/>
    </xf>
    <xf numFmtId="170" fontId="41" fillId="0" borderId="26" xfId="72" applyNumberFormat="1" applyFont="1" applyBorder="1" applyAlignment="1">
      <alignment horizontal="center"/>
    </xf>
    <xf numFmtId="43" fontId="42" fillId="0" borderId="23" xfId="72" applyNumberFormat="1" applyFont="1" applyBorder="1"/>
    <xf numFmtId="43" fontId="33" fillId="0" borderId="4" xfId="0" applyNumberFormat="1" applyFont="1" applyBorder="1" applyAlignment="1">
      <alignment horizontal="center" vertical="center"/>
    </xf>
    <xf numFmtId="43" fontId="33" fillId="0" borderId="23" xfId="0" applyNumberFormat="1" applyFont="1" applyBorder="1" applyAlignment="1">
      <alignment horizontal="center" vertical="center"/>
    </xf>
    <xf numFmtId="1" fontId="33" fillId="0" borderId="4" xfId="72" applyNumberFormat="1" applyFont="1" applyBorder="1" applyAlignment="1">
      <alignment horizontal="center" vertical="center"/>
    </xf>
    <xf numFmtId="1" fontId="33" fillId="0" borderId="23" xfId="72" applyNumberFormat="1" applyFont="1" applyBorder="1" applyAlignment="1">
      <alignment horizontal="center" vertical="center"/>
    </xf>
    <xf numFmtId="165" fontId="41" fillId="0" borderId="4" xfId="0" applyNumberFormat="1" applyFont="1" applyBorder="1" applyAlignment="1">
      <alignment horizontal="center" vertical="center"/>
    </xf>
    <xf numFmtId="165" fontId="41" fillId="0" borderId="9" xfId="0" applyNumberFormat="1" applyFont="1" applyBorder="1" applyAlignment="1">
      <alignment horizontal="center" vertical="center"/>
    </xf>
    <xf numFmtId="177" fontId="33" fillId="0" borderId="4" xfId="0" applyNumberFormat="1" applyFont="1" applyBorder="1" applyAlignment="1">
      <alignment horizontal="center" vertical="center"/>
    </xf>
    <xf numFmtId="177" fontId="33" fillId="0" borderId="23" xfId="0" applyNumberFormat="1" applyFont="1" applyBorder="1" applyAlignment="1">
      <alignment horizontal="center" vertical="center"/>
    </xf>
    <xf numFmtId="43" fontId="33" fillId="0" borderId="4" xfId="72" applyNumberFormat="1" applyFont="1" applyBorder="1" applyAlignment="1">
      <alignment horizontal="center" vertical="center"/>
    </xf>
    <xf numFmtId="43" fontId="33" fillId="0" borderId="23" xfId="72" applyNumberFormat="1" applyFont="1" applyBorder="1"/>
    <xf numFmtId="0" fontId="16" fillId="0" borderId="0" xfId="0" applyFont="1" applyAlignment="1">
      <alignment horizontal="center"/>
    </xf>
    <xf numFmtId="177" fontId="29" fillId="4" borderId="34" xfId="72" applyNumberFormat="1" applyFont="1" applyFill="1" applyBorder="1" applyAlignment="1">
      <alignment horizontal="center"/>
    </xf>
    <xf numFmtId="177" fontId="29" fillId="4" borderId="25" xfId="72" applyNumberFormat="1" applyFont="1" applyFill="1" applyBorder="1" applyAlignment="1">
      <alignment horizontal="center"/>
    </xf>
    <xf numFmtId="177" fontId="15" fillId="0" borderId="0" xfId="72" applyNumberFormat="1" applyFont="1" applyBorder="1" applyAlignment="1"/>
    <xf numFmtId="0" fontId="16" fillId="0" borderId="0" xfId="0" applyFont="1" applyBorder="1" applyAlignment="1">
      <alignment horizontal="center"/>
    </xf>
    <xf numFmtId="177" fontId="31" fillId="0" borderId="0" xfId="72" applyNumberFormat="1" applyFont="1" applyBorder="1" applyAlignment="1"/>
    <xf numFmtId="0" fontId="28" fillId="0" borderId="0" xfId="0" applyFont="1" applyBorder="1" applyAlignment="1">
      <alignment horizontal="center"/>
    </xf>
    <xf numFmtId="43" fontId="33" fillId="0" borderId="28" xfId="0" applyNumberFormat="1" applyFont="1" applyBorder="1" applyAlignment="1">
      <alignment horizontal="center" vertical="center"/>
    </xf>
    <xf numFmtId="43" fontId="33" fillId="0" borderId="13" xfId="0" applyNumberFormat="1" applyFont="1" applyBorder="1" applyAlignment="1">
      <alignment horizontal="center" vertical="center"/>
    </xf>
    <xf numFmtId="177" fontId="41" fillId="0" borderId="34" xfId="72" applyNumberFormat="1" applyFont="1" applyBorder="1" applyAlignment="1">
      <alignment horizontal="center" vertical="center"/>
    </xf>
    <xf numFmtId="177" fontId="41" fillId="0" borderId="39" xfId="72" applyNumberFormat="1" applyFont="1" applyBorder="1" applyAlignment="1">
      <alignment horizontal="center" vertical="center"/>
    </xf>
    <xf numFmtId="0" fontId="41" fillId="0" borderId="0" xfId="0" applyNumberFormat="1" applyFont="1" applyBorder="1" applyAlignment="1">
      <alignment horizontal="center"/>
    </xf>
    <xf numFmtId="177" fontId="41" fillId="0" borderId="0" xfId="72" applyNumberFormat="1" applyFont="1" applyBorder="1" applyAlignment="1">
      <alignment horizontal="center" vertical="center"/>
    </xf>
    <xf numFmtId="166" fontId="21" fillId="0" borderId="27" xfId="0" applyNumberFormat="1" applyFont="1" applyBorder="1" applyAlignment="1">
      <alignment horizontal="center"/>
    </xf>
    <xf numFmtId="166" fontId="21" fillId="0" borderId="26" xfId="0" applyNumberFormat="1" applyFont="1" applyBorder="1" applyAlignment="1">
      <alignment horizontal="center"/>
    </xf>
    <xf numFmtId="166" fontId="41" fillId="0" borderId="27" xfId="0" applyNumberFormat="1" applyFont="1" applyBorder="1" applyAlignment="1">
      <alignment horizontal="center"/>
    </xf>
    <xf numFmtId="166" fontId="41" fillId="0" borderId="2" xfId="0" applyNumberFormat="1" applyFont="1" applyBorder="1" applyAlignment="1">
      <alignment horizontal="center"/>
    </xf>
    <xf numFmtId="166" fontId="41" fillId="0" borderId="26" xfId="0" applyNumberFormat="1" applyFont="1" applyBorder="1" applyAlignment="1">
      <alignment horizontal="center"/>
    </xf>
    <xf numFmtId="166" fontId="41" fillId="0" borderId="6" xfId="0" applyNumberFormat="1" applyFont="1" applyBorder="1" applyAlignment="1">
      <alignment horizontal="center"/>
    </xf>
    <xf numFmtId="177" fontId="41" fillId="0" borderId="33" xfId="72" applyNumberFormat="1" applyFont="1" applyBorder="1" applyAlignment="1">
      <alignment horizontal="center" vertical="center"/>
    </xf>
    <xf numFmtId="177" fontId="41" fillId="0" borderId="6" xfId="72" applyNumberFormat="1" applyFont="1" applyBorder="1" applyAlignment="1">
      <alignment horizontal="center" vertical="center"/>
    </xf>
    <xf numFmtId="166" fontId="41" fillId="0" borderId="18" xfId="0" applyNumberFormat="1" applyFont="1" applyBorder="1" applyAlignment="1">
      <alignment horizontal="center"/>
    </xf>
    <xf numFmtId="166" fontId="41" fillId="0" borderId="7" xfId="0" applyNumberFormat="1" applyFont="1" applyBorder="1" applyAlignment="1">
      <alignment horizontal="center"/>
    </xf>
    <xf numFmtId="0" fontId="17" fillId="0" borderId="0" xfId="0" applyFont="1" applyBorder="1" applyAlignment="1">
      <alignment horizontal="center"/>
    </xf>
    <xf numFmtId="0" fontId="12" fillId="0" borderId="4" xfId="0" applyFont="1" applyBorder="1" applyAlignment="1">
      <alignment horizontal="center"/>
    </xf>
    <xf numFmtId="2" fontId="16" fillId="0" borderId="0" xfId="0" applyNumberFormat="1" applyFont="1" applyBorder="1" applyAlignment="1">
      <alignment horizontal="right" vertical="center"/>
    </xf>
    <xf numFmtId="165" fontId="14" fillId="0" borderId="0" xfId="0" applyNumberFormat="1" applyFont="1" applyAlignment="1">
      <alignment horizontal="center"/>
    </xf>
    <xf numFmtId="0" fontId="41" fillId="0" borderId="0" xfId="0" applyFont="1" applyBorder="1" applyAlignment="1">
      <alignment horizontal="center"/>
    </xf>
    <xf numFmtId="0" fontId="20" fillId="0" borderId="0" xfId="0" applyFont="1" applyBorder="1" applyAlignment="1">
      <alignment horizontal="center" vertical="center"/>
    </xf>
    <xf numFmtId="0" fontId="14" fillId="0" borderId="0" xfId="0" applyFont="1" applyBorder="1" applyAlignment="1">
      <alignment horizontal="center"/>
    </xf>
    <xf numFmtId="0" fontId="12" fillId="0" borderId="24" xfId="0" applyFont="1" applyBorder="1" applyAlignment="1">
      <alignment horizontal="center"/>
    </xf>
    <xf numFmtId="166" fontId="32" fillId="0" borderId="34" xfId="0" applyNumberFormat="1" applyFont="1" applyBorder="1" applyAlignment="1">
      <alignment horizontal="center"/>
    </xf>
    <xf numFmtId="166" fontId="32" fillId="0" borderId="39" xfId="0" applyNumberFormat="1" applyFont="1" applyBorder="1" applyAlignment="1">
      <alignment horizontal="center"/>
    </xf>
    <xf numFmtId="166" fontId="32" fillId="0" borderId="25" xfId="0" applyNumberFormat="1" applyFont="1" applyBorder="1" applyAlignment="1">
      <alignment horizontal="center"/>
    </xf>
    <xf numFmtId="43" fontId="42" fillId="0" borderId="13" xfId="0" applyNumberFormat="1" applyFont="1" applyBorder="1" applyAlignment="1">
      <alignment horizontal="center" vertical="center"/>
    </xf>
    <xf numFmtId="1" fontId="42" fillId="0" borderId="13" xfId="72" applyNumberFormat="1" applyFont="1" applyBorder="1" applyAlignment="1">
      <alignment horizontal="center" vertical="center"/>
    </xf>
    <xf numFmtId="43" fontId="42" fillId="0" borderId="4" xfId="72" applyFont="1" applyBorder="1" applyAlignment="1">
      <alignment horizontal="center" vertical="center"/>
    </xf>
    <xf numFmtId="43" fontId="42" fillId="0" borderId="13" xfId="72" applyFont="1" applyBorder="1" applyAlignment="1">
      <alignment horizontal="center" vertical="center"/>
    </xf>
    <xf numFmtId="43" fontId="42" fillId="0" borderId="28" xfId="0" applyNumberFormat="1" applyFont="1" applyBorder="1" applyAlignment="1">
      <alignment horizontal="center" vertical="center"/>
    </xf>
    <xf numFmtId="0" fontId="17" fillId="0" borderId="0" xfId="0" applyFont="1" applyBorder="1" applyAlignment="1">
      <alignment horizontal="right"/>
    </xf>
    <xf numFmtId="0" fontId="21" fillId="0" borderId="0" xfId="0" applyFont="1" applyBorder="1" applyAlignment="1">
      <alignment horizontal="right"/>
    </xf>
    <xf numFmtId="177" fontId="42" fillId="0" borderId="23" xfId="72" applyNumberFormat="1" applyFont="1" applyBorder="1" applyAlignment="1">
      <alignment horizontal="center" vertical="center"/>
    </xf>
    <xf numFmtId="177" fontId="42" fillId="0" borderId="9" xfId="72" applyNumberFormat="1" applyFont="1" applyBorder="1" applyAlignment="1">
      <alignment horizontal="center" vertical="center"/>
    </xf>
    <xf numFmtId="43" fontId="42" fillId="0" borderId="9" xfId="72" applyNumberFormat="1" applyFont="1" applyBorder="1" applyAlignment="1">
      <alignment horizontal="center" vertical="center"/>
    </xf>
    <xf numFmtId="43" fontId="42" fillId="0" borderId="23" xfId="72" applyFont="1" applyBorder="1" applyAlignment="1">
      <alignment horizontal="center" vertical="center"/>
    </xf>
    <xf numFmtId="43" fontId="42" fillId="0" borderId="9" xfId="72" applyFont="1" applyBorder="1" applyAlignment="1">
      <alignment horizontal="center" vertical="center"/>
    </xf>
    <xf numFmtId="166" fontId="32" fillId="0" borderId="27" xfId="0" applyNumberFormat="1" applyFont="1" applyBorder="1" applyAlignment="1">
      <alignment horizontal="center"/>
    </xf>
    <xf numFmtId="166" fontId="32" fillId="0" borderId="2" xfId="0" applyNumberFormat="1" applyFont="1" applyBorder="1" applyAlignment="1">
      <alignment horizontal="center"/>
    </xf>
    <xf numFmtId="166" fontId="32" fillId="0" borderId="26" xfId="0" applyNumberFormat="1" applyFont="1" applyBorder="1" applyAlignment="1">
      <alignment horizontal="center"/>
    </xf>
    <xf numFmtId="0" fontId="78" fillId="0" borderId="3" xfId="0" applyFont="1" applyBorder="1" applyAlignment="1">
      <alignment horizontal="center" vertical="center"/>
    </xf>
    <xf numFmtId="0" fontId="83" fillId="0" borderId="3" xfId="0" applyFont="1" applyBorder="1" applyAlignment="1">
      <alignment horizontal="center" vertical="center"/>
    </xf>
    <xf numFmtId="0" fontId="79" fillId="0" borderId="0" xfId="0" applyFont="1" applyBorder="1" applyAlignment="1">
      <alignment horizontal="center"/>
    </xf>
    <xf numFmtId="0" fontId="79" fillId="0" borderId="27" xfId="0" applyFont="1" applyBorder="1" applyAlignment="1">
      <alignment horizontal="center" vertical="center"/>
    </xf>
    <xf numFmtId="0" fontId="79" fillId="0" borderId="26" xfId="0" applyFont="1" applyBorder="1" applyAlignment="1">
      <alignment horizontal="center" vertical="center"/>
    </xf>
    <xf numFmtId="0" fontId="81" fillId="0" borderId="24" xfId="0" applyFont="1" applyBorder="1" applyAlignment="1">
      <alignment horizontal="center" vertical="justify" shrinkToFit="1"/>
    </xf>
    <xf numFmtId="0" fontId="79" fillId="0" borderId="4" xfId="0" applyFont="1" applyBorder="1" applyAlignment="1">
      <alignment horizontal="center" vertical="center"/>
    </xf>
    <xf numFmtId="0" fontId="79" fillId="0" borderId="23" xfId="0" applyFont="1" applyBorder="1" applyAlignment="1">
      <alignment horizontal="center" vertical="center"/>
    </xf>
    <xf numFmtId="0" fontId="79" fillId="0" borderId="4" xfId="0" applyFont="1" applyBorder="1" applyAlignment="1">
      <alignment horizontal="center" vertical="center" wrapText="1"/>
    </xf>
    <xf numFmtId="0" fontId="79" fillId="0" borderId="23" xfId="0" applyFont="1" applyBorder="1" applyAlignment="1">
      <alignment horizontal="center" vertical="center" wrapText="1"/>
    </xf>
    <xf numFmtId="0" fontId="79" fillId="0" borderId="24" xfId="0" applyFont="1" applyBorder="1" applyAlignment="1">
      <alignment horizontal="center" vertical="center" shrinkToFit="1"/>
    </xf>
    <xf numFmtId="0" fontId="79" fillId="0" borderId="2" xfId="0" applyFont="1" applyBorder="1" applyAlignment="1">
      <alignment horizontal="center" vertical="center" shrinkToFit="1"/>
    </xf>
    <xf numFmtId="0" fontId="79" fillId="0" borderId="27" xfId="0" applyFont="1" applyBorder="1" applyAlignment="1">
      <alignment horizontal="center" vertical="center" shrinkToFit="1"/>
    </xf>
    <xf numFmtId="165" fontId="82" fillId="0" borderId="45" xfId="0" applyNumberFormat="1" applyFont="1" applyBorder="1" applyAlignment="1">
      <alignment horizontal="center"/>
    </xf>
  </cellXfs>
  <cellStyles count="114">
    <cellStyle name="_Bang cham cong T8" xfId="1"/>
    <cellStyle name="_Book1" xfId="2"/>
    <cellStyle name="_Copy of BCT05" xfId="3"/>
    <cellStyle name="_Copy of luong khoan spsxphoi" xfId="4"/>
    <cellStyle name="_Copy of luong khoan spsxphoi_1" xfId="5"/>
    <cellStyle name="_Copy of luong khoan spsxphoi_2" xfId="6"/>
    <cellStyle name="_Copy of QDtangluong" xfId="7"/>
    <cellStyle name="_Copy of QDtangluong_1" xfId="8"/>
    <cellStyle name="_dslglait11" xfId="9"/>
    <cellStyle name="_dslglait11_1" xfId="10"/>
    <cellStyle name="_kkkk" xfId="11"/>
    <cellStyle name="_kkkk_1" xfId="12"/>
    <cellStyle name="_kyII-06" xfId="13"/>
    <cellStyle name="_kyII-06_1" xfId="14"/>
    <cellStyle name="_Lg kI-06" xfId="15"/>
    <cellStyle name="_Lg kI-06_1" xfId="16"/>
    <cellStyle name="_Lg kI-06_1_luongKIIthang06" xfId="17"/>
    <cellStyle name="_Lg kI-06_luongKIIthang06" xfId="18"/>
    <cellStyle name="_luong A12.2002" xfId="19"/>
    <cellStyle name="_luong khoan sp" xfId="20"/>
    <cellStyle name="_luong khoan sp_1" xfId="21"/>
    <cellStyle name="_luong khoan sp_2" xfId="22"/>
    <cellStyle name="_luong khoanphoithang1" xfId="23"/>
    <cellStyle name="_luong khoanphoithang1_1" xfId="24"/>
    <cellStyle name="_luong khoanphoithang1hn" xfId="25"/>
    <cellStyle name="_luong khoanphoithang1hn_1" xfId="26"/>
    <cellStyle name="_luong khoanphoithang2" xfId="27"/>
    <cellStyle name="_luong khoanphoithang2_1" xfId="28"/>
    <cellStyle name="_Luong01-KyI-04" xfId="29"/>
    <cellStyle name="_Luong01-KyI-04_1" xfId="30"/>
    <cellStyle name="_Luong11-KyI" xfId="31"/>
    <cellStyle name="_Luong11-KyI_1" xfId="32"/>
    <cellStyle name="_luongkhoanphoiT3" xfId="36"/>
    <cellStyle name="_luongkhoanphoiT3_1" xfId="37"/>
    <cellStyle name="_luongkhoanphoiT4" xfId="38"/>
    <cellStyle name="_luongkhoanphoiT4_1" xfId="39"/>
    <cellStyle name="_luongkhoanphoiT6-L" xfId="40"/>
    <cellStyle name="_luongkhoanphoiT6-L_1" xfId="41"/>
    <cellStyle name="_LuongKIIT11chinh" xfId="33"/>
    <cellStyle name="_LuongKIIT11chinh_1" xfId="34"/>
    <cellStyle name="_LuongKIIT11chinh_2" xfId="35"/>
    <cellStyle name="_LuongThuc11-KyI" xfId="42"/>
    <cellStyle name="_LuongThuc11-KyI_1" xfId="43"/>
    <cellStyle name="_LuongThuc11-KyII" xfId="44"/>
    <cellStyle name="_LuongThuc11-KyII_1" xfId="45"/>
    <cellStyle name="_Luongthuc12-KyII" xfId="46"/>
    <cellStyle name="_Luongthuc12-KyII_1" xfId="47"/>
    <cellStyle name="_Luongthuc12-KyII_1_luong A12.2002" xfId="48"/>
    <cellStyle name="_Luongthuc12-KyII_luong A12.2002" xfId="49"/>
    <cellStyle name="_Luongthuc1-KyII" xfId="50"/>
    <cellStyle name="_Luongthuc1-KyII_1" xfId="51"/>
    <cellStyle name="_LuongThuc9-KyII" xfId="52"/>
    <cellStyle name="_LuongThuc9-KyII_1" xfId="53"/>
    <cellStyle name="_San luong va chi phi" xfId="54"/>
    <cellStyle name="_so cham diem phu" xfId="55"/>
    <cellStyle name="_Tieu hao Vat Tu" xfId="56"/>
    <cellStyle name="1" xfId="57"/>
    <cellStyle name="1_HC Details" xfId="58"/>
    <cellStyle name="1_PROD" xfId="59"/>
    <cellStyle name="1_PRODUCT DETAIL Q1" xfId="60"/>
    <cellStyle name="1_Q1" xfId="61"/>
    <cellStyle name="1_TOTQ196_x0018_Normal_Sheet1_TOTQ296W50" xfId="62"/>
    <cellStyle name="2" xfId="63"/>
    <cellStyle name="3" xfId="64"/>
    <cellStyle name="4" xfId="65"/>
    <cellStyle name="AeE­ [0]_INQUIRY ¿μ¾÷AßAø " xfId="66"/>
    <cellStyle name="AeE­_INQUIRY ¿μ¾÷AßAø " xfId="67"/>
    <cellStyle name="al_thkp gia cong _x0015_Normal_thkp nha xuong" xfId="68"/>
    <cellStyle name="AÞ¸¶ [0]_INQUIRY ¿μ¾÷AßAø " xfId="69"/>
    <cellStyle name="AÞ¸¶_INQUIRY ¿μ¾÷AßAø " xfId="70"/>
    <cellStyle name="C￥AØ_¿μ¾÷CoE² " xfId="71"/>
    <cellStyle name="Comma" xfId="72" builtinId="3"/>
    <cellStyle name="Comma0" xfId="73"/>
    <cellStyle name="cong _x0015_Normal_thkp nha xuong" xfId="74"/>
    <cellStyle name="Currency0" xfId="75"/>
    <cellStyle name="Date" xfId="76"/>
    <cellStyle name="Fixed" xfId="77"/>
    <cellStyle name="g" xfId="78"/>
    <cellStyle name="Header1" xfId="79"/>
    <cellStyle name="Header2" xfId="80"/>
    <cellStyle name="Heading 1" xfId="81" builtinId="16" customBuiltin="1"/>
    <cellStyle name="Heading 2" xfId="82" builtinId="17" customBuiltin="1"/>
    <cellStyle name="heet1_F_x0018_Normal_Sheet1_HC Details" xfId="83"/>
    <cellStyle name="n" xfId="84"/>
    <cellStyle name="Normal" xfId="0" builtinId="0"/>
    <cellStyle name="Normal - Style1" xfId="85"/>
    <cellStyle name="ok1" xfId="86"/>
    <cellStyle name="POINT LIST" xfId="87"/>
    <cellStyle name="Style 1" xfId="88"/>
    <cellStyle name="Total" xfId="89" builtinId="25" customBuiltin="1"/>
    <cellStyle name="TQ296W50" xfId="90"/>
    <cellStyle name="TQ4W50" xfId="91"/>
    <cellStyle name="xuan" xfId="92"/>
    <cellStyle name=" [0.00]_ Att. 1- Cover" xfId="93"/>
    <cellStyle name="_ Att. 1- Cover" xfId="94"/>
    <cellStyle name="?_ Att. 1- Cover" xfId="95"/>
    <cellStyle name="똿뗦먛귟 [0.00]_PRODUCT DETAIL Q1" xfId="96"/>
    <cellStyle name="똿뗦먛귟_PRODUCT DETAIL Q1" xfId="97"/>
    <cellStyle name="믅됞 [0.00]_PRODUCT DETAIL Q1" xfId="98"/>
    <cellStyle name="믅됞_PRODUCT DETAIL Q1" xfId="99"/>
    <cellStyle name="백분율_95" xfId="100"/>
    <cellStyle name="뷭?_BOOKSHIP" xfId="101"/>
    <cellStyle name="콤마 [0]_1202" xfId="102"/>
    <cellStyle name="콤마_1202" xfId="103"/>
    <cellStyle name="통화 [0]_1202" xfId="104"/>
    <cellStyle name="통화_1202" xfId="105"/>
    <cellStyle name="표준_(정보부문)월별인원계획" xfId="106"/>
    <cellStyle name="표준_kc-elec system check list" xfId="107"/>
    <cellStyle name="一般_99Q3647-ALL-CAS2" xfId="108"/>
    <cellStyle name="千分位[0]_Book1" xfId="109"/>
    <cellStyle name="千分位_99Q3647-ALL-CAS2" xfId="110"/>
    <cellStyle name="貨幣 [0]_Book1" xfId="111"/>
    <cellStyle name="貨幣[0]_BRE" xfId="112"/>
    <cellStyle name="貨幣_Book1" xfId="11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6.xml"/><Relationship Id="rId21" Type="http://schemas.openxmlformats.org/officeDocument/2006/relationships/worksheet" Target="worksheets/sheet21.xml"/><Relationship Id="rId34" Type="http://schemas.openxmlformats.org/officeDocument/2006/relationships/externalLink" Target="externalLinks/externalLink1.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4.xml"/><Relationship Id="rId40" Type="http://schemas.openxmlformats.org/officeDocument/2006/relationships/externalLink" Target="externalLinks/externalLink7.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5.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emf"/></Relationships>
</file>

<file path=xl/drawings/_rels/drawing5.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emf"/></Relationships>
</file>

<file path=xl/drawings/_rels/drawing7.xml.rels><?xml version="1.0" encoding="UTF-8" standalone="yes"?>
<Relationships xmlns="http://schemas.openxmlformats.org/package/2006/relationships"><Relationship Id="rId1" Type="http://schemas.openxmlformats.org/officeDocument/2006/relationships/image" Target="../media/image2.emf"/></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57150</xdr:colOff>
      <xdr:row>0</xdr:row>
      <xdr:rowOff>0</xdr:rowOff>
    </xdr:from>
    <xdr:to>
      <xdr:col>3</xdr:col>
      <xdr:colOff>76200</xdr:colOff>
      <xdr:row>0</xdr:row>
      <xdr:rowOff>0</xdr:rowOff>
    </xdr:to>
    <xdr:pic>
      <xdr:nvPicPr>
        <xdr:cNvPr id="40097" name="Picture 1" descr="sse logol"/>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0"/>
          <a:ext cx="533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76200</xdr:colOff>
      <xdr:row>0</xdr:row>
      <xdr:rowOff>0</xdr:rowOff>
    </xdr:from>
    <xdr:to>
      <xdr:col>3</xdr:col>
      <xdr:colOff>180975</xdr:colOff>
      <xdr:row>0</xdr:row>
      <xdr:rowOff>0</xdr:rowOff>
    </xdr:to>
    <xdr:pic>
      <xdr:nvPicPr>
        <xdr:cNvPr id="40098"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0"/>
          <a:ext cx="6191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57150</xdr:colOff>
      <xdr:row>0</xdr:row>
      <xdr:rowOff>0</xdr:rowOff>
    </xdr:from>
    <xdr:to>
      <xdr:col>3</xdr:col>
      <xdr:colOff>76200</xdr:colOff>
      <xdr:row>0</xdr:row>
      <xdr:rowOff>0</xdr:rowOff>
    </xdr:to>
    <xdr:pic>
      <xdr:nvPicPr>
        <xdr:cNvPr id="40099" name="Picture 3" descr="sse logol"/>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0"/>
          <a:ext cx="533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76200</xdr:colOff>
      <xdr:row>0</xdr:row>
      <xdr:rowOff>0</xdr:rowOff>
    </xdr:from>
    <xdr:to>
      <xdr:col>3</xdr:col>
      <xdr:colOff>180975</xdr:colOff>
      <xdr:row>0</xdr:row>
      <xdr:rowOff>0</xdr:rowOff>
    </xdr:to>
    <xdr:pic>
      <xdr:nvPicPr>
        <xdr:cNvPr id="40100" name="Picture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0"/>
          <a:ext cx="6191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76200</xdr:colOff>
      <xdr:row>0</xdr:row>
      <xdr:rowOff>0</xdr:rowOff>
    </xdr:from>
    <xdr:to>
      <xdr:col>3</xdr:col>
      <xdr:colOff>180975</xdr:colOff>
      <xdr:row>0</xdr:row>
      <xdr:rowOff>0</xdr:rowOff>
    </xdr:to>
    <xdr:pic>
      <xdr:nvPicPr>
        <xdr:cNvPr id="40101" name="Picture 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0"/>
          <a:ext cx="6191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76200</xdr:colOff>
      <xdr:row>0</xdr:row>
      <xdr:rowOff>0</xdr:rowOff>
    </xdr:from>
    <xdr:to>
      <xdr:col>3</xdr:col>
      <xdr:colOff>180975</xdr:colOff>
      <xdr:row>0</xdr:row>
      <xdr:rowOff>0</xdr:rowOff>
    </xdr:to>
    <xdr:pic>
      <xdr:nvPicPr>
        <xdr:cNvPr id="40102"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0"/>
          <a:ext cx="6191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57150</xdr:colOff>
      <xdr:row>0</xdr:row>
      <xdr:rowOff>0</xdr:rowOff>
    </xdr:from>
    <xdr:to>
      <xdr:col>3</xdr:col>
      <xdr:colOff>76200</xdr:colOff>
      <xdr:row>0</xdr:row>
      <xdr:rowOff>0</xdr:rowOff>
    </xdr:to>
    <xdr:pic>
      <xdr:nvPicPr>
        <xdr:cNvPr id="40103" name="Picture 7" descr="sse logol"/>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0"/>
          <a:ext cx="533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76200</xdr:colOff>
      <xdr:row>0</xdr:row>
      <xdr:rowOff>0</xdr:rowOff>
    </xdr:from>
    <xdr:to>
      <xdr:col>3</xdr:col>
      <xdr:colOff>38100</xdr:colOff>
      <xdr:row>0</xdr:row>
      <xdr:rowOff>0</xdr:rowOff>
    </xdr:to>
    <xdr:pic>
      <xdr:nvPicPr>
        <xdr:cNvPr id="40104" name="Picture 8"/>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0"/>
          <a:ext cx="4762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76200</xdr:colOff>
      <xdr:row>0</xdr:row>
      <xdr:rowOff>0</xdr:rowOff>
    </xdr:from>
    <xdr:to>
      <xdr:col>3</xdr:col>
      <xdr:colOff>180975</xdr:colOff>
      <xdr:row>0</xdr:row>
      <xdr:rowOff>0</xdr:rowOff>
    </xdr:to>
    <xdr:pic>
      <xdr:nvPicPr>
        <xdr:cNvPr id="40105" name="Picture 9"/>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0"/>
          <a:ext cx="6191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57150</xdr:colOff>
      <xdr:row>9</xdr:row>
      <xdr:rowOff>0</xdr:rowOff>
    </xdr:from>
    <xdr:to>
      <xdr:col>5</xdr:col>
      <xdr:colOff>76200</xdr:colOff>
      <xdr:row>9</xdr:row>
      <xdr:rowOff>0</xdr:rowOff>
    </xdr:to>
    <xdr:pic>
      <xdr:nvPicPr>
        <xdr:cNvPr id="40106" name="Picture 10" descr="sse logol"/>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2000250"/>
          <a:ext cx="21145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76200</xdr:colOff>
      <xdr:row>9</xdr:row>
      <xdr:rowOff>0</xdr:rowOff>
    </xdr:from>
    <xdr:to>
      <xdr:col>5</xdr:col>
      <xdr:colOff>180975</xdr:colOff>
      <xdr:row>9</xdr:row>
      <xdr:rowOff>0</xdr:rowOff>
    </xdr:to>
    <xdr:pic>
      <xdr:nvPicPr>
        <xdr:cNvPr id="40107" name="Picture 1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2000250"/>
          <a:ext cx="22002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66675</xdr:colOff>
      <xdr:row>0</xdr:row>
      <xdr:rowOff>57150</xdr:rowOff>
    </xdr:from>
    <xdr:to>
      <xdr:col>3</xdr:col>
      <xdr:colOff>609600</xdr:colOff>
      <xdr:row>2</xdr:row>
      <xdr:rowOff>123825</xdr:rowOff>
    </xdr:to>
    <xdr:pic>
      <xdr:nvPicPr>
        <xdr:cNvPr id="40108" name="Picture 12"/>
        <xdr:cNvPicPr>
          <a:picLocks noChangeAspect="1" noChangeArrowheads="1"/>
        </xdr:cNvPicPr>
      </xdr:nvPicPr>
      <xdr:blipFill>
        <a:blip xmlns:r="http://schemas.openxmlformats.org/officeDocument/2006/relationships" r:embed="rId2" cstate="print">
          <a:lum contrast="6000"/>
          <a:extLst>
            <a:ext uri="{28A0092B-C50C-407E-A947-70E740481C1C}">
              <a14:useLocalDpi xmlns:a14="http://schemas.microsoft.com/office/drawing/2010/main" val="0"/>
            </a:ext>
          </a:extLst>
        </a:blip>
        <a:srcRect/>
        <a:stretch>
          <a:fillRect/>
        </a:stretch>
      </xdr:blipFill>
      <xdr:spPr bwMode="auto">
        <a:xfrm>
          <a:off x="333375" y="57150"/>
          <a:ext cx="79057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0</xdr:row>
      <xdr:rowOff>57150</xdr:rowOff>
    </xdr:from>
    <xdr:to>
      <xdr:col>2</xdr:col>
      <xdr:colOff>400050</xdr:colOff>
      <xdr:row>2</xdr:row>
      <xdr:rowOff>161925</xdr:rowOff>
    </xdr:to>
    <xdr:pic>
      <xdr:nvPicPr>
        <xdr:cNvPr id="40971" name="Picture 1"/>
        <xdr:cNvPicPr>
          <a:picLocks noChangeAspect="1" noChangeArrowheads="1"/>
        </xdr:cNvPicPr>
      </xdr:nvPicPr>
      <xdr:blipFill>
        <a:blip xmlns:r="http://schemas.openxmlformats.org/officeDocument/2006/relationships" r:embed="rId1" cstate="print">
          <a:lum contrast="6000"/>
          <a:extLst>
            <a:ext uri="{28A0092B-C50C-407E-A947-70E740481C1C}">
              <a14:useLocalDpi xmlns:a14="http://schemas.microsoft.com/office/drawing/2010/main" val="0"/>
            </a:ext>
          </a:extLst>
        </a:blip>
        <a:srcRect/>
        <a:stretch>
          <a:fillRect/>
        </a:stretch>
      </xdr:blipFill>
      <xdr:spPr bwMode="auto">
        <a:xfrm>
          <a:off x="390525" y="57150"/>
          <a:ext cx="7334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57150</xdr:colOff>
      <xdr:row>0</xdr:row>
      <xdr:rowOff>0</xdr:rowOff>
    </xdr:from>
    <xdr:to>
      <xdr:col>3</xdr:col>
      <xdr:colOff>76200</xdr:colOff>
      <xdr:row>0</xdr:row>
      <xdr:rowOff>0</xdr:rowOff>
    </xdr:to>
    <xdr:pic>
      <xdr:nvPicPr>
        <xdr:cNvPr id="44153" name="Picture 1" descr="sse logol"/>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0"/>
          <a:ext cx="5810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76200</xdr:colOff>
      <xdr:row>0</xdr:row>
      <xdr:rowOff>0</xdr:rowOff>
    </xdr:from>
    <xdr:to>
      <xdr:col>3</xdr:col>
      <xdr:colOff>180975</xdr:colOff>
      <xdr:row>0</xdr:row>
      <xdr:rowOff>0</xdr:rowOff>
    </xdr:to>
    <xdr:pic>
      <xdr:nvPicPr>
        <xdr:cNvPr id="44154"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0"/>
          <a:ext cx="666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57150</xdr:colOff>
      <xdr:row>0</xdr:row>
      <xdr:rowOff>0</xdr:rowOff>
    </xdr:from>
    <xdr:to>
      <xdr:col>3</xdr:col>
      <xdr:colOff>76200</xdr:colOff>
      <xdr:row>0</xdr:row>
      <xdr:rowOff>0</xdr:rowOff>
    </xdr:to>
    <xdr:pic>
      <xdr:nvPicPr>
        <xdr:cNvPr id="44155" name="Picture 3" descr="sse logol"/>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0"/>
          <a:ext cx="5810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76200</xdr:colOff>
      <xdr:row>0</xdr:row>
      <xdr:rowOff>0</xdr:rowOff>
    </xdr:from>
    <xdr:to>
      <xdr:col>3</xdr:col>
      <xdr:colOff>180975</xdr:colOff>
      <xdr:row>0</xdr:row>
      <xdr:rowOff>0</xdr:rowOff>
    </xdr:to>
    <xdr:pic>
      <xdr:nvPicPr>
        <xdr:cNvPr id="44156" name="Picture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0"/>
          <a:ext cx="666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76200</xdr:colOff>
      <xdr:row>0</xdr:row>
      <xdr:rowOff>0</xdr:rowOff>
    </xdr:from>
    <xdr:to>
      <xdr:col>3</xdr:col>
      <xdr:colOff>180975</xdr:colOff>
      <xdr:row>0</xdr:row>
      <xdr:rowOff>0</xdr:rowOff>
    </xdr:to>
    <xdr:pic>
      <xdr:nvPicPr>
        <xdr:cNvPr id="44157" name="Picture 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0"/>
          <a:ext cx="666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76200</xdr:colOff>
      <xdr:row>0</xdr:row>
      <xdr:rowOff>0</xdr:rowOff>
    </xdr:from>
    <xdr:to>
      <xdr:col>3</xdr:col>
      <xdr:colOff>180975</xdr:colOff>
      <xdr:row>0</xdr:row>
      <xdr:rowOff>0</xdr:rowOff>
    </xdr:to>
    <xdr:pic>
      <xdr:nvPicPr>
        <xdr:cNvPr id="44158"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0"/>
          <a:ext cx="666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57150</xdr:colOff>
      <xdr:row>0</xdr:row>
      <xdr:rowOff>0</xdr:rowOff>
    </xdr:from>
    <xdr:to>
      <xdr:col>3</xdr:col>
      <xdr:colOff>76200</xdr:colOff>
      <xdr:row>0</xdr:row>
      <xdr:rowOff>0</xdr:rowOff>
    </xdr:to>
    <xdr:pic>
      <xdr:nvPicPr>
        <xdr:cNvPr id="44159" name="Picture 7" descr="sse logol"/>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0"/>
          <a:ext cx="5810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76200</xdr:colOff>
      <xdr:row>0</xdr:row>
      <xdr:rowOff>0</xdr:rowOff>
    </xdr:from>
    <xdr:to>
      <xdr:col>3</xdr:col>
      <xdr:colOff>38100</xdr:colOff>
      <xdr:row>0</xdr:row>
      <xdr:rowOff>0</xdr:rowOff>
    </xdr:to>
    <xdr:pic>
      <xdr:nvPicPr>
        <xdr:cNvPr id="44160" name="Picture 8"/>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0"/>
          <a:ext cx="523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76200</xdr:colOff>
      <xdr:row>0</xdr:row>
      <xdr:rowOff>0</xdr:rowOff>
    </xdr:from>
    <xdr:to>
      <xdr:col>3</xdr:col>
      <xdr:colOff>180975</xdr:colOff>
      <xdr:row>0</xdr:row>
      <xdr:rowOff>0</xdr:rowOff>
    </xdr:to>
    <xdr:pic>
      <xdr:nvPicPr>
        <xdr:cNvPr id="44161" name="Picture 9"/>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0"/>
          <a:ext cx="666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57150</xdr:colOff>
      <xdr:row>9</xdr:row>
      <xdr:rowOff>0</xdr:rowOff>
    </xdr:from>
    <xdr:to>
      <xdr:col>5</xdr:col>
      <xdr:colOff>76200</xdr:colOff>
      <xdr:row>9</xdr:row>
      <xdr:rowOff>0</xdr:rowOff>
    </xdr:to>
    <xdr:pic>
      <xdr:nvPicPr>
        <xdr:cNvPr id="44162" name="Picture 10" descr="sse logol"/>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2000250"/>
          <a:ext cx="23050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76200</xdr:colOff>
      <xdr:row>9</xdr:row>
      <xdr:rowOff>0</xdr:rowOff>
    </xdr:from>
    <xdr:to>
      <xdr:col>5</xdr:col>
      <xdr:colOff>180975</xdr:colOff>
      <xdr:row>9</xdr:row>
      <xdr:rowOff>0</xdr:rowOff>
    </xdr:to>
    <xdr:pic>
      <xdr:nvPicPr>
        <xdr:cNvPr id="44163" name="Picture 1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2000250"/>
          <a:ext cx="23907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66675</xdr:colOff>
      <xdr:row>0</xdr:row>
      <xdr:rowOff>57150</xdr:rowOff>
    </xdr:from>
    <xdr:to>
      <xdr:col>3</xdr:col>
      <xdr:colOff>609600</xdr:colOff>
      <xdr:row>2</xdr:row>
      <xdr:rowOff>123825</xdr:rowOff>
    </xdr:to>
    <xdr:pic>
      <xdr:nvPicPr>
        <xdr:cNvPr id="44164" name="Picture 12"/>
        <xdr:cNvPicPr>
          <a:picLocks noChangeAspect="1" noChangeArrowheads="1"/>
        </xdr:cNvPicPr>
      </xdr:nvPicPr>
      <xdr:blipFill>
        <a:blip xmlns:r="http://schemas.openxmlformats.org/officeDocument/2006/relationships" r:embed="rId2" cstate="print">
          <a:lum contrast="6000"/>
          <a:extLst>
            <a:ext uri="{28A0092B-C50C-407E-A947-70E740481C1C}">
              <a14:useLocalDpi xmlns:a14="http://schemas.microsoft.com/office/drawing/2010/main" val="0"/>
            </a:ext>
          </a:extLst>
        </a:blip>
        <a:srcRect/>
        <a:stretch>
          <a:fillRect/>
        </a:stretch>
      </xdr:blipFill>
      <xdr:spPr bwMode="auto">
        <a:xfrm>
          <a:off x="381000" y="57150"/>
          <a:ext cx="79057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xdr:colOff>
      <xdr:row>0</xdr:row>
      <xdr:rowOff>57150</xdr:rowOff>
    </xdr:from>
    <xdr:to>
      <xdr:col>2</xdr:col>
      <xdr:colOff>400050</xdr:colOff>
      <xdr:row>2</xdr:row>
      <xdr:rowOff>161925</xdr:rowOff>
    </xdr:to>
    <xdr:pic>
      <xdr:nvPicPr>
        <xdr:cNvPr id="45067" name="Picture 1"/>
        <xdr:cNvPicPr>
          <a:picLocks noChangeAspect="1" noChangeArrowheads="1"/>
        </xdr:cNvPicPr>
      </xdr:nvPicPr>
      <xdr:blipFill>
        <a:blip xmlns:r="http://schemas.openxmlformats.org/officeDocument/2006/relationships" r:embed="rId1" cstate="print">
          <a:lum contrast="6000"/>
          <a:extLst>
            <a:ext uri="{28A0092B-C50C-407E-A947-70E740481C1C}">
              <a14:useLocalDpi xmlns:a14="http://schemas.microsoft.com/office/drawing/2010/main" val="0"/>
            </a:ext>
          </a:extLst>
        </a:blip>
        <a:srcRect/>
        <a:stretch>
          <a:fillRect/>
        </a:stretch>
      </xdr:blipFill>
      <xdr:spPr bwMode="auto">
        <a:xfrm>
          <a:off x="390525" y="57150"/>
          <a:ext cx="7334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57150</xdr:colOff>
      <xdr:row>0</xdr:row>
      <xdr:rowOff>0</xdr:rowOff>
    </xdr:from>
    <xdr:to>
      <xdr:col>3</xdr:col>
      <xdr:colOff>76200</xdr:colOff>
      <xdr:row>0</xdr:row>
      <xdr:rowOff>0</xdr:rowOff>
    </xdr:to>
    <xdr:pic>
      <xdr:nvPicPr>
        <xdr:cNvPr id="47225" name="Picture 1" descr="sse logol"/>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0"/>
          <a:ext cx="5810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76200</xdr:colOff>
      <xdr:row>0</xdr:row>
      <xdr:rowOff>0</xdr:rowOff>
    </xdr:from>
    <xdr:to>
      <xdr:col>3</xdr:col>
      <xdr:colOff>180975</xdr:colOff>
      <xdr:row>0</xdr:row>
      <xdr:rowOff>0</xdr:rowOff>
    </xdr:to>
    <xdr:pic>
      <xdr:nvPicPr>
        <xdr:cNvPr id="47226"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0"/>
          <a:ext cx="666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57150</xdr:colOff>
      <xdr:row>0</xdr:row>
      <xdr:rowOff>0</xdr:rowOff>
    </xdr:from>
    <xdr:to>
      <xdr:col>3</xdr:col>
      <xdr:colOff>76200</xdr:colOff>
      <xdr:row>0</xdr:row>
      <xdr:rowOff>0</xdr:rowOff>
    </xdr:to>
    <xdr:pic>
      <xdr:nvPicPr>
        <xdr:cNvPr id="47227" name="Picture 3" descr="sse logol"/>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0"/>
          <a:ext cx="5810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76200</xdr:colOff>
      <xdr:row>0</xdr:row>
      <xdr:rowOff>0</xdr:rowOff>
    </xdr:from>
    <xdr:to>
      <xdr:col>3</xdr:col>
      <xdr:colOff>180975</xdr:colOff>
      <xdr:row>0</xdr:row>
      <xdr:rowOff>0</xdr:rowOff>
    </xdr:to>
    <xdr:pic>
      <xdr:nvPicPr>
        <xdr:cNvPr id="47228" name="Picture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0"/>
          <a:ext cx="666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76200</xdr:colOff>
      <xdr:row>0</xdr:row>
      <xdr:rowOff>0</xdr:rowOff>
    </xdr:from>
    <xdr:to>
      <xdr:col>3</xdr:col>
      <xdr:colOff>180975</xdr:colOff>
      <xdr:row>0</xdr:row>
      <xdr:rowOff>0</xdr:rowOff>
    </xdr:to>
    <xdr:pic>
      <xdr:nvPicPr>
        <xdr:cNvPr id="47229" name="Picture 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0"/>
          <a:ext cx="666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76200</xdr:colOff>
      <xdr:row>0</xdr:row>
      <xdr:rowOff>0</xdr:rowOff>
    </xdr:from>
    <xdr:to>
      <xdr:col>3</xdr:col>
      <xdr:colOff>180975</xdr:colOff>
      <xdr:row>0</xdr:row>
      <xdr:rowOff>0</xdr:rowOff>
    </xdr:to>
    <xdr:pic>
      <xdr:nvPicPr>
        <xdr:cNvPr id="47230"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0"/>
          <a:ext cx="666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57150</xdr:colOff>
      <xdr:row>0</xdr:row>
      <xdr:rowOff>0</xdr:rowOff>
    </xdr:from>
    <xdr:to>
      <xdr:col>3</xdr:col>
      <xdr:colOff>76200</xdr:colOff>
      <xdr:row>0</xdr:row>
      <xdr:rowOff>0</xdr:rowOff>
    </xdr:to>
    <xdr:pic>
      <xdr:nvPicPr>
        <xdr:cNvPr id="47231" name="Picture 7" descr="sse logol"/>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0"/>
          <a:ext cx="5810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76200</xdr:colOff>
      <xdr:row>0</xdr:row>
      <xdr:rowOff>0</xdr:rowOff>
    </xdr:from>
    <xdr:to>
      <xdr:col>3</xdr:col>
      <xdr:colOff>38100</xdr:colOff>
      <xdr:row>0</xdr:row>
      <xdr:rowOff>0</xdr:rowOff>
    </xdr:to>
    <xdr:pic>
      <xdr:nvPicPr>
        <xdr:cNvPr id="47232" name="Picture 8"/>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0"/>
          <a:ext cx="523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76200</xdr:colOff>
      <xdr:row>0</xdr:row>
      <xdr:rowOff>0</xdr:rowOff>
    </xdr:from>
    <xdr:to>
      <xdr:col>3</xdr:col>
      <xdr:colOff>180975</xdr:colOff>
      <xdr:row>0</xdr:row>
      <xdr:rowOff>0</xdr:rowOff>
    </xdr:to>
    <xdr:pic>
      <xdr:nvPicPr>
        <xdr:cNvPr id="47233" name="Picture 9"/>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0"/>
          <a:ext cx="666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57150</xdr:colOff>
      <xdr:row>9</xdr:row>
      <xdr:rowOff>0</xdr:rowOff>
    </xdr:from>
    <xdr:to>
      <xdr:col>5</xdr:col>
      <xdr:colOff>76200</xdr:colOff>
      <xdr:row>9</xdr:row>
      <xdr:rowOff>0</xdr:rowOff>
    </xdr:to>
    <xdr:pic>
      <xdr:nvPicPr>
        <xdr:cNvPr id="47234" name="Picture 10" descr="sse logol"/>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2000250"/>
          <a:ext cx="22764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76200</xdr:colOff>
      <xdr:row>9</xdr:row>
      <xdr:rowOff>0</xdr:rowOff>
    </xdr:from>
    <xdr:to>
      <xdr:col>5</xdr:col>
      <xdr:colOff>180975</xdr:colOff>
      <xdr:row>9</xdr:row>
      <xdr:rowOff>0</xdr:rowOff>
    </xdr:to>
    <xdr:pic>
      <xdr:nvPicPr>
        <xdr:cNvPr id="47235" name="Picture 1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2000250"/>
          <a:ext cx="23622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66675</xdr:colOff>
      <xdr:row>0</xdr:row>
      <xdr:rowOff>57150</xdr:rowOff>
    </xdr:from>
    <xdr:to>
      <xdr:col>3</xdr:col>
      <xdr:colOff>609600</xdr:colOff>
      <xdr:row>2</xdr:row>
      <xdr:rowOff>123825</xdr:rowOff>
    </xdr:to>
    <xdr:pic>
      <xdr:nvPicPr>
        <xdr:cNvPr id="47236" name="Picture 12"/>
        <xdr:cNvPicPr>
          <a:picLocks noChangeAspect="1" noChangeArrowheads="1"/>
        </xdr:cNvPicPr>
      </xdr:nvPicPr>
      <xdr:blipFill>
        <a:blip xmlns:r="http://schemas.openxmlformats.org/officeDocument/2006/relationships" r:embed="rId2" cstate="print">
          <a:lum contrast="6000"/>
          <a:extLst>
            <a:ext uri="{28A0092B-C50C-407E-A947-70E740481C1C}">
              <a14:useLocalDpi xmlns:a14="http://schemas.microsoft.com/office/drawing/2010/main" val="0"/>
            </a:ext>
          </a:extLst>
        </a:blip>
        <a:srcRect/>
        <a:stretch>
          <a:fillRect/>
        </a:stretch>
      </xdr:blipFill>
      <xdr:spPr bwMode="auto">
        <a:xfrm>
          <a:off x="381000" y="57150"/>
          <a:ext cx="79057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9525</xdr:colOff>
      <xdr:row>0</xdr:row>
      <xdr:rowOff>57150</xdr:rowOff>
    </xdr:from>
    <xdr:to>
      <xdr:col>2</xdr:col>
      <xdr:colOff>400050</xdr:colOff>
      <xdr:row>2</xdr:row>
      <xdr:rowOff>161925</xdr:rowOff>
    </xdr:to>
    <xdr:pic>
      <xdr:nvPicPr>
        <xdr:cNvPr id="48139" name="Picture 1"/>
        <xdr:cNvPicPr>
          <a:picLocks noChangeAspect="1" noChangeArrowheads="1"/>
        </xdr:cNvPicPr>
      </xdr:nvPicPr>
      <xdr:blipFill>
        <a:blip xmlns:r="http://schemas.openxmlformats.org/officeDocument/2006/relationships" r:embed="rId1" cstate="print">
          <a:lum contrast="6000"/>
          <a:extLst>
            <a:ext uri="{28A0092B-C50C-407E-A947-70E740481C1C}">
              <a14:useLocalDpi xmlns:a14="http://schemas.microsoft.com/office/drawing/2010/main" val="0"/>
            </a:ext>
          </a:extLst>
        </a:blip>
        <a:srcRect/>
        <a:stretch>
          <a:fillRect/>
        </a:stretch>
      </xdr:blipFill>
      <xdr:spPr bwMode="auto">
        <a:xfrm>
          <a:off x="390525" y="57150"/>
          <a:ext cx="7334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9525</xdr:colOff>
      <xdr:row>0</xdr:row>
      <xdr:rowOff>57150</xdr:rowOff>
    </xdr:from>
    <xdr:to>
      <xdr:col>2</xdr:col>
      <xdr:colOff>400050</xdr:colOff>
      <xdr:row>2</xdr:row>
      <xdr:rowOff>161925</xdr:rowOff>
    </xdr:to>
    <xdr:pic>
      <xdr:nvPicPr>
        <xdr:cNvPr id="50187" name="Picture 1"/>
        <xdr:cNvPicPr>
          <a:picLocks noChangeAspect="1" noChangeArrowheads="1"/>
        </xdr:cNvPicPr>
      </xdr:nvPicPr>
      <xdr:blipFill>
        <a:blip xmlns:r="http://schemas.openxmlformats.org/officeDocument/2006/relationships" r:embed="rId1" cstate="print">
          <a:lum contrast="6000"/>
          <a:extLst>
            <a:ext uri="{28A0092B-C50C-407E-A947-70E740481C1C}">
              <a14:useLocalDpi xmlns:a14="http://schemas.microsoft.com/office/drawing/2010/main" val="0"/>
            </a:ext>
          </a:extLst>
        </a:blip>
        <a:srcRect/>
        <a:stretch>
          <a:fillRect/>
        </a:stretch>
      </xdr:blipFill>
      <xdr:spPr bwMode="auto">
        <a:xfrm>
          <a:off x="0" y="57150"/>
          <a:ext cx="400050"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295275</xdr:colOff>
      <xdr:row>0</xdr:row>
      <xdr:rowOff>0</xdr:rowOff>
    </xdr:from>
    <xdr:to>
      <xdr:col>3</xdr:col>
      <xdr:colOff>66675</xdr:colOff>
      <xdr:row>0</xdr:row>
      <xdr:rowOff>0</xdr:rowOff>
    </xdr:to>
    <xdr:pic>
      <xdr:nvPicPr>
        <xdr:cNvPr id="125983"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5275" y="0"/>
          <a:ext cx="10953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xdr:from>
      <xdr:col>0</xdr:col>
      <xdr:colOff>295275</xdr:colOff>
      <xdr:row>0</xdr:row>
      <xdr:rowOff>0</xdr:rowOff>
    </xdr:from>
    <xdr:to>
      <xdr:col>3</xdr:col>
      <xdr:colOff>66675</xdr:colOff>
      <xdr:row>0</xdr:row>
      <xdr:rowOff>0</xdr:rowOff>
    </xdr:to>
    <xdr:pic>
      <xdr:nvPicPr>
        <xdr:cNvPr id="125984"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5275" y="0"/>
          <a:ext cx="10953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My%20Document\Van%20Anh\Bao%20cao%20tuan\Nha%20may\Thang%2012\Dung%20Quat\Goi3\PNT-P3.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tTKKT-98-10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Thongke1\d\My%20Documents\Thanh%20Toan\DOCUMENT\DAUTHAU\Dungquat\GOI3\DUNGQUAT-6.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DT-THL7.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tic\c\Son\NLuong-MB\TK-KT-TC\Bac-Kan\KhungTen\Khungten-35.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E:\My%20Document\Van%20Anh\Bao%20cao%20tuan\Nha%20may\Thang%2012\WINDOWS\TEMP\IBASE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Thongke1\d\My%20Documents\Thanh%20Toan\CS3408\Standard\RP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T-QUOT-#3"/>
      <sheetName val="COAT&amp;WRAP-QIOT-#3"/>
      <sheetName val="XL4Poppy"/>
      <sheetName val="So Do"/>
      <sheetName val="KTTSCD - DLNA"/>
      <sheetName val="Sheet1"/>
      <sheetName val="quÝ1"/>
      <sheetName val="00000000"/>
      <sheetName val="10000000"/>
      <sheetName val="20000000"/>
      <sheetName val="30000000"/>
      <sheetName val="40000000"/>
      <sheetName val="50000000"/>
      <sheetName val="60000000"/>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n"/>
      <sheetName val="mat"/>
      <sheetName val="cong"/>
      <sheetName val="vua"/>
      <sheetName val="rph"/>
      <sheetName val="gVL"/>
      <sheetName val="dtoan"/>
      <sheetName val="dtoan -ctiet"/>
      <sheetName val="dt-kphi"/>
      <sheetName val="dt-kphi (2)"/>
      <sheetName val="dt-kphi-ctiet"/>
      <sheetName val="bth-kphi"/>
      <sheetName val="XL4Poppy"/>
      <sheetName val="UNIT"/>
      <sheetName val="Piers of Main Flyover (1)"/>
      <sheetName val="Cot Tru1"/>
      <sheetName val="P3-TanAn-Factored"/>
      <sheetName val="P4-TanAn-Factored"/>
      <sheetName val="00000000"/>
      <sheetName val="COC KHOAN M1"/>
      <sheetName val="COC KHOAN M2"/>
      <sheetName val="COC KHOAN T1"/>
      <sheetName val="COC KHOAN T5"/>
      <sheetName val="COC KHOAN T4"/>
      <sheetName val="COC DONG"/>
      <sheetName val="BANG"/>
      <sheetName val="Congty"/>
      <sheetName val="VPPN"/>
      <sheetName val="XN74"/>
      <sheetName val="XN54"/>
      <sheetName val="XN33"/>
      <sheetName val="NK96"/>
      <sheetName val="XL4Test5"/>
      <sheetName val="KluongKm2,4"/>
      <sheetName val="B.cao"/>
      <sheetName val="T.tiet"/>
      <sheetName val="T.N"/>
      <sheetName val="THKL"/>
      <sheetName val="DPHOIDAT"/>
      <sheetName val="BGVL_03"/>
      <sheetName val="CPVUA_03"/>
      <sheetName val="DGCT_03"/>
      <sheetName val="DT1_03"/>
      <sheetName val="BGVL"/>
      <sheetName val="CPVUA"/>
      <sheetName val="DGCT_02"/>
      <sheetName val="DGCONG_02"/>
      <sheetName val="DGKE_02"/>
      <sheetName val="CTCONG_02"/>
      <sheetName val="DT1_02"/>
      <sheetName val="DTCT_02 _2595"/>
      <sheetName val="DTCT_02"/>
      <sheetName val="00000001"/>
      <sheetName val="00000002"/>
      <sheetName val="solieu"/>
      <sheetName val="VL"/>
      <sheetName val="PLV"/>
      <sheetName val="Dongia"/>
      <sheetName val="DTCTtaluy"/>
      <sheetName val="KLDGTT&lt;120%"/>
      <sheetName val="PL2"/>
      <sheetName val="DTnen"/>
      <sheetName val="PL"/>
      <sheetName val="TH"/>
      <sheetName val="THKL nghiemthu"/>
      <sheetName val="DTCTtaluy (2)"/>
      <sheetName val="KLDGTT&lt;120% (2)"/>
      <sheetName val="TH (2)"/>
      <sheetName val="xxxxxxxx"/>
      <sheetName val="XXXXXXX0"/>
      <sheetName val="10000000"/>
      <sheetName val="XXXXXXX1"/>
      <sheetName val="20000000"/>
      <sheetName val="30000000"/>
      <sheetName val="TSCD DUNG CHUNG "/>
      <sheetName val="KHKHAUHAOTSCHUNG"/>
      <sheetName val="TSCDTOAN NHA MAY"/>
      <sheetName val="CPSXTOAN BO SP"/>
      <sheetName val="PBCPCHUNG CHO CAC DTUONG"/>
      <sheetName val="Sheet1"/>
      <sheetName val="Sheet2"/>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dn"/>
      <sheetName val="DU TOAN"/>
      <sheetName val="CHI TIET"/>
      <sheetName val="KLnt"/>
      <sheetName val="PHAN TICH"/>
      <sheetName val="YEU TO CONG"/>
      <sheetName val="TD 3DIEM"/>
      <sheetName val="TD 2DIEM"/>
      <sheetName val="may"/>
      <sheetName val="Vatlieu cau"/>
      <sheetName val="cau DS11"/>
      <sheetName val="cau DS12"/>
      <sheetName val="THCDS12"/>
      <sheetName val="dgcau"/>
      <sheetName val="THCDS11"/>
      <sheetName val="DGCT"/>
      <sheetName val="DGCong"/>
      <sheetName val="Vatlieu"/>
      <sheetName val="nhancong"/>
      <sheetName val="KL"/>
      <sheetName val="XN79"/>
      <sheetName val="CTMT"/>
      <sheetName val="Tong hopQ48-1"/>
      <sheetName val="Tong hop QL48 - 2"/>
      <sheetName val="Tong hop QL47"/>
      <sheetName val="Tong hop QL48 - 3"/>
      <sheetName val="Chi tiet don gia khoi phuc"/>
      <sheetName val="Du toan chi tiet coc nuoc"/>
      <sheetName val="Du toan chi tiet coc"/>
      <sheetName val="Phan tich don gia chi tiet"/>
      <sheetName val="Nhap don gia VL dia phuong"/>
      <sheetName val="Luong mot ngay cong xay lap"/>
      <sheetName val="Luong mot ngay cong khao sat"/>
      <sheetName val=""/>
      <sheetName val="TO HUNG"/>
      <sheetName val="CONGNHAN NE"/>
      <sheetName val="XINGUYEP"/>
      <sheetName val="TH331"/>
      <sheetName val="dt-iphi"/>
      <sheetName val="ptvl0-1"/>
      <sheetName val="0-1"/>
      <sheetName val="ptvl4-5"/>
      <sheetName val="4-5"/>
      <sheetName val="ptvl3-4"/>
      <sheetName val="3-4"/>
      <sheetName val="ptvl2-3"/>
      <sheetName val="2-3"/>
      <sheetName val="vlcong"/>
      <sheetName val="ptvl1-2"/>
      <sheetName val="1-2"/>
      <sheetName val="Kluong"/>
      <sheetName val="Giatri"/>
      <sheetName val="ìtoan"/>
      <sheetName val="Sheet3 (2)"/>
      <sheetName val="rph (2)"/>
      <sheetName val="dap"/>
      <sheetName val="gpmb"/>
      <sheetName val="dt-kphi-iso-tong"/>
      <sheetName val="dt-kphi-iso-ctiet"/>
      <sheetName val="CRC"/>
      <sheetName val="GIATRI-DAILY"/>
      <sheetName val="NVBH KHAC"/>
      <sheetName val="NVBH HOAN"/>
      <sheetName val="TONKHODAILY"/>
      <sheetName val="gvt"/>
      <sheetName val="ATGT"/>
      <sheetName val="DG-TH"/>
      <sheetName val="Tuong-chan"/>
      <sheetName val="Dau-cong"/>
      <sheetName val="dtoan (4)"/>
      <sheetName val="GTXL"/>
      <sheetName val="tmdtu"/>
      <sheetName val="YEUCAU"/>
      <sheetName val="IN_PHIEU"/>
      <sheetName val="BANGKE"/>
      <sheetName val="IN_NX"/>
      <sheetName val="NK_CHUNG"/>
      <sheetName val="DL_KH"/>
      <sheetName val="TH_CNO"/>
      <sheetName val="CD_PSINH"/>
      <sheetName val="CDKT"/>
      <sheetName val="soctiettk"/>
      <sheetName val="Ctietkhach"/>
      <sheetName val="thue_DR"/>
      <sheetName val="thue_DV"/>
      <sheetName val="thue_05"/>
      <sheetName val="tokhai"/>
      <sheetName val="Inthkhach"/>
      <sheetName val="vattu"/>
      <sheetName val="THEKHO"/>
      <sheetName val="cphi"/>
      <sheetName val="GThanh"/>
      <sheetName val="B02"/>
      <sheetName val="B03_LCTT"/>
      <sheetName val="TM_BCTC"/>
      <sheetName val="MVT"/>
      <sheetName val="KHAO_TSCD"/>
      <sheetName val="tam"/>
      <sheetName val="BIA"/>
      <sheetName val="Module1"/>
      <sheetName val="Module2"/>
      <sheetName val="gia"/>
      <sheetName val="PTDG"/>
      <sheetName val="sut&lt;100"/>
      <sheetName val="sut duong"/>
      <sheetName val="sut am"/>
      <sheetName val="bu lun"/>
      <sheetName val="xoi lo chan ke"/>
      <sheetName val="TDT"/>
      <sheetName val="Don gia chi tiet"/>
      <sheetName val="Du thau"/>
      <sheetName val="Tro giup"/>
      <sheetName val="dam"/>
      <sheetName val="Mocantho"/>
      <sheetName val="MoQL91"/>
      <sheetName val="tru"/>
      <sheetName val="dg"/>
      <sheetName val="10mduongsaumo"/>
      <sheetName val="ctt"/>
      <sheetName val="thanmkhao"/>
      <sheetName val="monho"/>
      <sheetName val="d-dap47-48"/>
      <sheetName val="md47-48"/>
      <sheetName val="THop47-48"/>
      <sheetName val="d-dap48-49"/>
      <sheetName val="md48-49"/>
      <sheetName val="THop48-49"/>
      <sheetName val="d-dap49-50"/>
      <sheetName val="md49-50"/>
      <sheetName val="THop49-50"/>
      <sheetName val="d-dap50-51"/>
      <sheetName val="md50-51"/>
      <sheetName val="THop50-51"/>
      <sheetName val="d-dap51-52"/>
      <sheetName val="md51-52"/>
      <sheetName val="THop51-52"/>
      <sheetName val="d-dap52-53"/>
      <sheetName val="md52-53"/>
      <sheetName val="THop52-53"/>
      <sheetName val="d-dap53-54"/>
      <sheetName val="md53-54"/>
      <sheetName val="THop53-54"/>
      <sheetName val="d-dap54-55"/>
      <sheetName val="md54-55"/>
      <sheetName val="THop54-55"/>
      <sheetName val="d-dap55-56"/>
      <sheetName val="md55-56"/>
      <sheetName val="THop55-56"/>
      <sheetName val="d-dap56-57"/>
      <sheetName val="md56-57"/>
      <sheetName val="THop56-57"/>
      <sheetName val="d-dap57-58"/>
      <sheetName val="md57-58"/>
      <sheetName val="THop57-58"/>
      <sheetName val="d-dap58-DC"/>
      <sheetName val="md58-DC"/>
      <sheetName val="THop58-DC"/>
      <sheetName val="NHANHRE1"/>
      <sheetName val="NHANHRE2"/>
      <sheetName val="NHANHRE3"/>
      <sheetName val="NHANHRE4"/>
      <sheetName val="NHANHRE5"/>
      <sheetName val="NHANHRE6"/>
      <sheetName val="NHANHRE7"/>
      <sheetName val="mdNHANHRE8"/>
      <sheetName val="PL tham dinh"/>
      <sheetName val="THDT"/>
      <sheetName val="KSTK"/>
      <sheetName val="DTCT"/>
      <sheetName val="PTVL"/>
      <sheetName val="Bu VC"/>
      <sheetName val="luong"/>
      <sheetName val="40000000"/>
      <sheetName val="50000000"/>
      <sheetName val="60000000"/>
      <sheetName val="70000000"/>
      <sheetName val="80000000"/>
      <sheetName val="90000000"/>
      <sheetName val="a0000000"/>
      <sheetName val="HK1"/>
      <sheetName val="HK2"/>
      <sheetName val="CANAM"/>
      <sheetName val="Sheet_x0001_1"/>
      <sheetName val="FPPN"/>
      <sheetName val="CHI_x0000_TIET"/>
      <sheetName val="tai"/>
      <sheetName val="hoang"/>
      <sheetName val="hoang (2)"/>
      <sheetName val="hoang (3)"/>
      <sheetName val="PTCT"/>
      <sheetName val="Du_lieu"/>
      <sheetName val="nhan cong"/>
      <sheetName val="GiaVL"/>
      <sheetName val="INV"/>
      <sheetName val="XXXXXXX2"/>
      <sheetName val="XXXXXXX3"/>
      <sheetName val="XXXXXXX4"/>
      <sheetName val="bao cao ngay 13-02"/>
      <sheetName val="CBG"/>
      <sheetName val="SPL4"/>
      <sheetName val="NhapSl"/>
      <sheetName val="Nluc"/>
      <sheetName val="Tohop"/>
      <sheetName val="KT_Tthan"/>
      <sheetName val="Tra_TTTD"/>
      <sheetName val="ma-pt"/>
      <sheetName val="tra-vat-lieu"/>
      <sheetName val="`u lun"/>
      <sheetName val="Nhap don gia VL dia _x0003__x0000_uong"/>
      <sheetName val="ESTI."/>
      <sheetName val="DI-ESTI"/>
      <sheetName val="_x0000_Ё_x0000__x0000__x0000__x0000_䀤_x0001__x0000__x0000__x0000__x0000_䀶_x0001__x0000_晦晦晦䀙_x0001__x0000__x0000__x0000__x0000_㿰_x0001_H-_x0000_ਈ_x0000_"/>
      <sheetName val="CHI"/>
      <sheetName val="Phan tich don gia chi Uet"/>
      <sheetName val="DGCT_x0006_"/>
      <sheetName val="Nhap don gia VL dia _x0003_"/>
      <sheetName val="Ё_x0000_䀤_x0001__x0000_䀶_x0001__x0000_晦晦晦䀙_x0001__x0000_㿰_x0001_H-_x0000_ਈ_x0000_ꏗ㵰휊䀁_x0001__x0000_尩슏⣵䀂"/>
      <sheetName val="Ё"/>
      <sheetName val="_x0000_????_x0001__x0000__x0000__x0000__x0000_?_x0001_H-_x0000_?_x0000_????_x0001__x0000_????_x0001__x0000__x0000__x0000_"/>
      <sheetName val="?_x0000_?_x0001__x0000_?_x0001__x0000_????_x0001__x0000_?_x0001_H-_x0000_?_x0000_????_x0001__x0000_????"/>
      <sheetName val="T1"/>
      <sheetName val="T2"/>
      <sheetName val="T3"/>
      <sheetName val="T4"/>
      <sheetName val="T5"/>
      <sheetName val="T6"/>
      <sheetName val="T7"/>
      <sheetName val="T8"/>
      <sheetName val="T9"/>
      <sheetName val="T10"/>
      <sheetName val="T11"/>
      <sheetName val="T12"/>
      <sheetName val="t1.3"/>
      <sheetName val="She_x0000_t9"/>
      <sheetName val="P3-PanAn-Factored"/>
      <sheetName val="LO 65+41B"/>
      <sheetName val="LO 48"/>
      <sheetName val="LO 47A"/>
      <sheetName val="LO 46B"/>
      <sheetName val="LO 45"/>
      <sheetName val="LO 44"/>
      <sheetName val="LO 46A"/>
      <sheetName val="LO 41A"/>
      <sheetName val="LO 66"/>
      <sheetName val="LO 42"/>
      <sheetName val="LO 47B"/>
      <sheetName val="LO 43"/>
      <sheetName val="LO 64"/>
      <sheetName val="LO 50"/>
      <sheetName val="LO 49 B "/>
      <sheetName val="LO 63"/>
      <sheetName val="LO 62"/>
      <sheetName val="LO 49 A"/>
      <sheetName val="LO 61"/>
      <sheetName val="TT_35NH"/>
      <sheetName val="????_x0001__x0000_?_x0001_H-_x0000_?_x0000_????_x0001__x0000_????_x0001__x0000_"/>
      <sheetName val="Phan tich don gia chi ˆUet"/>
      <sheetName val="?"/>
      <sheetName val="????_x0001_"/>
      <sheetName val="CHI?TIET"/>
      <sheetName val="Nhap don gia VL dia _x0003_?uong"/>
      <sheetName val="?Ё????䀤_x0001_????䀶_x0001_?晦晦晦䀙_x0001_????㿰_x0001_H-?ਈ?"/>
      <sheetName val="Ё?䀤_x0001_?䀶_x0001_?晦晦晦䀙_x0001_?㿰_x0001_H-?ਈ?ꏗ㵰휊䀁_x0001_?尩슏⣵䀂"/>
      <sheetName val="?????_x0001_?????_x0001_H-???????_x0001_?????_x0001_???"/>
      <sheetName val="???_x0001_??_x0001_?????_x0001_??_x0001_H-???????_x0001_?????"/>
      <sheetName val="????_x0001_??_x0001_H-???????_x0001_?????_x0001_?"/>
      <sheetName val="3cau"/>
      <sheetName val="266+623"/>
      <sheetName val="TXL(266+623"/>
      <sheetName val="DDCT"/>
      <sheetName val="M"/>
      <sheetName val="vln"/>
      <sheetName val="coc duc"/>
      <sheetName val="IN__x000e_X"/>
      <sheetName val="sut&lt;1 0"/>
      <sheetName val="ktduong"/>
      <sheetName val="cu"/>
      <sheetName val="KTcau2004"/>
      <sheetName val="KT2004XL#moi"/>
      <sheetName val="denbu"/>
      <sheetName val="thop"/>
      <sheetName val="_x0000_?_x0000__x0000__x0000__x0000_?_x0001__x0000__x0000__x0000__x0000_?_x0001__x0000_????_x0001__x0000__x0000__x0000__x0000_?_x0001_H-_x0000_?_x0000_"/>
      <sheetName val="tuong"/>
      <sheetName val="ctTBA"/>
      <sheetName val="Khu xu ly nuoc THiep-XD"/>
      <sheetName val="dt-kphi-ÿÿo-ctiet"/>
      <sheetName val="DGduong"/>
      <sheetName val="NHAP"/>
      <sheetName val="???????_x0001_?????_x0001_?????_x0001_?????_x0001_H-???"/>
      <sheetName val="She?t9"/>
      <sheetName val="10mduongsa{ío"/>
      <sheetName val="?_x0000_?_x0001__x0000_?_x0001__x0000_????_x0001__x0000_?_x0001_H-_x0000_?_x0000_"/>
      <sheetName val="Box-Girder"/>
      <sheetName val="dv-kphi-cviet"/>
      <sheetName val="bvh-kphi"/>
      <sheetName val="PCCPCHUNG CHO CAC DTUONG"/>
      <sheetName val="Piers of Main Flyower (1)"/>
      <sheetName val="Dbþgia"/>
      <sheetName val="Pier"/>
      <sheetName val="Pile"/>
      <sheetName val="TN"/>
      <sheetName val="ND"/>
      <sheetName val="He so"/>
      <sheetName val="PL Vua"/>
      <sheetName val="DPD"/>
      <sheetName val="dgmo-tru"/>
      <sheetName val="dgdam"/>
      <sheetName val="Dam-Mo-Tru"/>
      <sheetName val="DTDuong"/>
      <sheetName val="GTXLc"/>
      <sheetName val="CPXLk"/>
      <sheetName val="KPTH"/>
      <sheetName val="Bang KL ket cau"/>
      <sheetName val="ptvì0-1"/>
      <sheetName val="_"/>
      <sheetName val="_____x0001_"/>
      <sheetName val="CHI_TIET"/>
      <sheetName val="Nhap don gia VL dia _x0003__uong"/>
      <sheetName val="_Ё____䀤_x0001_____䀶_x0001__晦晦晦䀙_x0001_____㿰_x0001_H-_ਈ_"/>
      <sheetName val="Ё_䀤_x0001__䀶_x0001__晦晦晦䀙_x0001__㿰_x0001_H-_ਈ_ꏗ㵰휊䀁_x0001__尩슏⣵䀂"/>
      <sheetName val="______x0001_______x0001_H-________x0001_______x0001____"/>
      <sheetName val="____x0001____x0001_______x0001____x0001_H-________x0001______"/>
      <sheetName val="_____x0001____x0001_H-________x0001_______x0001__"/>
      <sheetName val="She"/>
      <sheetName val="________x0001_______x0001_______x0001_______x0001_H-___"/>
      <sheetName val="She_t9"/>
      <sheetName val="???_x0001_??_x0001_?????_x0001_??_x0001_H-???"/>
      <sheetName val="coctuatrenda"/>
      <sheetName val="IBASE"/>
      <sheetName val="0_x0000__x0000_ﱸ͕_x0000__x0004__x0000__x0000__x0000__x0000__x0000__x0000_͕_x0000__x0000__x0000__x0000__x0000__x0000__x0000__x0000_列͕_x0000__x0000__x0013__x0000__x0000__x0000_"/>
      <sheetName val="____x0001____x0001_______x0001____x0001_H-___"/>
      <sheetName val="TinhToan"/>
      <sheetName val="TH_11"/>
      <sheetName val="CUAHANG"/>
      <sheetName val="MAKHACH"/>
      <sheetName val="[_x001e__x001e__x001e__x001e__x001e__x001e__x001e__x001e__x001e__x001e__x001e__x001e__x001e__x001e__x001e__x001e__x001e__x001e__x001e__x001e__x001e__x001e__x001e__x001e__x001e__x001e__x001e__x001e__x001e_"/>
      <sheetName val="_x001e__x001e__x001e__x001e__x001e__x001e__x001e__x001e__x001e__x001e__x001e__x001e__x001e__x001e__x001e__x001e__x001e__x001e__x001e__x001e__x001e__x001e__x001e__x001e__x001e__x001e__x001e__x001e__x001e__x001e_"/>
      <sheetName val="rotoduc"/>
      <sheetName val="Truc"/>
      <sheetName val="roto truc"/>
      <sheetName val="stato"/>
      <sheetName val="Day dt"/>
      <sheetName val="statoday"/>
      <sheetName val="stato tam say"/>
      <sheetName val="Than"/>
      <sheetName val="Stato ep"/>
      <sheetName val="Canh gio"/>
      <sheetName val="Napgio"/>
      <sheetName val="Nap-Hopcuc"/>
      <sheetName val="laprap"/>
      <sheetName val="Cocau"/>
      <sheetName val="Ss Z- GB"/>
      <sheetName val="tonghop"/>
      <sheetName val="Sheet19"/>
      <sheetName val="Sheet18"/>
      <sheetName val="CTC_x000f_NG_02"/>
      <sheetName val="_x0004_GCong"/>
      <sheetName val="Số liệu"/>
      <sheetName val="TKKYI"/>
      <sheetName val="TKKYII"/>
      <sheetName val="Tổng hợp theo học sinh"/>
      <sheetName val="XL4Test5 (2)"/>
      <sheetName val="Du toan chi tiet_x0000_coc nuoc"/>
      <sheetName val="md5!-52"/>
      <sheetName val="KLDGTT&lt;1ü_x000c__x0000__x0000_(2)"/>
      <sheetName val="NVBH(HOAN"/>
      <sheetName val="dt-cphi-ctieT"/>
      <sheetName val="vua_x0000__x0000__x0000__x0000__x0000__x0000__x0000__x0000__x0000__x0000__x0000_韘࿊_x0000__x0004__x0000__x0000__x0000__x0000__x0000__x0000_酐࿊_x0000__x0000__x0000__x0000__x0000_"/>
      <sheetName val="DEF"/>
      <sheetName val="vua_x0000_韘࿊_x0000__x0004__x0000_酐࿊_x0000_須࿊_x0000__x0004__x0000__x0016_[dtTKKT-98-10"/>
      <sheetName val="NHTN"/>
      <sheetName val="QLDD"/>
      <sheetName val="Moi truong"/>
      <sheetName val="KHĐ"/>
      <sheetName val="0??ﱸ͕?_x0004_??????͕????????列͕??_x0013_???"/>
      <sheetName val="TM_JCTC"/>
      <sheetName val="KLDGTT&lt;1ü_x000c_??(2)"/>
      <sheetName val="vua???????????韘࿊?_x0004_??????酐࿊?????"/>
      <sheetName val="vua?韘࿊?_x0004_?酐࿊?須࿊?_x0004_?_x0016_[dtTKKT-98-10"/>
      <sheetName val="Piers of Main Flylyer (1)"/>
      <sheetName val="RCCPCHUNG CHO CAC DTUONG"/>
      <sheetName val="dtct cong"/>
      <sheetName val="rph_(2)"/>
      <sheetName val="dtoan_-ctiet"/>
      <sheetName val="NVBH_KHAC"/>
      <sheetName val="NVBH_HOAN"/>
      <sheetName val="sut_duong"/>
      <sheetName val="sut_am"/>
      <sheetName val="bu_lun"/>
      <sheetName val="xoi_lo_chan_ke"/>
      <sheetName val="dtoan_(4)"/>
      <sheetName val="dt-kphi_(2)"/>
      <sheetName val="B_cao"/>
      <sheetName val="T_tiet"/>
      <sheetName val="T_N"/>
      <sheetName val="Piers_of_Main_Flyover_(1)"/>
      <sheetName val="Cot_Tru1"/>
      <sheetName val="COC_KHOAN_M1"/>
      <sheetName val="COC_KHOAN_M2"/>
      <sheetName val="COC_KHOAN_T1"/>
      <sheetName val="COC_KHOAN_T5"/>
      <sheetName val="COC_KHOAN_T4"/>
      <sheetName val="COC_DONG"/>
      <sheetName val="DTCT_02__2595"/>
      <sheetName val="DU_TOAN"/>
      <sheetName val="PHAN_TICH"/>
      <sheetName val="YEU_TO_CONG"/>
      <sheetName val="TD_3DIEM"/>
      <sheetName val="TD_2DIEM"/>
      <sheetName val="TSCD_DUNG_CHUNG_"/>
      <sheetName val="TSCDTOAN_NHA_MAY"/>
      <sheetName val="CPSXTOAN_BO_SP"/>
      <sheetName val="PBCPCHUNG_CHO_CAC_DTUONG"/>
      <sheetName val="THKL_nghiemthu"/>
      <sheetName val="DTCTtaluy_(2)"/>
      <sheetName val="KLDGTT&lt;120%_(2)"/>
      <sheetName val="TH_(2)"/>
      <sheetName val="nhan_cong"/>
      <sheetName val="Sheet3_(2)"/>
      <sheetName val="`u_lun"/>
      <sheetName val="Tong_hopQ48-1"/>
      <sheetName val="Tong_hop_QL48_-_2"/>
      <sheetName val="Tong_hop_QL47"/>
      <sheetName val="Tong_hop_QL48_-_3"/>
      <sheetName val="Chi_tiet_don_gia_khoi_phuc"/>
      <sheetName val="Du_toan_chi_tiet_coc_nuoc"/>
      <sheetName val="Du_toan_chi_tiet_coc"/>
      <sheetName val="Phan_tich_don_gia_chi_tiet"/>
      <sheetName val="Nhap_don_gia_VL_dia_phuong"/>
      <sheetName val="Luong_mot_ngay_cong_xay_lap"/>
      <sheetName val="Luong_mot_ngay_cong_khao_sat"/>
      <sheetName val="TO_HUNG"/>
      <sheetName val="CONGNHAN_NE"/>
      <sheetName val="Vatlieu_cau"/>
      <sheetName val="cau_DS11"/>
      <sheetName val="cau_DS12"/>
      <sheetName val="sut&lt;1_0"/>
      <sheetName val="Khu_xu_ly_nuoc_THiep-XD"/>
      <sheetName val="PL_tham_dinh"/>
      <sheetName val="Bu_VC"/>
      <sheetName val="PBCPCHUNG CHO CAC _x0007_{WÑNG"/>
      <sheetName val="Giai trinh"/>
      <sheetName val="GTGT"/>
    </sheetNames>
    <sheetDataSet>
      <sheetData sheetId="0" refreshError="1"/>
      <sheetData sheetId="1" refreshError="1"/>
      <sheetData sheetId="2" refreshError="1"/>
      <sheetData sheetId="3"/>
      <sheetData sheetId="4" refreshError="1"/>
      <sheetData sheetId="5" refreshError="1">
        <row r="10">
          <cell r="Q10">
            <v>58000</v>
          </cell>
        </row>
        <row r="12">
          <cell r="Q12">
            <v>54000</v>
          </cell>
        </row>
        <row r="15">
          <cell r="Q15">
            <v>164</v>
          </cell>
        </row>
        <row r="20">
          <cell r="Q20">
            <v>18000</v>
          </cell>
        </row>
        <row r="21">
          <cell r="Q21">
            <v>50000</v>
          </cell>
        </row>
        <row r="23">
          <cell r="Q23">
            <v>4340</v>
          </cell>
        </row>
        <row r="28">
          <cell r="Q28">
            <v>1364000</v>
          </cell>
        </row>
        <row r="29">
          <cell r="Q29">
            <v>6091</v>
          </cell>
        </row>
        <row r="30">
          <cell r="Q30">
            <v>3500</v>
          </cell>
        </row>
        <row r="37">
          <cell r="Q37">
            <v>30000</v>
          </cell>
        </row>
        <row r="40">
          <cell r="Q40">
            <v>4500</v>
          </cell>
        </row>
        <row r="45">
          <cell r="Q45">
            <v>4300</v>
          </cell>
        </row>
        <row r="47">
          <cell r="Q47">
            <v>10500</v>
          </cell>
        </row>
        <row r="48">
          <cell r="Q48">
            <v>2000</v>
          </cell>
        </row>
        <row r="49">
          <cell r="Q49">
            <v>3000</v>
          </cell>
        </row>
        <row r="50">
          <cell r="Q50">
            <v>1200</v>
          </cell>
        </row>
        <row r="51">
          <cell r="Q51">
            <v>1370</v>
          </cell>
        </row>
        <row r="55">
          <cell r="Q55">
            <v>8636.363636363636</v>
          </cell>
        </row>
      </sheetData>
      <sheetData sheetId="6" refreshError="1"/>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refreshError="1"/>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sheetData sheetId="96"/>
      <sheetData sheetId="97"/>
      <sheetData sheetId="98"/>
      <sheetData sheetId="99"/>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refreshError="1"/>
      <sheetData sheetId="129"/>
      <sheetData sheetId="130"/>
      <sheetData sheetId="131"/>
      <sheetData sheetId="132"/>
      <sheetData sheetId="133" refreshError="1"/>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refreshError="1"/>
      <sheetData sheetId="148" refreshError="1"/>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refreshError="1"/>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sheetData sheetId="275"/>
      <sheetData sheetId="276"/>
      <sheetData sheetId="277"/>
      <sheetData sheetId="278"/>
      <sheetData sheetId="279"/>
      <sheetData sheetId="280"/>
      <sheetData sheetId="281"/>
      <sheetData sheetId="282"/>
      <sheetData sheetId="283"/>
      <sheetData sheetId="284" refreshError="1"/>
      <sheetData sheetId="285" refreshError="1"/>
      <sheetData sheetId="286" refreshError="1"/>
      <sheetData sheetId="287" refreshError="1"/>
      <sheetData sheetId="288"/>
      <sheetData sheetId="289"/>
      <sheetData sheetId="290"/>
      <sheetData sheetId="291"/>
      <sheetData sheetId="292" refreshError="1"/>
      <sheetData sheetId="293" refreshError="1"/>
      <sheetData sheetId="294" refreshError="1"/>
      <sheetData sheetId="295"/>
      <sheetData sheetId="296"/>
      <sheetData sheetId="297"/>
      <sheetData sheetId="298"/>
      <sheetData sheetId="299"/>
      <sheetData sheetId="300"/>
      <sheetData sheetId="301" refreshError="1"/>
      <sheetData sheetId="302"/>
      <sheetData sheetId="303"/>
      <sheetData sheetId="304" refreshError="1"/>
      <sheetData sheetId="305" refreshError="1"/>
      <sheetData sheetId="306" refreshError="1"/>
      <sheetData sheetId="307"/>
      <sheetData sheetId="308"/>
      <sheetData sheetId="309" refreshError="1"/>
      <sheetData sheetId="310"/>
      <sheetData sheetId="311" refreshError="1"/>
      <sheetData sheetId="312"/>
      <sheetData sheetId="313" refreshError="1"/>
      <sheetData sheetId="314" refreshError="1"/>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sheetData sheetId="352" refreshError="1"/>
      <sheetData sheetId="353"/>
      <sheetData sheetId="354"/>
      <sheetData sheetId="355"/>
      <sheetData sheetId="356" refreshError="1"/>
      <sheetData sheetId="357"/>
      <sheetData sheetId="358"/>
      <sheetData sheetId="359"/>
      <sheetData sheetId="360"/>
      <sheetData sheetId="361" refreshError="1"/>
      <sheetData sheetId="362" refreshError="1"/>
      <sheetData sheetId="363" refreshError="1"/>
      <sheetData sheetId="364" refreshError="1"/>
      <sheetData sheetId="365" refreshError="1"/>
      <sheetData sheetId="366" refreshError="1"/>
      <sheetData sheetId="367"/>
      <sheetData sheetId="368" refreshError="1"/>
      <sheetData sheetId="369" refreshError="1"/>
      <sheetData sheetId="370"/>
      <sheetData sheetId="371"/>
      <sheetData sheetId="372"/>
      <sheetData sheetId="373"/>
      <sheetData sheetId="374"/>
      <sheetData sheetId="375"/>
      <sheetData sheetId="376" refreshError="1"/>
      <sheetData sheetId="377" refreshError="1"/>
      <sheetData sheetId="378" refreshError="1"/>
      <sheetData sheetId="379" refreshError="1"/>
      <sheetData sheetId="380" refreshError="1"/>
      <sheetData sheetId="381" refreshError="1"/>
      <sheetData sheetId="382" refreshError="1"/>
      <sheetData sheetId="383"/>
      <sheetData sheetId="384"/>
      <sheetData sheetId="385"/>
      <sheetData sheetId="386" refreshError="1"/>
      <sheetData sheetId="387" refreshError="1"/>
      <sheetData sheetId="388" refreshError="1"/>
      <sheetData sheetId="389" refreshError="1"/>
      <sheetData sheetId="390"/>
      <sheetData sheetId="391"/>
      <sheetData sheetId="392" refreshError="1"/>
      <sheetData sheetId="393" refreshError="1"/>
      <sheetData sheetId="394" refreshError="1"/>
      <sheetData sheetId="395" refreshError="1"/>
      <sheetData sheetId="396" refreshError="1"/>
      <sheetData sheetId="397"/>
      <sheetData sheetId="398"/>
      <sheetData sheetId="399"/>
      <sheetData sheetId="400"/>
      <sheetData sheetId="401"/>
      <sheetData sheetId="402"/>
      <sheetData sheetId="403"/>
      <sheetData sheetId="404"/>
      <sheetData sheetId="405"/>
      <sheetData sheetId="406"/>
      <sheetData sheetId="407"/>
      <sheetData sheetId="408"/>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sheetData sheetId="422" refreshError="1"/>
      <sheetData sheetId="423" refreshError="1"/>
      <sheetData sheetId="424" refreshError="1"/>
      <sheetData sheetId="425" refreshError="1"/>
      <sheetData sheetId="426" refreshError="1"/>
      <sheetData sheetId="427"/>
      <sheetData sheetId="428"/>
      <sheetData sheetId="429"/>
      <sheetData sheetId="430" refreshError="1"/>
      <sheetData sheetId="431" refreshError="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refreshError="1"/>
      <sheetData sheetId="452" refreshError="1"/>
      <sheetData sheetId="453" refreshError="1"/>
      <sheetData sheetId="454" refreshError="1"/>
      <sheetData sheetId="455" refreshError="1"/>
      <sheetData sheetId="456" refreshError="1"/>
      <sheetData sheetId="457"/>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sheetData sheetId="469"/>
      <sheetData sheetId="470" refreshError="1"/>
      <sheetData sheetId="471"/>
      <sheetData sheetId="472"/>
      <sheetData sheetId="473"/>
      <sheetData sheetId="474" refreshError="1"/>
      <sheetData sheetId="475"/>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L$-INTER"/>
      <sheetName val="MTL$-TRUNCK-AG"/>
      <sheetName val="MTL$-PRODTANK-UG"/>
      <sheetName val="MTL$-PRODTANK-AG"/>
      <sheetName val="MTL$-JETTY"/>
      <sheetName val="MTL$-TRUNCK-UG"/>
      <sheetName val="XL4Poppy"/>
    </sheetNames>
    <sheetDataSet>
      <sheetData sheetId="0"/>
      <sheetData sheetId="1"/>
      <sheetData sheetId="2"/>
      <sheetData sheetId="3"/>
      <sheetData sheetId="4"/>
      <sheetData sheetId="5"/>
      <sheetData sheetId="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gct"/>
      <sheetName val="dtct"/>
      <sheetName val="gvl"/>
      <sheetName val="Sheet10"/>
      <sheetName val="Sheet11"/>
      <sheetName val="Sheet12"/>
      <sheetName val="Sheet13"/>
      <sheetName val="Sheet14"/>
      <sheetName val="Sheet15"/>
      <sheetName val="Sheet16"/>
      <sheetName val="Dinh muc du toan"/>
      <sheetName val="Config"/>
      <sheetName val="AutoClose"/>
      <sheetName val="TSCD DUNG CHUNG "/>
      <sheetName val="KHKHAUHAOTSCHUNG"/>
      <sheetName val="TSCDTOAN NHA MAY"/>
      <sheetName val="CPSXTOAN BO SP"/>
      <sheetName val="PBCPCHUNG CHO CAC DTUONG"/>
      <sheetName val="XL4Poppy"/>
      <sheetName val="VLieu"/>
      <sheetName val="CT"/>
      <sheetName val="DToan"/>
      <sheetName val="TH"/>
      <sheetName val="Tong hop"/>
      <sheetName val="Cuoc V.chuyen"/>
      <sheetName val="Sheet7"/>
      <sheetName val="Sheet8"/>
      <sheetName val="Sheet9"/>
      <sheetName val="TH An ca"/>
      <sheetName val="XN SL An ca"/>
      <sheetName val="Dang ky an ca"/>
      <sheetName val="Dang ky an ca T2"/>
      <sheetName val="Sheet2"/>
      <sheetName val="Sheet3"/>
      <sheetName val="XL4Test5"/>
      <sheetName val="T2"/>
      <sheetName val="T3"/>
      <sheetName val="T4"/>
      <sheetName val="T5"/>
      <sheetName val="THop"/>
      <sheetName val="THKD"/>
      <sheetName val="00000000"/>
      <sheetName val="10000000"/>
      <sheetName val="20000000"/>
      <sheetName val="30000000"/>
      <sheetName val="40000000"/>
      <sheetName val="50000000"/>
      <sheetName val="60000000"/>
      <sheetName val="total"/>
      <sheetName val="(viet)"/>
      <sheetName val="dictionary"/>
      <sheetName val="New(eng)"/>
      <sheetName val="RFI(eng)SW-sun"/>
      <sheetName val="RFI(eng)HVP-sun"/>
      <sheetName val="RFI(eng)SW"/>
      <sheetName val="RFI(eng)SW (2)"/>
      <sheetName val="RFI(eng)HVP"/>
      <sheetName val="RFI(eng)Lab."/>
      <sheetName val="RFI -add"/>
    </sheetNames>
    <sheetDataSet>
      <sheetData sheetId="0"/>
      <sheetData sheetId="1" refreshError="1"/>
      <sheetData sheetId="2" refreshError="1">
        <row r="9">
          <cell r="N9">
            <v>118182</v>
          </cell>
        </row>
        <row r="16">
          <cell r="N16">
            <v>759</v>
          </cell>
        </row>
        <row r="17">
          <cell r="N17">
            <v>55000</v>
          </cell>
        </row>
        <row r="38">
          <cell r="N38">
            <v>4.5</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 liÖu"/>
      <sheetName val="LiÖt kª"/>
      <sheetName val="Khung tªn"/>
    </sheetNames>
    <sheetDataSet>
      <sheetData sheetId="0">
        <row r="6">
          <cell r="A6">
            <v>1</v>
          </cell>
          <cell r="B6" t="str">
            <v>Tæng mÆt b»ng l­íi ®iÖn                                   x· §oµi C«n</v>
          </cell>
          <cell r="D6" t="str">
            <v>CB - TK - KS - 01</v>
          </cell>
        </row>
        <row r="7">
          <cell r="A7">
            <v>2</v>
          </cell>
          <cell r="B7" t="str">
            <v>MÆt c¾t däc tõ §§ ®Õn TBA2                            x· §oµi C«n</v>
          </cell>
          <cell r="D7" t="str">
            <v>CB - TK - KS - 02</v>
          </cell>
        </row>
        <row r="8">
          <cell r="A8">
            <v>3</v>
          </cell>
          <cell r="B8" t="str">
            <v>MÆt c¾t däc tõ R1 ®Õn TBA3                             x· §oµi C«n</v>
          </cell>
          <cell r="D8" t="str">
            <v>CB - TK - KS - 03</v>
          </cell>
        </row>
        <row r="9">
          <cell r="A9">
            <v>4</v>
          </cell>
          <cell r="B9" t="str">
            <v>Tæng mÆt b»ng l­íi ®iÖn                                   x· Th«ng HoÌ - §øc h«ng</v>
          </cell>
          <cell r="D9" t="str">
            <v>CB - TK - KS - 04</v>
          </cell>
        </row>
        <row r="10">
          <cell r="A10">
            <v>5</v>
          </cell>
          <cell r="B10" t="str">
            <v>MÆt c¾t däc tõ §§ ®Õn TBA1 vµ TBA2          x· Th«ng HoÌ</v>
          </cell>
          <cell r="D10" t="str">
            <v>CB - TK - KS - 05</v>
          </cell>
        </row>
        <row r="11">
          <cell r="A11">
            <v>6</v>
          </cell>
          <cell r="B11" t="str">
            <v>MÆt c¾t däc tõ §§ ®Õn TBA1 vµ TBA2          x· §øc Hång</v>
          </cell>
          <cell r="D11" t="str">
            <v>CB - TK - KS - 06</v>
          </cell>
        </row>
        <row r="12">
          <cell r="A12">
            <v>7</v>
          </cell>
          <cell r="D12" t="str">
            <v>CB - TK - KS - 07</v>
          </cell>
        </row>
        <row r="13">
          <cell r="A13">
            <v>8</v>
          </cell>
          <cell r="D13" t="str">
            <v>CB - TK - KS - 08</v>
          </cell>
        </row>
        <row r="14">
          <cell r="A14">
            <v>9</v>
          </cell>
          <cell r="D14" t="str">
            <v>CB - TK - KS - 09</v>
          </cell>
        </row>
        <row r="15">
          <cell r="A15">
            <v>10</v>
          </cell>
          <cell r="D15">
            <v>0</v>
          </cell>
        </row>
        <row r="16">
          <cell r="A16">
            <v>11</v>
          </cell>
          <cell r="D16">
            <v>0</v>
          </cell>
        </row>
        <row r="17">
          <cell r="A17">
            <v>12</v>
          </cell>
          <cell r="D17">
            <v>0</v>
          </cell>
        </row>
        <row r="18">
          <cell r="A18">
            <v>13</v>
          </cell>
          <cell r="D18">
            <v>0</v>
          </cell>
        </row>
        <row r="19">
          <cell r="A19">
            <v>14</v>
          </cell>
          <cell r="D19">
            <v>0</v>
          </cell>
        </row>
        <row r="20">
          <cell r="A20">
            <v>15</v>
          </cell>
          <cell r="D20">
            <v>0</v>
          </cell>
        </row>
        <row r="21">
          <cell r="A21">
            <v>16</v>
          </cell>
          <cell r="D21">
            <v>0</v>
          </cell>
        </row>
        <row r="22">
          <cell r="A22">
            <v>17</v>
          </cell>
          <cell r="D22">
            <v>0</v>
          </cell>
        </row>
        <row r="23">
          <cell r="A23">
            <v>18</v>
          </cell>
          <cell r="D23">
            <v>0</v>
          </cell>
        </row>
        <row r="24">
          <cell r="A24">
            <v>19</v>
          </cell>
          <cell r="D24" t="e">
            <v>#REF!</v>
          </cell>
        </row>
        <row r="25">
          <cell r="A25">
            <v>20</v>
          </cell>
          <cell r="D25" t="e">
            <v>#REF!</v>
          </cell>
        </row>
        <row r="26">
          <cell r="A26">
            <v>21</v>
          </cell>
          <cell r="D26" t="e">
            <v>#REF!</v>
          </cell>
        </row>
        <row r="27">
          <cell r="A27">
            <v>22</v>
          </cell>
          <cell r="D27" t="e">
            <v>#REF!</v>
          </cell>
        </row>
        <row r="28">
          <cell r="A28">
            <v>23</v>
          </cell>
          <cell r="D28" t="e">
            <v>#REF!</v>
          </cell>
        </row>
        <row r="29">
          <cell r="A29">
            <v>24</v>
          </cell>
          <cell r="D29" t="e">
            <v>#REF!</v>
          </cell>
        </row>
        <row r="30">
          <cell r="A30">
            <v>25</v>
          </cell>
          <cell r="D30" t="e">
            <v>#REF!</v>
          </cell>
        </row>
        <row r="31">
          <cell r="A31">
            <v>26</v>
          </cell>
          <cell r="D31" t="e">
            <v>#REF!</v>
          </cell>
        </row>
        <row r="32">
          <cell r="A32">
            <v>27</v>
          </cell>
          <cell r="D32" t="e">
            <v>#REF!</v>
          </cell>
        </row>
        <row r="33">
          <cell r="A33">
            <v>28</v>
          </cell>
          <cell r="D33" t="e">
            <v>#REF!</v>
          </cell>
        </row>
        <row r="34">
          <cell r="A34">
            <v>29</v>
          </cell>
          <cell r="D34" t="e">
            <v>#REF!</v>
          </cell>
        </row>
        <row r="35">
          <cell r="A35">
            <v>30</v>
          </cell>
          <cell r="D35" t="e">
            <v>#REF!</v>
          </cell>
        </row>
        <row r="36">
          <cell r="A36">
            <v>31</v>
          </cell>
          <cell r="D36" t="e">
            <v>#REF!</v>
          </cell>
        </row>
        <row r="37">
          <cell r="A37">
            <v>32</v>
          </cell>
          <cell r="D37" t="e">
            <v>#REF!</v>
          </cell>
        </row>
        <row r="38">
          <cell r="A38">
            <v>33</v>
          </cell>
          <cell r="D38" t="e">
            <v>#REF!</v>
          </cell>
        </row>
        <row r="39">
          <cell r="A39">
            <v>34</v>
          </cell>
          <cell r="D39" t="e">
            <v>#REF!</v>
          </cell>
        </row>
        <row r="40">
          <cell r="A40">
            <v>35</v>
          </cell>
          <cell r="D40" t="e">
            <v>#REF!</v>
          </cell>
        </row>
        <row r="41">
          <cell r="A41">
            <v>36</v>
          </cell>
          <cell r="D41" t="e">
            <v>#REF!</v>
          </cell>
        </row>
        <row r="42">
          <cell r="A42">
            <v>37</v>
          </cell>
          <cell r="D42" t="e">
            <v>#REF!</v>
          </cell>
        </row>
        <row r="43">
          <cell r="A43">
            <v>38</v>
          </cell>
          <cell r="D43" t="e">
            <v>#REF!</v>
          </cell>
        </row>
        <row r="44">
          <cell r="A44">
            <v>39</v>
          </cell>
          <cell r="D44" t="e">
            <v>#REF!</v>
          </cell>
        </row>
        <row r="45">
          <cell r="A45">
            <v>40</v>
          </cell>
          <cell r="D45" t="e">
            <v>#REF!</v>
          </cell>
        </row>
        <row r="46">
          <cell r="A46">
            <v>41</v>
          </cell>
          <cell r="D46" t="e">
            <v>#REF!</v>
          </cell>
        </row>
        <row r="47">
          <cell r="A47">
            <v>42</v>
          </cell>
          <cell r="D47" t="e">
            <v>#REF!</v>
          </cell>
        </row>
        <row r="48">
          <cell r="A48">
            <v>43</v>
          </cell>
          <cell r="D48" t="e">
            <v>#REF!</v>
          </cell>
        </row>
        <row r="49">
          <cell r="A49">
            <v>44</v>
          </cell>
          <cell r="D49" t="e">
            <v>#REF!</v>
          </cell>
        </row>
        <row r="50">
          <cell r="A50">
            <v>45</v>
          </cell>
          <cell r="D50" t="e">
            <v>#REF!</v>
          </cell>
        </row>
        <row r="51">
          <cell r="A51">
            <v>46</v>
          </cell>
          <cell r="D51" t="e">
            <v>#REF!</v>
          </cell>
        </row>
        <row r="52">
          <cell r="A52">
            <v>47</v>
          </cell>
          <cell r="D52" t="e">
            <v>#REF!</v>
          </cell>
        </row>
      </sheetData>
      <sheetData sheetId="1" refreshError="1"/>
      <sheetData sheetId="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BASE"/>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M18">
            <v>1</v>
          </cell>
          <cell r="AN18">
            <v>8.44</v>
          </cell>
          <cell r="AO18">
            <v>9</v>
          </cell>
          <cell r="AQ18">
            <v>45</v>
          </cell>
          <cell r="AR18">
            <v>42.22</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M24">
            <v>1</v>
          </cell>
          <cell r="AN24">
            <v>11.8</v>
          </cell>
          <cell r="AO24">
            <v>9.4</v>
          </cell>
          <cell r="AQ24">
            <v>36.44</v>
          </cell>
          <cell r="AR24">
            <v>37.229999999999997</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L27" t="str">
            <v>800</v>
          </cell>
          <cell r="AM27">
            <v>1</v>
          </cell>
          <cell r="AN27">
            <v>19.16</v>
          </cell>
          <cell r="AP27">
            <v>17.8</v>
          </cell>
          <cell r="AQ27">
            <v>26.1</v>
          </cell>
          <cell r="AS27">
            <v>37.869999999999997</v>
          </cell>
          <cell r="AT27">
            <v>500</v>
          </cell>
          <cell r="AV27">
            <v>674</v>
          </cell>
        </row>
        <row r="28">
          <cell r="AH28" t="str">
            <v>GP</v>
          </cell>
          <cell r="AI28" t="str">
            <v xml:space="preserve">GALVAN. STEEL SHEET EHULSION PAINT </v>
          </cell>
          <cell r="AK28" t="str">
            <v>100(OM-12)</v>
          </cell>
          <cell r="AM28">
            <v>1</v>
          </cell>
          <cell r="AO28">
            <v>14.3</v>
          </cell>
          <cell r="AR28">
            <v>47.55</v>
          </cell>
          <cell r="AU28">
            <v>680</v>
          </cell>
        </row>
        <row r="29">
          <cell r="AI29" t="str">
            <v xml:space="preserve">EPOXY RESIN </v>
          </cell>
        </row>
        <row r="30">
          <cell r="AH30" t="str">
            <v>ERLP</v>
          </cell>
          <cell r="AI30" t="str">
            <v xml:space="preserve">EPOXY RED LEAD PRIMER </v>
          </cell>
          <cell r="AJ30" t="str">
            <v>0401</v>
          </cell>
          <cell r="AK30" t="str">
            <v>1007(EP-01)</v>
          </cell>
          <cell r="AM30">
            <v>1</v>
          </cell>
          <cell r="AN30">
            <v>13.7</v>
          </cell>
          <cell r="AO30">
            <v>11.9</v>
          </cell>
          <cell r="AQ30">
            <v>41.61</v>
          </cell>
          <cell r="AR30">
            <v>47.9</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Q36">
            <v>50.63</v>
          </cell>
          <cell r="AR36">
            <v>52.63</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M39">
            <v>1</v>
          </cell>
          <cell r="AN39">
            <v>27.3</v>
          </cell>
          <cell r="AO39">
            <v>15.7</v>
          </cell>
          <cell r="AQ39">
            <v>40.29</v>
          </cell>
          <cell r="AR39">
            <v>38.22</v>
          </cell>
          <cell r="AT39">
            <v>1100</v>
          </cell>
          <cell r="AU39">
            <v>600</v>
          </cell>
        </row>
        <row r="40">
          <cell r="AH40" t="str">
            <v>HBEP</v>
          </cell>
          <cell r="AI40" t="str">
            <v>HIGH BUILD EPOXY POLYAMINE CURED</v>
          </cell>
          <cell r="AJ40" t="str">
            <v>4418(A-418)</v>
          </cell>
          <cell r="AK40" t="str">
            <v>1015</v>
          </cell>
          <cell r="AM40">
            <v>1</v>
          </cell>
          <cell r="AN40">
            <v>18.3</v>
          </cell>
          <cell r="AO40">
            <v>13.1</v>
          </cell>
          <cell r="AQ40">
            <v>65.569999999999993</v>
          </cell>
          <cell r="AR40">
            <v>83.97</v>
          </cell>
          <cell r="AT40">
            <v>1200</v>
          </cell>
          <cell r="AU40">
            <v>1100</v>
          </cell>
        </row>
        <row r="41">
          <cell r="AH41" t="str">
            <v>HSCP</v>
          </cell>
          <cell r="AI41" t="str">
            <v>HIGH SOILD EPOXY POLYAMINE CURED PRIMER</v>
          </cell>
          <cell r="AJ41" t="str">
            <v>4418(A-448)</v>
          </cell>
          <cell r="AK41">
            <v>1017</v>
          </cell>
          <cell r="AM41">
            <v>1</v>
          </cell>
          <cell r="AN41">
            <v>20.309999999999999</v>
          </cell>
          <cell r="AO41">
            <v>13.1</v>
          </cell>
          <cell r="AQ41">
            <v>64</v>
          </cell>
          <cell r="AR41">
            <v>83.97</v>
          </cell>
          <cell r="AT41">
            <v>1300</v>
          </cell>
          <cell r="AU41">
            <v>1100</v>
          </cell>
        </row>
        <row r="42">
          <cell r="AH42" t="str">
            <v>EEA</v>
          </cell>
          <cell r="AI42" t="str">
            <v>EPOXY ENAMEL AMINE ADDUCT CURED</v>
          </cell>
          <cell r="AJ42" t="str">
            <v>4450(A-500)</v>
          </cell>
          <cell r="AK42" t="str">
            <v>1014</v>
          </cell>
          <cell r="AM42">
            <v>1</v>
          </cell>
          <cell r="AN42">
            <v>23.8</v>
          </cell>
          <cell r="AO42">
            <v>11.4</v>
          </cell>
          <cell r="AQ42">
            <v>37.82</v>
          </cell>
          <cell r="AR42">
            <v>83.33</v>
          </cell>
          <cell r="AT42">
            <v>900</v>
          </cell>
          <cell r="AU42">
            <v>950</v>
          </cell>
        </row>
        <row r="43">
          <cell r="AH43" t="str">
            <v>NEP</v>
          </cell>
          <cell r="AI43" t="str">
            <v>NON-REACTIVE EPOXY PRIMER</v>
          </cell>
          <cell r="AJ43" t="str">
            <v>4405(A-505)</v>
          </cell>
          <cell r="AM43">
            <v>1</v>
          </cell>
          <cell r="AN43">
            <v>19.2</v>
          </cell>
          <cell r="AQ43">
            <v>41.67</v>
          </cell>
          <cell r="AT43">
            <v>800</v>
          </cell>
        </row>
        <row r="44">
          <cell r="AH44" t="str">
            <v>ZCOP</v>
          </cell>
          <cell r="AI44" t="str">
            <v xml:space="preserve">ZINC CHROMATE-RED OXIDE/EPOXY PRIMER </v>
          </cell>
          <cell r="AJ44" t="str">
            <v>4451(A-510)</v>
          </cell>
          <cell r="AK44" t="str">
            <v>1016</v>
          </cell>
          <cell r="AM44">
            <v>1</v>
          </cell>
          <cell r="AN44">
            <v>18.2</v>
          </cell>
          <cell r="AO44">
            <v>8.1999999999999993</v>
          </cell>
          <cell r="AQ44">
            <v>42.86</v>
          </cell>
          <cell r="AR44">
            <v>85.37</v>
          </cell>
          <cell r="AT44">
            <v>780</v>
          </cell>
          <cell r="AU44">
            <v>700</v>
          </cell>
        </row>
        <row r="45">
          <cell r="AH45" t="str">
            <v>EPC</v>
          </cell>
          <cell r="AI45" t="str">
            <v xml:space="preserve">EPOXY ENAMEL/POLYAMIDE CURED </v>
          </cell>
          <cell r="AJ45" t="str">
            <v>4415(A-515)</v>
          </cell>
          <cell r="AM45">
            <v>1</v>
          </cell>
          <cell r="AN45">
            <v>19.8</v>
          </cell>
          <cell r="AQ45">
            <v>42.93</v>
          </cell>
          <cell r="AT45">
            <v>850</v>
          </cell>
        </row>
        <row r="46">
          <cell r="AI46" t="str">
            <v>EPOXY NON-SKID SURFACING</v>
          </cell>
          <cell r="AJ46" t="str">
            <v>4425(A-525)</v>
          </cell>
          <cell r="AK46" t="str">
            <v>1018</v>
          </cell>
          <cell r="AM46">
            <v>1</v>
          </cell>
          <cell r="AN46">
            <v>18</v>
          </cell>
          <cell r="AO46">
            <v>31.3</v>
          </cell>
          <cell r="AQ46">
            <v>37.78</v>
          </cell>
          <cell r="AR46">
            <v>47.92</v>
          </cell>
          <cell r="AT46">
            <v>680</v>
          </cell>
          <cell r="AU46">
            <v>1500</v>
          </cell>
        </row>
        <row r="47">
          <cell r="AH47" t="str">
            <v>EPAP</v>
          </cell>
          <cell r="AI47" t="str">
            <v>EPOXY-POLYAMIDE,ALLOY PRIMER.</v>
          </cell>
          <cell r="AJ47" t="str">
            <v>4465(A-650)</v>
          </cell>
          <cell r="AK47">
            <v>1020</v>
          </cell>
          <cell r="AM47">
            <v>1</v>
          </cell>
          <cell r="AN47">
            <v>21</v>
          </cell>
          <cell r="AO47">
            <v>26.92</v>
          </cell>
          <cell r="AQ47">
            <v>42.86</v>
          </cell>
          <cell r="AR47">
            <v>13</v>
          </cell>
          <cell r="AT47">
            <v>900</v>
          </cell>
          <cell r="AU47">
            <v>350</v>
          </cell>
        </row>
        <row r="48">
          <cell r="AI48" t="str">
            <v>LEAD SILICO CHROMATE EP.PRI./POLYAMIDE CURED</v>
          </cell>
          <cell r="AJ48" t="str">
            <v>4430(A-530)</v>
          </cell>
          <cell r="AM48">
            <v>1</v>
          </cell>
          <cell r="AN48">
            <v>21.97</v>
          </cell>
          <cell r="AQ48">
            <v>37.78</v>
          </cell>
          <cell r="AT48">
            <v>830</v>
          </cell>
        </row>
        <row r="49">
          <cell r="AH49" t="str">
            <v>ERLP</v>
          </cell>
          <cell r="AI49" t="str">
            <v>EPOXY RED LEAD POLYAMIDE CURED PRIMER</v>
          </cell>
          <cell r="AJ49" t="str">
            <v>4440(A-540)</v>
          </cell>
          <cell r="AK49" t="str">
            <v>1051</v>
          </cell>
          <cell r="AM49">
            <v>1</v>
          </cell>
          <cell r="AN49">
            <v>19.399999999999999</v>
          </cell>
          <cell r="AO49">
            <v>15.8</v>
          </cell>
          <cell r="AQ49">
            <v>42.78</v>
          </cell>
          <cell r="AR49">
            <v>43.04</v>
          </cell>
          <cell r="AT49">
            <v>830</v>
          </cell>
          <cell r="AU49">
            <v>680</v>
          </cell>
        </row>
        <row r="50">
          <cell r="AH50" t="str">
            <v>EROP</v>
          </cell>
          <cell r="AI50" t="str">
            <v>RED LEAD-RED OXIDE EP./POLYAMIDE CURED PRI.</v>
          </cell>
          <cell r="AJ50" t="str">
            <v>4445(A-545)</v>
          </cell>
          <cell r="AK50" t="str">
            <v>1060</v>
          </cell>
          <cell r="AM50">
            <v>1</v>
          </cell>
          <cell r="AN50">
            <v>18.7</v>
          </cell>
          <cell r="AO50">
            <v>20.9</v>
          </cell>
          <cell r="AQ50">
            <v>42.78</v>
          </cell>
          <cell r="AR50">
            <v>28.71</v>
          </cell>
          <cell r="AT50">
            <v>800</v>
          </cell>
          <cell r="AU50">
            <v>600</v>
          </cell>
        </row>
        <row r="51">
          <cell r="AH51" t="str">
            <v>ETC</v>
          </cell>
          <cell r="AI51" t="str">
            <v>TAR EPOXY COATING/AMINE CURED</v>
          </cell>
          <cell r="AJ51" t="str">
            <v>4460(A-560)</v>
          </cell>
          <cell r="AK51" t="str">
            <v>1070(EP-10)</v>
          </cell>
          <cell r="AM51">
            <v>1</v>
          </cell>
          <cell r="AN51">
            <v>11.69</v>
          </cell>
          <cell r="AO51">
            <v>12.2</v>
          </cell>
          <cell r="AQ51">
            <v>42.78</v>
          </cell>
          <cell r="AR51">
            <v>57.38</v>
          </cell>
          <cell r="AT51">
            <v>500</v>
          </cell>
          <cell r="AU51">
            <v>700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M53">
            <v>1</v>
          </cell>
          <cell r="AN53">
            <v>12.6</v>
          </cell>
          <cell r="AO53">
            <v>32.1</v>
          </cell>
          <cell r="AQ53">
            <v>55.56</v>
          </cell>
          <cell r="AR53">
            <v>42.37</v>
          </cell>
          <cell r="AT53">
            <v>700</v>
          </cell>
          <cell r="AU53">
            <v>1360</v>
          </cell>
        </row>
        <row r="54">
          <cell r="AH54" t="str">
            <v>EPF</v>
          </cell>
          <cell r="AI54" t="str">
            <v>EPOXY-POLYAMINE,FINISH</v>
          </cell>
          <cell r="AJ54" t="str">
            <v>4465(A-650)</v>
          </cell>
          <cell r="AK54" t="str">
            <v>SP-08</v>
          </cell>
          <cell r="AM54">
            <v>1</v>
          </cell>
          <cell r="AN54">
            <v>21</v>
          </cell>
          <cell r="AO54">
            <v>24.4</v>
          </cell>
          <cell r="AQ54">
            <v>42.86</v>
          </cell>
          <cell r="AR54">
            <v>25</v>
          </cell>
          <cell r="AT54">
            <v>900</v>
          </cell>
          <cell r="AU54">
            <v>610</v>
          </cell>
        </row>
        <row r="55">
          <cell r="AH55" t="str">
            <v>EPRLP</v>
          </cell>
          <cell r="AI55" t="str">
            <v>EPOXY/POLYAMINE,RED LEAD PRIMER</v>
          </cell>
          <cell r="AJ55" t="str">
            <v>4570(A-700)</v>
          </cell>
          <cell r="AK55" t="str">
            <v>SP-09</v>
          </cell>
          <cell r="AM55">
            <v>1</v>
          </cell>
          <cell r="AN55">
            <v>21</v>
          </cell>
          <cell r="AO55">
            <v>32</v>
          </cell>
          <cell r="AQ55">
            <v>42.86</v>
          </cell>
          <cell r="AR55">
            <v>23.75</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L64" t="str">
            <v>531</v>
          </cell>
          <cell r="AM64">
            <v>1</v>
          </cell>
          <cell r="AN64">
            <v>13.4</v>
          </cell>
          <cell r="AP64">
            <v>14.5</v>
          </cell>
          <cell r="AQ64">
            <v>37.31</v>
          </cell>
          <cell r="AS64">
            <v>36.409999999999997</v>
          </cell>
          <cell r="AT64">
            <v>500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L66" t="str">
            <v>500</v>
          </cell>
          <cell r="AM66">
            <v>1</v>
          </cell>
          <cell r="AN66">
            <v>17.2</v>
          </cell>
          <cell r="AP66">
            <v>15</v>
          </cell>
          <cell r="AQ66">
            <v>37.79</v>
          </cell>
          <cell r="AS66">
            <v>30.4</v>
          </cell>
          <cell r="AT66">
            <v>650</v>
          </cell>
          <cell r="AV66">
            <v>456</v>
          </cell>
        </row>
        <row r="67">
          <cell r="AH67" t="str">
            <v>CRROP</v>
          </cell>
          <cell r="AI67" t="str">
            <v xml:space="preserve">CHLORINATED RUBBER RED LEAD-RED OXIDE PRIMER </v>
          </cell>
          <cell r="AJ67" t="str">
            <v>4576(C-760)</v>
          </cell>
          <cell r="AL67" t="str">
            <v>550</v>
          </cell>
          <cell r="AM67">
            <v>1</v>
          </cell>
          <cell r="AN67">
            <v>15.9</v>
          </cell>
          <cell r="AP67">
            <v>14.8</v>
          </cell>
          <cell r="AQ67">
            <v>38.99</v>
          </cell>
          <cell r="AS67">
            <v>33.78</v>
          </cell>
          <cell r="AT67">
            <v>620</v>
          </cell>
          <cell r="AV67">
            <v>500</v>
          </cell>
        </row>
        <row r="68">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1">
          <cell r="AI71" t="str">
            <v xml:space="preserve">SILICONE RESIN </v>
          </cell>
        </row>
        <row r="72">
          <cell r="AH72" t="str">
            <v>HP200</v>
          </cell>
          <cell r="AI72" t="str">
            <v>HEAT-RESISTING PRIMER 200'C ,SILICONE SERIES.</v>
          </cell>
          <cell r="AJ72" t="str">
            <v>0631</v>
          </cell>
          <cell r="AK72" t="str">
            <v>1512</v>
          </cell>
          <cell r="AM72">
            <v>1</v>
          </cell>
          <cell r="AN72">
            <v>16.5</v>
          </cell>
          <cell r="AO72">
            <v>26.2</v>
          </cell>
          <cell r="AQ72">
            <v>36.36</v>
          </cell>
          <cell r="AR72">
            <v>38.17</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M74">
            <v>1</v>
          </cell>
          <cell r="AN74">
            <v>35.799999999999997</v>
          </cell>
          <cell r="AO74">
            <v>34.1</v>
          </cell>
          <cell r="AQ74">
            <v>36.31</v>
          </cell>
          <cell r="AR74">
            <v>38.119999999999997</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M76">
            <v>1</v>
          </cell>
          <cell r="AN76">
            <v>17.5</v>
          </cell>
          <cell r="AO76">
            <v>27.3</v>
          </cell>
          <cell r="AQ76">
            <v>30.29</v>
          </cell>
          <cell r="AR76">
            <v>28.57</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M78">
            <v>1</v>
          </cell>
          <cell r="AN78">
            <v>51.61</v>
          </cell>
          <cell r="AO78">
            <v>59.4</v>
          </cell>
          <cell r="AQ78">
            <v>25.19</v>
          </cell>
          <cell r="AR78">
            <v>28.62</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M80">
            <v>1</v>
          </cell>
          <cell r="AN80">
            <v>51.61</v>
          </cell>
          <cell r="AO80">
            <v>68</v>
          </cell>
          <cell r="AQ80">
            <v>25.19</v>
          </cell>
          <cell r="AR80">
            <v>10</v>
          </cell>
          <cell r="AT80">
            <v>1300</v>
          </cell>
          <cell r="AU80">
            <v>680</v>
          </cell>
        </row>
        <row r="82">
          <cell r="AI82" t="str">
            <v xml:space="preserve">POLY-VINYL BUTYRAL RESIN (PVB) </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M84">
            <v>1</v>
          </cell>
          <cell r="AN84">
            <v>24.5</v>
          </cell>
          <cell r="AO84">
            <v>28.8</v>
          </cell>
          <cell r="AQ84">
            <v>22.04</v>
          </cell>
          <cell r="AR84">
            <v>19.79</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M86">
            <v>1</v>
          </cell>
          <cell r="AN86">
            <v>29.1</v>
          </cell>
          <cell r="AO86">
            <v>26.21</v>
          </cell>
          <cell r="AQ86">
            <v>18.899999999999999</v>
          </cell>
          <cell r="AR86">
            <v>19.079999999999998</v>
          </cell>
          <cell r="AT86">
            <v>550</v>
          </cell>
          <cell r="AU86">
            <v>500</v>
          </cell>
        </row>
        <row r="87">
          <cell r="AI87" t="str">
            <v>PIGMENTED PVC VINYL FINISH</v>
          </cell>
          <cell r="AJ87" t="str">
            <v>4340(U-400)</v>
          </cell>
          <cell r="AK87" t="str">
            <v>SP34(VA-51)</v>
          </cell>
          <cell r="AM87">
            <v>1</v>
          </cell>
          <cell r="AN87">
            <v>21.2</v>
          </cell>
          <cell r="AO87">
            <v>27.3</v>
          </cell>
          <cell r="AQ87">
            <v>30.19</v>
          </cell>
          <cell r="AR87">
            <v>19.78</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M93">
            <v>1</v>
          </cell>
          <cell r="AN93">
            <v>46.3</v>
          </cell>
          <cell r="AO93">
            <v>56.2</v>
          </cell>
          <cell r="AQ93">
            <v>30.24</v>
          </cell>
          <cell r="AR93">
            <v>30.25</v>
          </cell>
          <cell r="AT93">
            <v>1400</v>
          </cell>
          <cell r="AU93">
            <v>1700</v>
          </cell>
        </row>
        <row r="94">
          <cell r="AI94" t="str">
            <v>POLYURETHANE TANK LINING</v>
          </cell>
          <cell r="AJ94" t="str">
            <v>4230(I-310)</v>
          </cell>
          <cell r="AK94" t="str">
            <v>733</v>
          </cell>
          <cell r="AM94">
            <v>1</v>
          </cell>
          <cell r="AN94">
            <v>37</v>
          </cell>
          <cell r="AO94">
            <v>19.8</v>
          </cell>
          <cell r="AQ94">
            <v>37.840000000000003</v>
          </cell>
          <cell r="AR94">
            <v>28.79</v>
          </cell>
          <cell r="AT94">
            <v>1400</v>
          </cell>
          <cell r="AU94">
            <v>570</v>
          </cell>
        </row>
        <row r="95">
          <cell r="AI95" t="str">
            <v>NON-REACTIVE POLYURETHANE PRIMER</v>
          </cell>
          <cell r="AJ95" t="str">
            <v>4239(I-350)</v>
          </cell>
          <cell r="AM95">
            <v>1</v>
          </cell>
          <cell r="AN95">
            <v>18</v>
          </cell>
          <cell r="AQ95">
            <v>55.56</v>
          </cell>
          <cell r="AT95">
            <v>1000</v>
          </cell>
        </row>
        <row r="96">
          <cell r="AI96" t="str">
            <v>CLEAR POLYURETHANE FINISH</v>
          </cell>
          <cell r="AJ96" t="str">
            <v>4235(I-390)</v>
          </cell>
          <cell r="AK96" t="str">
            <v>1101</v>
          </cell>
          <cell r="AM96">
            <v>1</v>
          </cell>
          <cell r="AN96">
            <v>31.7</v>
          </cell>
          <cell r="AO96">
            <v>17</v>
          </cell>
          <cell r="AQ96">
            <v>37.85</v>
          </cell>
          <cell r="AR96">
            <v>26.47</v>
          </cell>
          <cell r="AT96">
            <v>1200</v>
          </cell>
          <cell r="AU96">
            <v>450</v>
          </cell>
        </row>
        <row r="97">
          <cell r="AI97" t="str">
            <v>URETHANE CHROMATE PRIMER</v>
          </cell>
          <cell r="AJ97" t="str">
            <v>4420(A-200)</v>
          </cell>
          <cell r="AK97" t="str">
            <v>1106</v>
          </cell>
          <cell r="AM97">
            <v>1</v>
          </cell>
          <cell r="AN97">
            <v>21.6</v>
          </cell>
          <cell r="AO97">
            <v>12.5</v>
          </cell>
          <cell r="AQ97">
            <v>37.04</v>
          </cell>
          <cell r="AR97">
            <v>24</v>
          </cell>
          <cell r="AT97">
            <v>800</v>
          </cell>
          <cell r="AU97">
            <v>300</v>
          </cell>
        </row>
        <row r="98">
          <cell r="AI98" t="str">
            <v>ZINC TETROXYCHROMATE BUTYRAL ETCH PRIMER</v>
          </cell>
          <cell r="AJ98" t="str">
            <v>4322(U-220)</v>
          </cell>
          <cell r="AK98" t="str">
            <v>738</v>
          </cell>
          <cell r="AM98">
            <v>1</v>
          </cell>
          <cell r="AN98">
            <v>58.41</v>
          </cell>
          <cell r="AO98">
            <v>69.59</v>
          </cell>
          <cell r="AQ98">
            <v>8.56</v>
          </cell>
          <cell r="AR98">
            <v>28.74</v>
          </cell>
          <cell r="AT98">
            <v>500</v>
          </cell>
          <cell r="AU98">
            <v>2000</v>
          </cell>
        </row>
        <row r="100">
          <cell r="AI100" t="str">
            <v>MASONRY &amp; ACRYLIC PAINT</v>
          </cell>
        </row>
        <row r="101">
          <cell r="AI101" t="str">
            <v>SOLVENT BASE MASONRY PRIMER</v>
          </cell>
          <cell r="AJ101" t="str">
            <v>1541</v>
          </cell>
          <cell r="AL101" t="str">
            <v>140</v>
          </cell>
          <cell r="AM101">
            <v>1</v>
          </cell>
          <cell r="AN101">
            <v>9.6999999999999993</v>
          </cell>
          <cell r="AP101">
            <v>14</v>
          </cell>
          <cell r="AQ101">
            <v>40.21</v>
          </cell>
          <cell r="AS101">
            <v>30.36</v>
          </cell>
          <cell r="AT101">
            <v>390</v>
          </cell>
          <cell r="AV101">
            <v>425</v>
          </cell>
        </row>
        <row r="102">
          <cell r="AI102" t="str">
            <v>WATER BASE MASONRY PRIMER</v>
          </cell>
          <cell r="AJ102" t="str">
            <v>1546</v>
          </cell>
          <cell r="AL102" t="str">
            <v>140-1</v>
          </cell>
          <cell r="AM102">
            <v>1</v>
          </cell>
          <cell r="AN102">
            <v>8.1999999999999993</v>
          </cell>
          <cell r="AP102">
            <v>12</v>
          </cell>
          <cell r="AQ102">
            <v>40.24</v>
          </cell>
          <cell r="AS102">
            <v>33.83</v>
          </cell>
          <cell r="AT102">
            <v>330</v>
          </cell>
          <cell r="AV102">
            <v>406</v>
          </cell>
        </row>
        <row r="103">
          <cell r="AI103" t="str">
            <v>WATER BASE MASONRY PAINT</v>
          </cell>
          <cell r="AJ103" t="str">
            <v>1556</v>
          </cell>
          <cell r="AM103">
            <v>1</v>
          </cell>
          <cell r="AN103">
            <v>11.9</v>
          </cell>
          <cell r="AQ103">
            <v>36.97</v>
          </cell>
          <cell r="AT103">
            <v>440</v>
          </cell>
        </row>
        <row r="104">
          <cell r="AI104" t="str">
            <v xml:space="preserve">ACRYLIC EMULSION PAINT </v>
          </cell>
          <cell r="AJ104" t="str">
            <v>1656</v>
          </cell>
          <cell r="AM104">
            <v>1</v>
          </cell>
          <cell r="AN104">
            <v>9.4</v>
          </cell>
          <cell r="AP104">
            <v>25.8</v>
          </cell>
          <cell r="AQ104">
            <v>38.299999999999997</v>
          </cell>
          <cell r="AS104">
            <v>34.880000000000003</v>
          </cell>
          <cell r="AT104">
            <v>360</v>
          </cell>
          <cell r="AV104">
            <v>900</v>
          </cell>
        </row>
        <row r="105">
          <cell r="AI105" t="str">
            <v xml:space="preserve">EMULSION PAINT </v>
          </cell>
          <cell r="AJ105" t="str">
            <v>1657</v>
          </cell>
          <cell r="AL105" t="str">
            <v>130</v>
          </cell>
          <cell r="AM105">
            <v>1</v>
          </cell>
          <cell r="AN105">
            <v>6.4</v>
          </cell>
          <cell r="AP105">
            <v>5.8</v>
          </cell>
          <cell r="AQ105">
            <v>40.630000000000003</v>
          </cell>
          <cell r="AS105">
            <v>34.83</v>
          </cell>
          <cell r="AT105">
            <v>260</v>
          </cell>
          <cell r="AV105">
            <v>202</v>
          </cell>
        </row>
        <row r="107">
          <cell r="AI107" t="str">
            <v>OTHER PAINT</v>
          </cell>
        </row>
        <row r="108">
          <cell r="AH108" t="str">
            <v>AO</v>
          </cell>
          <cell r="AI108" t="str">
            <v>AMERLOCK-400 100,</v>
          </cell>
          <cell r="AM108">
            <v>1</v>
          </cell>
          <cell r="AO108">
            <v>35</v>
          </cell>
          <cell r="AR108">
            <v>21</v>
          </cell>
          <cell r="AU108">
            <v>735</v>
          </cell>
        </row>
        <row r="109">
          <cell r="AI109" t="str">
            <v>BLACK VARNISH</v>
          </cell>
          <cell r="AJ109" t="str">
            <v>1727</v>
          </cell>
          <cell r="AL109" t="str">
            <v>170</v>
          </cell>
          <cell r="AM109">
            <v>1</v>
          </cell>
          <cell r="AN109">
            <v>5.8</v>
          </cell>
          <cell r="AP109">
            <v>6.2</v>
          </cell>
          <cell r="AQ109">
            <v>34.479999999999997</v>
          </cell>
          <cell r="AS109">
            <v>26.94</v>
          </cell>
          <cell r="AT109">
            <v>200</v>
          </cell>
          <cell r="AV109">
            <v>167</v>
          </cell>
        </row>
        <row r="110">
          <cell r="AI110" t="str">
            <v>NEO WATER PROOF COATING</v>
          </cell>
          <cell r="AJ110" t="str">
            <v>1728</v>
          </cell>
          <cell r="AL110" t="str">
            <v>160</v>
          </cell>
          <cell r="AM110">
            <v>1</v>
          </cell>
          <cell r="AN110">
            <v>4.4000000000000004</v>
          </cell>
          <cell r="AP110">
            <v>6.7</v>
          </cell>
          <cell r="AQ110">
            <v>227.27</v>
          </cell>
          <cell r="AS110">
            <v>28.81</v>
          </cell>
          <cell r="AT110">
            <v>1000</v>
          </cell>
          <cell r="AV110">
            <v>193</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s>
    <sheetDataSet>
      <sheetData sheetId="0" refreshError="1"/>
      <sheetData sheetId="1" refreshError="1"/>
      <sheetData sheetId="2">
        <row r="1">
          <cell r="A1" t="str">
            <v>STATISTICAL ESTIMATION OF FITTINGS AND VALVES FOR PIPING WORK</v>
          </cell>
        </row>
        <row r="2">
          <cell r="A2" t="str">
            <v xml:space="preserve">PROJECT NO : </v>
          </cell>
        </row>
        <row r="3">
          <cell r="A3" t="str">
            <v>Fc =</v>
          </cell>
          <cell r="B3">
            <v>1</v>
          </cell>
          <cell r="C3" t="str">
            <v>Fp =</v>
          </cell>
          <cell r="D3">
            <v>0.1</v>
          </cell>
        </row>
        <row r="4">
          <cell r="F4" t="str">
            <v>FITTING NO</v>
          </cell>
          <cell r="N4" t="str">
            <v>VALVE NO</v>
          </cell>
          <cell r="R4" t="str">
            <v>TOTAL</v>
          </cell>
          <cell r="S4" t="str">
            <v>TOTAL</v>
          </cell>
          <cell r="T4" t="str">
            <v>J/M</v>
          </cell>
          <cell r="U4" t="str">
            <v>J/M</v>
          </cell>
        </row>
        <row r="5">
          <cell r="A5" t="str">
            <v>NO</v>
          </cell>
          <cell r="B5" t="str">
            <v>SIZE</v>
          </cell>
          <cell r="C5" t="str">
            <v>SCH</v>
          </cell>
          <cell r="D5" t="str">
            <v>LG (M)</v>
          </cell>
          <cell r="E5" t="str">
            <v>IN-M</v>
          </cell>
          <cell r="F5" t="str">
            <v>90 ELL</v>
          </cell>
          <cell r="G5" t="str">
            <v>45 ELL</v>
          </cell>
          <cell r="H5" t="str">
            <v>TEE</v>
          </cell>
          <cell r="I5" t="str">
            <v>RED</v>
          </cell>
          <cell r="J5" t="str">
            <v>FLG</v>
          </cell>
          <cell r="K5" t="str">
            <v>CPLG</v>
          </cell>
          <cell r="L5" t="str">
            <v>CAP</v>
          </cell>
          <cell r="M5" t="str">
            <v>TOTAL</v>
          </cell>
          <cell r="N5" t="str">
            <v>BLOCK</v>
          </cell>
          <cell r="O5" t="str">
            <v>CHECK</v>
          </cell>
          <cell r="P5" t="str">
            <v>GLOBE</v>
          </cell>
          <cell r="Q5" t="str">
            <v>TOTAL</v>
          </cell>
          <cell r="R5" t="str">
            <v>JOINT</v>
          </cell>
          <cell r="S5" t="str">
            <v>DI</v>
          </cell>
          <cell r="T5" t="str">
            <v>(JOINT)</v>
          </cell>
          <cell r="U5" t="str">
            <v>(DI)</v>
          </cell>
        </row>
        <row r="6">
          <cell r="A6">
            <v>1</v>
          </cell>
          <cell r="B6">
            <v>0.5</v>
          </cell>
          <cell r="E6" t="str">
            <v xml:space="preserve"> </v>
          </cell>
          <cell r="F6">
            <v>0</v>
          </cell>
          <cell r="G6">
            <v>0</v>
          </cell>
          <cell r="H6">
            <v>0</v>
          </cell>
          <cell r="I6">
            <v>0</v>
          </cell>
          <cell r="J6">
            <v>0</v>
          </cell>
          <cell r="K6">
            <v>0</v>
          </cell>
          <cell r="L6">
            <v>0</v>
          </cell>
          <cell r="M6">
            <v>0</v>
          </cell>
          <cell r="N6">
            <v>0</v>
          </cell>
          <cell r="O6">
            <v>0</v>
          </cell>
          <cell r="P6">
            <v>0</v>
          </cell>
          <cell r="Q6">
            <v>0</v>
          </cell>
          <cell r="R6">
            <v>0</v>
          </cell>
          <cell r="S6">
            <v>0</v>
          </cell>
          <cell r="T6" t="str">
            <v xml:space="preserve"> </v>
          </cell>
          <cell r="U6" t="str">
            <v xml:space="preserve"> </v>
          </cell>
        </row>
        <row r="7">
          <cell r="A7">
            <v>2</v>
          </cell>
          <cell r="B7">
            <v>0.75</v>
          </cell>
          <cell r="E7" t="str">
            <v xml:space="preserve"> </v>
          </cell>
          <cell r="F7">
            <v>0</v>
          </cell>
          <cell r="G7">
            <v>0</v>
          </cell>
          <cell r="H7">
            <v>0</v>
          </cell>
          <cell r="I7">
            <v>0</v>
          </cell>
          <cell r="J7">
            <v>0</v>
          </cell>
          <cell r="K7">
            <v>0</v>
          </cell>
          <cell r="L7">
            <v>0</v>
          </cell>
          <cell r="M7">
            <v>0</v>
          </cell>
          <cell r="N7">
            <v>0</v>
          </cell>
          <cell r="O7">
            <v>0</v>
          </cell>
          <cell r="P7">
            <v>0</v>
          </cell>
          <cell r="Q7">
            <v>0</v>
          </cell>
          <cell r="R7">
            <v>0</v>
          </cell>
          <cell r="S7">
            <v>0</v>
          </cell>
          <cell r="T7" t="str">
            <v xml:space="preserve"> </v>
          </cell>
          <cell r="U7" t="str">
            <v xml:space="preserve"> </v>
          </cell>
        </row>
        <row r="8">
          <cell r="A8">
            <v>3</v>
          </cell>
          <cell r="B8">
            <v>1</v>
          </cell>
          <cell r="E8" t="str">
            <v xml:space="preserve"> </v>
          </cell>
          <cell r="F8">
            <v>0</v>
          </cell>
          <cell r="G8">
            <v>0</v>
          </cell>
          <cell r="H8">
            <v>0</v>
          </cell>
          <cell r="I8">
            <v>0</v>
          </cell>
          <cell r="J8">
            <v>0</v>
          </cell>
          <cell r="K8">
            <v>0</v>
          </cell>
          <cell r="L8">
            <v>0</v>
          </cell>
          <cell r="M8">
            <v>0</v>
          </cell>
          <cell r="N8">
            <v>0</v>
          </cell>
          <cell r="O8">
            <v>0</v>
          </cell>
          <cell r="P8">
            <v>0</v>
          </cell>
          <cell r="Q8">
            <v>0</v>
          </cell>
          <cell r="R8">
            <v>0</v>
          </cell>
          <cell r="S8">
            <v>0</v>
          </cell>
          <cell r="T8" t="str">
            <v xml:space="preserve"> </v>
          </cell>
          <cell r="U8" t="str">
            <v xml:space="preserve"> </v>
          </cell>
        </row>
        <row r="9">
          <cell r="A9">
            <v>4</v>
          </cell>
          <cell r="B9">
            <v>1.5</v>
          </cell>
          <cell r="E9" t="str">
            <v xml:space="preserve"> </v>
          </cell>
          <cell r="F9">
            <v>0</v>
          </cell>
          <cell r="G9">
            <v>0</v>
          </cell>
          <cell r="H9">
            <v>0</v>
          </cell>
          <cell r="I9">
            <v>0</v>
          </cell>
          <cell r="J9">
            <v>0</v>
          </cell>
          <cell r="K9">
            <v>0</v>
          </cell>
          <cell r="L9">
            <v>0</v>
          </cell>
          <cell r="M9">
            <v>0</v>
          </cell>
          <cell r="N9">
            <v>0</v>
          </cell>
          <cell r="O9">
            <v>0</v>
          </cell>
          <cell r="P9">
            <v>0</v>
          </cell>
          <cell r="Q9">
            <v>0</v>
          </cell>
          <cell r="R9">
            <v>0</v>
          </cell>
          <cell r="S9">
            <v>0</v>
          </cell>
          <cell r="T9" t="str">
            <v xml:space="preserve"> </v>
          </cell>
          <cell r="U9" t="str">
            <v xml:space="preserve"> </v>
          </cell>
        </row>
        <row r="10">
          <cell r="A10">
            <v>5</v>
          </cell>
          <cell r="B10">
            <v>2</v>
          </cell>
          <cell r="E10" t="str">
            <v xml:space="preserve"> </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t="str">
            <v xml:space="preserve"> </v>
          </cell>
          <cell r="U10" t="str">
            <v xml:space="preserve"> </v>
          </cell>
        </row>
        <row r="11">
          <cell r="A11">
            <v>6</v>
          </cell>
          <cell r="B11">
            <v>2.5</v>
          </cell>
          <cell r="E11" t="str">
            <v xml:space="preserve"> </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t="str">
            <v xml:space="preserve"> </v>
          </cell>
          <cell r="U11" t="str">
            <v xml:space="preserve"> </v>
          </cell>
        </row>
        <row r="12">
          <cell r="A12">
            <v>7</v>
          </cell>
          <cell r="B12">
            <v>3</v>
          </cell>
          <cell r="E12" t="str">
            <v xml:space="preserve"> </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t="str">
            <v xml:space="preserve"> </v>
          </cell>
          <cell r="U12" t="str">
            <v xml:space="preserve"> </v>
          </cell>
        </row>
        <row r="13">
          <cell r="A13">
            <v>8</v>
          </cell>
          <cell r="B13">
            <v>4</v>
          </cell>
          <cell r="E13" t="str">
            <v xml:space="preserve"> </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t="str">
            <v xml:space="preserve"> </v>
          </cell>
          <cell r="U13" t="str">
            <v xml:space="preserve"> </v>
          </cell>
        </row>
        <row r="14">
          <cell r="A14">
            <v>9</v>
          </cell>
          <cell r="B14">
            <v>5</v>
          </cell>
          <cell r="E14" t="str">
            <v xml:space="preserve"> </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t="str">
            <v xml:space="preserve"> </v>
          </cell>
          <cell r="U14" t="str">
            <v xml:space="preserve"> </v>
          </cell>
        </row>
        <row r="15">
          <cell r="A15">
            <v>10</v>
          </cell>
          <cell r="B15">
            <v>6</v>
          </cell>
          <cell r="E15" t="str">
            <v xml:space="preserve"> </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t="str">
            <v xml:space="preserve"> </v>
          </cell>
          <cell r="U15" t="str">
            <v xml:space="preserve"> </v>
          </cell>
        </row>
        <row r="16">
          <cell r="A16">
            <v>11</v>
          </cell>
          <cell r="B16">
            <v>8</v>
          </cell>
          <cell r="E16" t="str">
            <v xml:space="preserve"> </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t="str">
            <v xml:space="preserve"> </v>
          </cell>
          <cell r="U16" t="str">
            <v xml:space="preserve"> </v>
          </cell>
        </row>
        <row r="17">
          <cell r="A17">
            <v>12</v>
          </cell>
          <cell r="B17">
            <v>10</v>
          </cell>
          <cell r="E17" t="str">
            <v xml:space="preserve"> </v>
          </cell>
          <cell r="F17">
            <v>0</v>
          </cell>
          <cell r="G17">
            <v>0</v>
          </cell>
          <cell r="H17">
            <v>0</v>
          </cell>
          <cell r="I17">
            <v>0</v>
          </cell>
          <cell r="J17">
            <v>0</v>
          </cell>
          <cell r="L17">
            <v>0</v>
          </cell>
          <cell r="M17">
            <v>0</v>
          </cell>
          <cell r="N17">
            <v>0</v>
          </cell>
          <cell r="O17">
            <v>0</v>
          </cell>
          <cell r="P17">
            <v>0</v>
          </cell>
          <cell r="Q17">
            <v>0</v>
          </cell>
          <cell r="R17">
            <v>0</v>
          </cell>
          <cell r="S17">
            <v>0</v>
          </cell>
          <cell r="T17" t="str">
            <v xml:space="preserve"> </v>
          </cell>
          <cell r="U17" t="str">
            <v xml:space="preserve"> </v>
          </cell>
        </row>
        <row r="18">
          <cell r="A18">
            <v>13</v>
          </cell>
          <cell r="B18">
            <v>12</v>
          </cell>
          <cell r="E18" t="str">
            <v xml:space="preserve"> </v>
          </cell>
          <cell r="F18">
            <v>0</v>
          </cell>
          <cell r="G18">
            <v>0</v>
          </cell>
          <cell r="H18">
            <v>0</v>
          </cell>
          <cell r="I18">
            <v>0</v>
          </cell>
          <cell r="J18">
            <v>0</v>
          </cell>
          <cell r="L18">
            <v>0</v>
          </cell>
          <cell r="M18">
            <v>0</v>
          </cell>
          <cell r="N18">
            <v>0</v>
          </cell>
          <cell r="O18">
            <v>0</v>
          </cell>
          <cell r="P18">
            <v>0</v>
          </cell>
          <cell r="Q18">
            <v>0</v>
          </cell>
          <cell r="R18">
            <v>0</v>
          </cell>
          <cell r="S18">
            <v>0</v>
          </cell>
          <cell r="T18" t="str">
            <v xml:space="preserve"> </v>
          </cell>
          <cell r="U18" t="str">
            <v xml:space="preserve"> </v>
          </cell>
        </row>
        <row r="19">
          <cell r="A19">
            <v>14</v>
          </cell>
          <cell r="B19">
            <v>14</v>
          </cell>
          <cell r="E19" t="str">
            <v xml:space="preserve"> </v>
          </cell>
          <cell r="F19">
            <v>0</v>
          </cell>
          <cell r="G19">
            <v>0</v>
          </cell>
          <cell r="H19">
            <v>0</v>
          </cell>
          <cell r="I19">
            <v>0</v>
          </cell>
          <cell r="J19">
            <v>0</v>
          </cell>
          <cell r="L19">
            <v>0</v>
          </cell>
          <cell r="M19">
            <v>0</v>
          </cell>
          <cell r="N19">
            <v>0</v>
          </cell>
          <cell r="O19">
            <v>0</v>
          </cell>
          <cell r="P19">
            <v>0</v>
          </cell>
          <cell r="Q19">
            <v>0</v>
          </cell>
          <cell r="R19">
            <v>0</v>
          </cell>
          <cell r="S19">
            <v>0</v>
          </cell>
          <cell r="T19" t="str">
            <v xml:space="preserve"> </v>
          </cell>
          <cell r="U19" t="str">
            <v xml:space="preserve"> </v>
          </cell>
        </row>
        <row r="20">
          <cell r="A20">
            <v>15</v>
          </cell>
          <cell r="B20">
            <v>16</v>
          </cell>
          <cell r="E20" t="str">
            <v xml:space="preserve"> </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t="str">
            <v xml:space="preserve"> </v>
          </cell>
          <cell r="U20" t="str">
            <v xml:space="preserve"> </v>
          </cell>
        </row>
        <row r="21">
          <cell r="A21">
            <v>16</v>
          </cell>
          <cell r="B21">
            <v>18</v>
          </cell>
          <cell r="E21" t="str">
            <v xml:space="preserve"> </v>
          </cell>
          <cell r="F21">
            <v>0</v>
          </cell>
          <cell r="G21">
            <v>0</v>
          </cell>
          <cell r="H21">
            <v>0</v>
          </cell>
          <cell r="I21">
            <v>0</v>
          </cell>
          <cell r="J21">
            <v>0</v>
          </cell>
          <cell r="L21">
            <v>0</v>
          </cell>
          <cell r="M21">
            <v>0</v>
          </cell>
          <cell r="N21">
            <v>0</v>
          </cell>
          <cell r="O21">
            <v>0</v>
          </cell>
          <cell r="P21">
            <v>0</v>
          </cell>
          <cell r="Q21">
            <v>0</v>
          </cell>
          <cell r="R21">
            <v>0</v>
          </cell>
          <cell r="S21">
            <v>0</v>
          </cell>
          <cell r="T21" t="str">
            <v xml:space="preserve"> </v>
          </cell>
          <cell r="U21" t="str">
            <v xml:space="preserve"> </v>
          </cell>
        </row>
        <row r="22">
          <cell r="A22">
            <v>17</v>
          </cell>
          <cell r="B22">
            <v>20</v>
          </cell>
          <cell r="E22" t="str">
            <v xml:space="preserve"> </v>
          </cell>
          <cell r="F22">
            <v>0</v>
          </cell>
          <cell r="G22">
            <v>0</v>
          </cell>
          <cell r="H22">
            <v>0</v>
          </cell>
          <cell r="I22">
            <v>0</v>
          </cell>
          <cell r="J22">
            <v>0</v>
          </cell>
          <cell r="L22">
            <v>0</v>
          </cell>
          <cell r="M22">
            <v>0</v>
          </cell>
          <cell r="N22">
            <v>0</v>
          </cell>
          <cell r="O22">
            <v>0</v>
          </cell>
          <cell r="P22">
            <v>0</v>
          </cell>
          <cell r="Q22">
            <v>0</v>
          </cell>
          <cell r="R22">
            <v>0</v>
          </cell>
          <cell r="S22">
            <v>0</v>
          </cell>
          <cell r="T22" t="str">
            <v xml:space="preserve"> </v>
          </cell>
          <cell r="U22" t="str">
            <v xml:space="preserve"> </v>
          </cell>
        </row>
        <row r="23">
          <cell r="A23">
            <v>18</v>
          </cell>
          <cell r="B23">
            <v>22</v>
          </cell>
          <cell r="E23" t="str">
            <v xml:space="preserve"> </v>
          </cell>
          <cell r="F23">
            <v>0</v>
          </cell>
          <cell r="G23">
            <v>0</v>
          </cell>
          <cell r="H23">
            <v>0</v>
          </cell>
          <cell r="I23">
            <v>0</v>
          </cell>
          <cell r="J23">
            <v>0</v>
          </cell>
          <cell r="L23">
            <v>0</v>
          </cell>
          <cell r="M23">
            <v>0</v>
          </cell>
          <cell r="N23">
            <v>0</v>
          </cell>
          <cell r="O23">
            <v>0</v>
          </cell>
          <cell r="P23">
            <v>0</v>
          </cell>
          <cell r="Q23">
            <v>0</v>
          </cell>
          <cell r="R23">
            <v>0</v>
          </cell>
          <cell r="S23">
            <v>0</v>
          </cell>
          <cell r="T23" t="str">
            <v xml:space="preserve"> </v>
          </cell>
          <cell r="U23" t="str">
            <v xml:space="preserve"> </v>
          </cell>
        </row>
        <row r="24">
          <cell r="A24">
            <v>19</v>
          </cell>
          <cell r="B24">
            <v>24</v>
          </cell>
          <cell r="E24" t="str">
            <v xml:space="preserve"> </v>
          </cell>
          <cell r="F24">
            <v>0</v>
          </cell>
          <cell r="G24">
            <v>0</v>
          </cell>
          <cell r="H24">
            <v>0</v>
          </cell>
          <cell r="I24">
            <v>0</v>
          </cell>
          <cell r="J24">
            <v>0</v>
          </cell>
          <cell r="L24">
            <v>0</v>
          </cell>
          <cell r="M24">
            <v>0</v>
          </cell>
          <cell r="N24">
            <v>0</v>
          </cell>
          <cell r="O24">
            <v>0</v>
          </cell>
          <cell r="P24">
            <v>0</v>
          </cell>
          <cell r="Q24">
            <v>0</v>
          </cell>
          <cell r="R24">
            <v>0</v>
          </cell>
          <cell r="S24">
            <v>0</v>
          </cell>
          <cell r="T24" t="str">
            <v xml:space="preserve"> </v>
          </cell>
          <cell r="U24" t="str">
            <v xml:space="preserve"> </v>
          </cell>
        </row>
        <row r="25">
          <cell r="A25">
            <v>20</v>
          </cell>
          <cell r="B25">
            <v>26</v>
          </cell>
          <cell r="E25" t="str">
            <v xml:space="preserve"> </v>
          </cell>
          <cell r="F25">
            <v>0</v>
          </cell>
          <cell r="G25">
            <v>0</v>
          </cell>
          <cell r="H25">
            <v>0</v>
          </cell>
          <cell r="I25">
            <v>0</v>
          </cell>
          <cell r="J25">
            <v>0</v>
          </cell>
          <cell r="L25">
            <v>0</v>
          </cell>
          <cell r="M25">
            <v>0</v>
          </cell>
          <cell r="N25">
            <v>0</v>
          </cell>
          <cell r="O25">
            <v>0</v>
          </cell>
          <cell r="P25">
            <v>0</v>
          </cell>
          <cell r="Q25">
            <v>0</v>
          </cell>
          <cell r="R25">
            <v>0</v>
          </cell>
          <cell r="S25">
            <v>0</v>
          </cell>
          <cell r="T25" t="str">
            <v xml:space="preserve"> </v>
          </cell>
          <cell r="U25" t="str">
            <v xml:space="preserve"> </v>
          </cell>
        </row>
        <row r="26">
          <cell r="A26">
            <v>21</v>
          </cell>
          <cell r="B26">
            <v>28</v>
          </cell>
          <cell r="E26" t="str">
            <v xml:space="preserve"> </v>
          </cell>
          <cell r="F26">
            <v>0</v>
          </cell>
          <cell r="G26">
            <v>0</v>
          </cell>
          <cell r="H26">
            <v>0</v>
          </cell>
          <cell r="I26">
            <v>0</v>
          </cell>
          <cell r="J26">
            <v>0</v>
          </cell>
          <cell r="L26">
            <v>0</v>
          </cell>
          <cell r="M26">
            <v>0</v>
          </cell>
          <cell r="N26">
            <v>0</v>
          </cell>
          <cell r="O26">
            <v>0</v>
          </cell>
          <cell r="P26">
            <v>0</v>
          </cell>
          <cell r="Q26">
            <v>0</v>
          </cell>
          <cell r="R26">
            <v>0</v>
          </cell>
          <cell r="S26">
            <v>0</v>
          </cell>
          <cell r="T26" t="str">
            <v xml:space="preserve"> </v>
          </cell>
          <cell r="U26" t="str">
            <v xml:space="preserve"> </v>
          </cell>
        </row>
        <row r="27">
          <cell r="A27">
            <v>22</v>
          </cell>
          <cell r="B27">
            <v>30</v>
          </cell>
          <cell r="E27" t="str">
            <v xml:space="preserve"> </v>
          </cell>
          <cell r="F27">
            <v>0</v>
          </cell>
          <cell r="G27">
            <v>0</v>
          </cell>
          <cell r="H27">
            <v>0</v>
          </cell>
          <cell r="I27">
            <v>0</v>
          </cell>
          <cell r="J27">
            <v>0</v>
          </cell>
          <cell r="L27">
            <v>0</v>
          </cell>
          <cell r="M27">
            <v>0</v>
          </cell>
          <cell r="N27">
            <v>0</v>
          </cell>
          <cell r="O27">
            <v>0</v>
          </cell>
          <cell r="P27">
            <v>0</v>
          </cell>
          <cell r="Q27">
            <v>0</v>
          </cell>
          <cell r="R27">
            <v>0</v>
          </cell>
          <cell r="S27">
            <v>0</v>
          </cell>
          <cell r="T27" t="str">
            <v xml:space="preserve"> </v>
          </cell>
          <cell r="U27" t="str">
            <v xml:space="preserve"> </v>
          </cell>
        </row>
        <row r="28">
          <cell r="A28">
            <v>23</v>
          </cell>
          <cell r="B28">
            <v>32</v>
          </cell>
          <cell r="E28" t="str">
            <v xml:space="preserve"> </v>
          </cell>
          <cell r="F28">
            <v>0</v>
          </cell>
          <cell r="G28">
            <v>0</v>
          </cell>
          <cell r="H28">
            <v>0</v>
          </cell>
          <cell r="I28">
            <v>0</v>
          </cell>
          <cell r="J28">
            <v>0</v>
          </cell>
          <cell r="L28">
            <v>0</v>
          </cell>
          <cell r="M28">
            <v>0</v>
          </cell>
          <cell r="N28">
            <v>0</v>
          </cell>
          <cell r="O28">
            <v>0</v>
          </cell>
          <cell r="P28">
            <v>0</v>
          </cell>
          <cell r="Q28">
            <v>0</v>
          </cell>
          <cell r="R28">
            <v>0</v>
          </cell>
          <cell r="S28">
            <v>0</v>
          </cell>
          <cell r="T28" t="str">
            <v xml:space="preserve"> </v>
          </cell>
          <cell r="U28" t="str">
            <v xml:space="preserve"> </v>
          </cell>
        </row>
        <row r="29">
          <cell r="A29">
            <v>24</v>
          </cell>
          <cell r="B29">
            <v>34</v>
          </cell>
          <cell r="E29" t="str">
            <v xml:space="preserve"> </v>
          </cell>
          <cell r="F29">
            <v>0</v>
          </cell>
          <cell r="G29">
            <v>0</v>
          </cell>
          <cell r="H29">
            <v>0</v>
          </cell>
          <cell r="I29">
            <v>0</v>
          </cell>
          <cell r="J29">
            <v>0</v>
          </cell>
          <cell r="L29">
            <v>0</v>
          </cell>
          <cell r="M29">
            <v>0</v>
          </cell>
          <cell r="N29">
            <v>0</v>
          </cell>
          <cell r="O29">
            <v>0</v>
          </cell>
          <cell r="P29">
            <v>0</v>
          </cell>
          <cell r="Q29">
            <v>0</v>
          </cell>
          <cell r="R29">
            <v>0</v>
          </cell>
          <cell r="S29">
            <v>0</v>
          </cell>
          <cell r="T29" t="str">
            <v xml:space="preserve"> </v>
          </cell>
          <cell r="U29" t="str">
            <v xml:space="preserve"> </v>
          </cell>
        </row>
        <row r="30">
          <cell r="A30">
            <v>25</v>
          </cell>
          <cell r="B30">
            <v>36</v>
          </cell>
          <cell r="E30" t="str">
            <v xml:space="preserve"> </v>
          </cell>
          <cell r="F30">
            <v>0</v>
          </cell>
          <cell r="G30">
            <v>0</v>
          </cell>
          <cell r="H30">
            <v>0</v>
          </cell>
          <cell r="I30">
            <v>0</v>
          </cell>
          <cell r="J30">
            <v>0</v>
          </cell>
          <cell r="L30">
            <v>0</v>
          </cell>
          <cell r="M30">
            <v>0</v>
          </cell>
          <cell r="N30">
            <v>0</v>
          </cell>
          <cell r="O30">
            <v>0</v>
          </cell>
          <cell r="P30">
            <v>0</v>
          </cell>
          <cell r="Q30">
            <v>0</v>
          </cell>
          <cell r="R30">
            <v>0</v>
          </cell>
          <cell r="S30">
            <v>0</v>
          </cell>
          <cell r="T30" t="str">
            <v xml:space="preserve"> </v>
          </cell>
          <cell r="U30" t="str">
            <v xml:space="preserve"> </v>
          </cell>
        </row>
        <row r="31">
          <cell r="A31">
            <v>26</v>
          </cell>
          <cell r="B31">
            <v>38</v>
          </cell>
          <cell r="E31" t="str">
            <v xml:space="preserve"> </v>
          </cell>
          <cell r="F31">
            <v>0</v>
          </cell>
          <cell r="G31">
            <v>0</v>
          </cell>
          <cell r="H31">
            <v>0</v>
          </cell>
          <cell r="I31">
            <v>0</v>
          </cell>
          <cell r="J31">
            <v>0</v>
          </cell>
          <cell r="L31">
            <v>0</v>
          </cell>
          <cell r="M31">
            <v>0</v>
          </cell>
          <cell r="N31">
            <v>0</v>
          </cell>
          <cell r="O31">
            <v>0</v>
          </cell>
          <cell r="P31">
            <v>0</v>
          </cell>
          <cell r="Q31">
            <v>0</v>
          </cell>
          <cell r="R31">
            <v>0</v>
          </cell>
          <cell r="S31">
            <v>0</v>
          </cell>
          <cell r="T31" t="str">
            <v xml:space="preserve"> </v>
          </cell>
          <cell r="U31" t="str">
            <v xml:space="preserve"> </v>
          </cell>
        </row>
        <row r="32">
          <cell r="A32">
            <v>27</v>
          </cell>
          <cell r="B32">
            <v>40</v>
          </cell>
          <cell r="E32" t="str">
            <v xml:space="preserve"> </v>
          </cell>
          <cell r="F32">
            <v>0</v>
          </cell>
          <cell r="G32">
            <v>0</v>
          </cell>
          <cell r="H32">
            <v>0</v>
          </cell>
          <cell r="I32">
            <v>0</v>
          </cell>
          <cell r="J32">
            <v>0</v>
          </cell>
          <cell r="L32">
            <v>0</v>
          </cell>
          <cell r="M32">
            <v>0</v>
          </cell>
          <cell r="N32">
            <v>0</v>
          </cell>
          <cell r="O32">
            <v>0</v>
          </cell>
          <cell r="P32">
            <v>0</v>
          </cell>
          <cell r="Q32">
            <v>0</v>
          </cell>
          <cell r="R32">
            <v>0</v>
          </cell>
          <cell r="S32">
            <v>0</v>
          </cell>
          <cell r="T32" t="str">
            <v xml:space="preserve"> </v>
          </cell>
          <cell r="U32" t="str">
            <v xml:space="preserve"> </v>
          </cell>
        </row>
        <row r="33">
          <cell r="A33">
            <v>28</v>
          </cell>
          <cell r="B33">
            <v>42</v>
          </cell>
          <cell r="E33" t="str">
            <v xml:space="preserve"> </v>
          </cell>
          <cell r="F33">
            <v>0</v>
          </cell>
          <cell r="G33">
            <v>0</v>
          </cell>
          <cell r="H33">
            <v>0</v>
          </cell>
          <cell r="I33">
            <v>0</v>
          </cell>
          <cell r="J33">
            <v>0</v>
          </cell>
          <cell r="L33">
            <v>0</v>
          </cell>
          <cell r="M33">
            <v>0</v>
          </cell>
          <cell r="N33">
            <v>0</v>
          </cell>
          <cell r="O33">
            <v>0</v>
          </cell>
          <cell r="P33">
            <v>0</v>
          </cell>
          <cell r="Q33">
            <v>0</v>
          </cell>
          <cell r="R33">
            <v>0</v>
          </cell>
          <cell r="S33">
            <v>0</v>
          </cell>
          <cell r="T33" t="str">
            <v xml:space="preserve"> </v>
          </cell>
          <cell r="U33" t="str">
            <v xml:space="preserve"> </v>
          </cell>
        </row>
        <row r="34">
          <cell r="A34">
            <v>29</v>
          </cell>
          <cell r="B34">
            <v>44</v>
          </cell>
          <cell r="E34" t="str">
            <v xml:space="preserve"> </v>
          </cell>
          <cell r="F34">
            <v>0</v>
          </cell>
          <cell r="G34">
            <v>0</v>
          </cell>
          <cell r="H34">
            <v>0</v>
          </cell>
          <cell r="I34">
            <v>0</v>
          </cell>
          <cell r="J34">
            <v>0</v>
          </cell>
          <cell r="L34">
            <v>0</v>
          </cell>
          <cell r="M34">
            <v>0</v>
          </cell>
          <cell r="N34">
            <v>0</v>
          </cell>
          <cell r="O34">
            <v>0</v>
          </cell>
          <cell r="P34">
            <v>0</v>
          </cell>
          <cell r="Q34">
            <v>0</v>
          </cell>
          <cell r="R34">
            <v>0</v>
          </cell>
          <cell r="S34">
            <v>0</v>
          </cell>
          <cell r="T34" t="str">
            <v xml:space="preserve"> </v>
          </cell>
          <cell r="U34" t="str">
            <v xml:space="preserve"> </v>
          </cell>
        </row>
        <row r="35">
          <cell r="A35">
            <v>30</v>
          </cell>
          <cell r="B35">
            <v>46</v>
          </cell>
          <cell r="E35" t="str">
            <v xml:space="preserve"> </v>
          </cell>
          <cell r="F35">
            <v>0</v>
          </cell>
          <cell r="G35">
            <v>0</v>
          </cell>
          <cell r="H35">
            <v>0</v>
          </cell>
          <cell r="I35">
            <v>0</v>
          </cell>
          <cell r="J35">
            <v>0</v>
          </cell>
          <cell r="L35">
            <v>0</v>
          </cell>
          <cell r="M35">
            <v>0</v>
          </cell>
          <cell r="N35">
            <v>0</v>
          </cell>
          <cell r="O35">
            <v>0</v>
          </cell>
          <cell r="P35">
            <v>0</v>
          </cell>
          <cell r="Q35">
            <v>0</v>
          </cell>
          <cell r="R35">
            <v>0</v>
          </cell>
          <cell r="S35">
            <v>0</v>
          </cell>
          <cell r="T35" t="str">
            <v xml:space="preserve"> </v>
          </cell>
          <cell r="U35" t="str">
            <v xml:space="preserve"> </v>
          </cell>
        </row>
        <row r="36">
          <cell r="A36">
            <v>31</v>
          </cell>
          <cell r="B36">
            <v>48</v>
          </cell>
          <cell r="E36" t="str">
            <v xml:space="preserve"> </v>
          </cell>
          <cell r="F36">
            <v>0</v>
          </cell>
          <cell r="G36">
            <v>0</v>
          </cell>
          <cell r="H36">
            <v>0</v>
          </cell>
          <cell r="I36">
            <v>0</v>
          </cell>
          <cell r="J36">
            <v>0</v>
          </cell>
          <cell r="L36">
            <v>0</v>
          </cell>
          <cell r="M36">
            <v>0</v>
          </cell>
          <cell r="N36">
            <v>0</v>
          </cell>
          <cell r="O36">
            <v>0</v>
          </cell>
          <cell r="P36">
            <v>0</v>
          </cell>
          <cell r="Q36">
            <v>0</v>
          </cell>
          <cell r="R36">
            <v>0</v>
          </cell>
          <cell r="S36">
            <v>0</v>
          </cell>
          <cell r="T36" t="str">
            <v xml:space="preserve"> </v>
          </cell>
          <cell r="U36" t="str">
            <v xml:space="preserve"> </v>
          </cell>
        </row>
        <row r="37">
          <cell r="A37">
            <v>32</v>
          </cell>
          <cell r="B37">
            <v>52</v>
          </cell>
          <cell r="E37" t="str">
            <v xml:space="preserve"> </v>
          </cell>
          <cell r="F37">
            <v>0</v>
          </cell>
          <cell r="G37">
            <v>0</v>
          </cell>
          <cell r="H37">
            <v>0</v>
          </cell>
          <cell r="I37">
            <v>0</v>
          </cell>
          <cell r="J37">
            <v>0</v>
          </cell>
          <cell r="L37">
            <v>0</v>
          </cell>
          <cell r="M37">
            <v>0</v>
          </cell>
          <cell r="N37">
            <v>0</v>
          </cell>
          <cell r="O37">
            <v>0</v>
          </cell>
          <cell r="P37">
            <v>0</v>
          </cell>
          <cell r="Q37">
            <v>0</v>
          </cell>
          <cell r="R37">
            <v>0</v>
          </cell>
          <cell r="S37">
            <v>0</v>
          </cell>
          <cell r="T37" t="str">
            <v xml:space="preserve"> </v>
          </cell>
          <cell r="U37" t="str">
            <v xml:space="preserve"> </v>
          </cell>
        </row>
        <row r="38">
          <cell r="A38">
            <v>33</v>
          </cell>
          <cell r="B38">
            <v>56</v>
          </cell>
          <cell r="E38" t="str">
            <v xml:space="preserve"> </v>
          </cell>
          <cell r="F38">
            <v>0</v>
          </cell>
          <cell r="G38">
            <v>0</v>
          </cell>
          <cell r="H38">
            <v>0</v>
          </cell>
          <cell r="I38">
            <v>0</v>
          </cell>
          <cell r="J38">
            <v>0</v>
          </cell>
          <cell r="L38">
            <v>0</v>
          </cell>
          <cell r="M38">
            <v>0</v>
          </cell>
          <cell r="N38">
            <v>0</v>
          </cell>
          <cell r="O38">
            <v>0</v>
          </cell>
          <cell r="P38">
            <v>0</v>
          </cell>
          <cell r="Q38">
            <v>0</v>
          </cell>
          <cell r="R38">
            <v>0</v>
          </cell>
          <cell r="S38">
            <v>0</v>
          </cell>
          <cell r="T38" t="str">
            <v xml:space="preserve"> </v>
          </cell>
          <cell r="U38" t="str">
            <v xml:space="preserve"> </v>
          </cell>
        </row>
        <row r="39">
          <cell r="A39">
            <v>34</v>
          </cell>
          <cell r="B39">
            <v>60</v>
          </cell>
          <cell r="E39" t="str">
            <v xml:space="preserve"> </v>
          </cell>
          <cell r="F39">
            <v>0</v>
          </cell>
          <cell r="G39">
            <v>0</v>
          </cell>
          <cell r="H39">
            <v>0</v>
          </cell>
          <cell r="I39">
            <v>0</v>
          </cell>
          <cell r="J39">
            <v>0</v>
          </cell>
          <cell r="L39">
            <v>0</v>
          </cell>
          <cell r="M39">
            <v>0</v>
          </cell>
          <cell r="N39">
            <v>0</v>
          </cell>
          <cell r="O39">
            <v>0</v>
          </cell>
          <cell r="P39">
            <v>0</v>
          </cell>
          <cell r="Q39">
            <v>0</v>
          </cell>
          <cell r="R39">
            <v>0</v>
          </cell>
          <cell r="S39">
            <v>0</v>
          </cell>
          <cell r="T39" t="str">
            <v xml:space="preserve"> </v>
          </cell>
          <cell r="U39" t="str">
            <v xml:space="preserve"> </v>
          </cell>
        </row>
        <row r="40">
          <cell r="A40">
            <v>35</v>
          </cell>
          <cell r="B40">
            <v>64</v>
          </cell>
          <cell r="E40" t="str">
            <v xml:space="preserve"> </v>
          </cell>
          <cell r="F40">
            <v>0</v>
          </cell>
          <cell r="G40">
            <v>0</v>
          </cell>
          <cell r="H40">
            <v>0</v>
          </cell>
          <cell r="I40">
            <v>0</v>
          </cell>
          <cell r="J40">
            <v>0</v>
          </cell>
          <cell r="L40">
            <v>0</v>
          </cell>
          <cell r="M40">
            <v>0</v>
          </cell>
          <cell r="N40">
            <v>0</v>
          </cell>
          <cell r="O40">
            <v>0</v>
          </cell>
          <cell r="P40">
            <v>0</v>
          </cell>
          <cell r="Q40">
            <v>0</v>
          </cell>
          <cell r="R40">
            <v>0</v>
          </cell>
          <cell r="S40">
            <v>0</v>
          </cell>
          <cell r="T40" t="str">
            <v xml:space="preserve"> </v>
          </cell>
          <cell r="U40" t="str">
            <v xml:space="preserve"> </v>
          </cell>
        </row>
        <row r="41">
          <cell r="A41">
            <v>36</v>
          </cell>
          <cell r="B41">
            <v>68</v>
          </cell>
          <cell r="E41" t="str">
            <v xml:space="preserve"> </v>
          </cell>
          <cell r="F41">
            <v>0</v>
          </cell>
          <cell r="G41">
            <v>0</v>
          </cell>
          <cell r="H41">
            <v>0</v>
          </cell>
          <cell r="I41">
            <v>0</v>
          </cell>
          <cell r="J41">
            <v>0</v>
          </cell>
          <cell r="L41">
            <v>0</v>
          </cell>
          <cell r="M41">
            <v>0</v>
          </cell>
          <cell r="N41">
            <v>0</v>
          </cell>
          <cell r="O41">
            <v>0</v>
          </cell>
          <cell r="P41">
            <v>0</v>
          </cell>
          <cell r="Q41">
            <v>0</v>
          </cell>
          <cell r="R41">
            <v>0</v>
          </cell>
          <cell r="S41">
            <v>0</v>
          </cell>
          <cell r="T41" t="str">
            <v xml:space="preserve"> </v>
          </cell>
          <cell r="U41" t="str">
            <v xml:space="preserve"> </v>
          </cell>
        </row>
        <row r="42">
          <cell r="A42">
            <v>37</v>
          </cell>
          <cell r="B42">
            <v>72</v>
          </cell>
          <cell r="E42" t="str">
            <v xml:space="preserve"> </v>
          </cell>
          <cell r="F42">
            <v>0</v>
          </cell>
          <cell r="G42">
            <v>0</v>
          </cell>
          <cell r="H42">
            <v>0</v>
          </cell>
          <cell r="I42">
            <v>0</v>
          </cell>
          <cell r="J42">
            <v>0</v>
          </cell>
          <cell r="L42">
            <v>0</v>
          </cell>
          <cell r="M42">
            <v>0</v>
          </cell>
          <cell r="N42">
            <v>0</v>
          </cell>
          <cell r="O42">
            <v>0</v>
          </cell>
          <cell r="P42">
            <v>0</v>
          </cell>
          <cell r="Q42">
            <v>0</v>
          </cell>
          <cell r="R42">
            <v>0</v>
          </cell>
          <cell r="S42">
            <v>0</v>
          </cell>
          <cell r="T42" t="str">
            <v xml:space="preserve"> </v>
          </cell>
          <cell r="U42" t="str">
            <v xml:space="preserve"> </v>
          </cell>
        </row>
        <row r="43">
          <cell r="A43">
            <v>38</v>
          </cell>
          <cell r="B43">
            <v>76</v>
          </cell>
          <cell r="E43" t="str">
            <v xml:space="preserve"> </v>
          </cell>
          <cell r="F43">
            <v>0</v>
          </cell>
          <cell r="G43">
            <v>0</v>
          </cell>
          <cell r="H43">
            <v>0</v>
          </cell>
          <cell r="I43">
            <v>0</v>
          </cell>
          <cell r="J43">
            <v>0</v>
          </cell>
          <cell r="L43">
            <v>0</v>
          </cell>
          <cell r="M43">
            <v>0</v>
          </cell>
          <cell r="N43">
            <v>0</v>
          </cell>
          <cell r="O43">
            <v>0</v>
          </cell>
          <cell r="P43">
            <v>0</v>
          </cell>
          <cell r="Q43">
            <v>0</v>
          </cell>
          <cell r="R43">
            <v>0</v>
          </cell>
          <cell r="S43">
            <v>0</v>
          </cell>
          <cell r="T43" t="str">
            <v xml:space="preserve"> </v>
          </cell>
          <cell r="U43" t="str">
            <v xml:space="preserve"> </v>
          </cell>
        </row>
        <row r="44">
          <cell r="A44">
            <v>39</v>
          </cell>
          <cell r="B44">
            <v>80</v>
          </cell>
          <cell r="E44" t="str">
            <v xml:space="preserve"> </v>
          </cell>
          <cell r="F44">
            <v>0</v>
          </cell>
          <cell r="G44">
            <v>0</v>
          </cell>
          <cell r="H44">
            <v>0</v>
          </cell>
          <cell r="I44">
            <v>0</v>
          </cell>
          <cell r="J44">
            <v>0</v>
          </cell>
          <cell r="L44">
            <v>0</v>
          </cell>
          <cell r="M44">
            <v>0</v>
          </cell>
          <cell r="N44">
            <v>0</v>
          </cell>
          <cell r="O44">
            <v>0</v>
          </cell>
          <cell r="P44">
            <v>0</v>
          </cell>
          <cell r="Q44">
            <v>0</v>
          </cell>
          <cell r="R44">
            <v>0</v>
          </cell>
          <cell r="S44">
            <v>0</v>
          </cell>
          <cell r="T44" t="str">
            <v xml:space="preserve"> </v>
          </cell>
          <cell r="U44" t="str">
            <v xml:space="preserve"> </v>
          </cell>
        </row>
        <row r="45">
          <cell r="A45" t="str">
            <v>AVE.</v>
          </cell>
          <cell r="B45" t="str">
            <v xml:space="preserve"> </v>
          </cell>
          <cell r="D45">
            <v>0</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t="str">
            <v xml:space="preserve"> </v>
          </cell>
          <cell r="U45" t="str">
            <v xml:space="preserve"> </v>
          </cell>
        </row>
        <row r="47">
          <cell r="A47" t="str">
            <v>*** Reference Paper : Predict Fittings For Piping Systems ***</v>
          </cell>
          <cell r="K47" t="str">
            <v>Fc = 0.25  Utility Supply Lines, OSBL</v>
          </cell>
          <cell r="R47" t="str">
            <v>Fc = 2.00  Manifold Type Piping</v>
          </cell>
        </row>
        <row r="48">
          <cell r="D48" t="str">
            <v xml:space="preserve">   By William B. Hooper , Monsanto Co.</v>
          </cell>
          <cell r="K48" t="str">
            <v xml:space="preserve">        (PIPE JOINT FACTOR Fp = 100%)</v>
          </cell>
          <cell r="R48" t="str">
            <v xml:space="preserve">        (PIPE JOINT FACTOR Fp = 0%)</v>
          </cell>
        </row>
        <row r="49">
          <cell r="K49" t="str">
            <v>Fc = 0.50  Long, Straight Piping Run</v>
          </cell>
          <cell r="R49" t="str">
            <v>Fc = 4.00  Very Complex Manifolds</v>
          </cell>
        </row>
        <row r="50">
          <cell r="A50" t="str">
            <v>The number and types of pipe fittings can be estimated by this method</v>
          </cell>
          <cell r="K50" t="str">
            <v xml:space="preserve">        (PIPE JOINT FACTOR Fp = 100%)</v>
          </cell>
          <cell r="R50" t="str">
            <v xml:space="preserve">        (PIPE JOINT FACTOR Fp = 0%)</v>
          </cell>
        </row>
        <row r="51">
          <cell r="A51" t="str">
            <v>long before the piping isometrics are done. Pipe size and a general idea</v>
          </cell>
          <cell r="K51" t="str">
            <v>Fc = 1.00  Normal Piping</v>
          </cell>
        </row>
        <row r="52">
          <cell r="A52" t="str">
            <v>of the system's complexity are all that is needed.</v>
          </cell>
          <cell r="K52" t="str">
            <v xml:space="preserve">        (PIPE JOINT FACTOR Fp = 10%)</v>
          </cell>
        </row>
      </sheetData>
      <sheetData sheetId="3">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Y381"/>
  <sheetViews>
    <sheetView workbookViewId="0"/>
  </sheetViews>
  <sheetFormatPr defaultRowHeight="20.100000000000001" customHeight="1"/>
  <cols>
    <col min="1" max="1" width="3.5" style="32" customWidth="1"/>
    <col min="2" max="2" width="0.125" style="32" hidden="1" customWidth="1"/>
    <col min="3" max="3" width="3.25" style="32" customWidth="1"/>
    <col min="4" max="4" width="12.25" style="32" customWidth="1"/>
    <col min="5" max="5" width="8.5" style="32" customWidth="1"/>
    <col min="6" max="6" width="10.5" style="32" customWidth="1"/>
    <col min="7" max="7" width="9.625" style="52" customWidth="1"/>
    <col min="8" max="8" width="8.875" style="52" customWidth="1"/>
    <col min="9" max="9" width="7.75" style="32" customWidth="1"/>
    <col min="10" max="10" width="5.625" style="32" customWidth="1"/>
    <col min="11" max="11" width="6.375" style="32" customWidth="1"/>
    <col min="12" max="12" width="8.5" style="56" customWidth="1"/>
    <col min="13" max="13" width="7.375" style="56" customWidth="1"/>
    <col min="14" max="14" width="6.25" style="32" customWidth="1"/>
    <col min="15" max="15" width="8.5" style="32" customWidth="1"/>
    <col min="16" max="16" width="7.375" style="32" customWidth="1"/>
    <col min="17" max="17" width="7.5" style="32" customWidth="1"/>
    <col min="18" max="18" width="8.75" style="32" customWidth="1"/>
    <col min="19" max="19" width="11.25" style="32" customWidth="1"/>
    <col min="20" max="21" width="9" style="32"/>
    <col min="22" max="23" width="10.125" style="32" bestFit="1" customWidth="1"/>
    <col min="24" max="24" width="9.125" style="32" bestFit="1" customWidth="1"/>
    <col min="25" max="25" width="9.25" style="32" bestFit="1" customWidth="1"/>
    <col min="26" max="16384" width="9" style="32"/>
  </cols>
  <sheetData>
    <row r="3" spans="1:20" ht="24.75" customHeight="1">
      <c r="A3" s="201" t="s">
        <v>87</v>
      </c>
    </row>
    <row r="4" spans="1:20" s="205" customFormat="1" ht="21.75" customHeight="1">
      <c r="A4" s="204"/>
      <c r="B4" s="204"/>
      <c r="C4" s="204"/>
      <c r="D4" s="204"/>
      <c r="E4" s="202" t="s">
        <v>86</v>
      </c>
      <c r="F4" s="202"/>
      <c r="G4" s="202"/>
      <c r="H4" s="202"/>
      <c r="I4" s="202"/>
      <c r="J4" s="202"/>
      <c r="K4" s="202"/>
      <c r="L4" s="202"/>
      <c r="M4" s="202"/>
      <c r="N4" s="202"/>
      <c r="O4" s="202"/>
      <c r="P4" s="202"/>
      <c r="Q4" s="202"/>
      <c r="R4" s="202"/>
    </row>
    <row r="5" spans="1:20" ht="18" customHeight="1">
      <c r="A5" s="673" t="s">
        <v>221</v>
      </c>
      <c r="B5" s="673"/>
      <c r="C5" s="673"/>
      <c r="D5" s="673"/>
      <c r="E5" s="673"/>
      <c r="F5" s="673"/>
      <c r="G5" s="673"/>
      <c r="H5" s="673"/>
      <c r="I5" s="673"/>
      <c r="J5" s="673"/>
      <c r="K5" s="673"/>
      <c r="L5" s="673"/>
      <c r="M5" s="673"/>
      <c r="N5" s="673"/>
      <c r="O5" s="673"/>
      <c r="P5" s="673"/>
      <c r="Q5" s="673"/>
      <c r="R5" s="673"/>
    </row>
    <row r="6" spans="1:20" ht="13.5" customHeight="1">
      <c r="B6" s="201"/>
      <c r="C6" s="201"/>
      <c r="D6" s="201"/>
      <c r="E6" s="175"/>
      <c r="F6" s="175"/>
      <c r="G6" s="176"/>
      <c r="H6" s="176"/>
      <c r="I6" s="175"/>
      <c r="J6" s="175"/>
      <c r="K6" s="175"/>
      <c r="L6" s="177"/>
      <c r="M6" s="177"/>
      <c r="N6" s="175"/>
      <c r="O6" s="175"/>
      <c r="P6" s="175"/>
      <c r="Q6" s="175"/>
      <c r="R6" s="175"/>
    </row>
    <row r="7" spans="1:20" s="65" customFormat="1" ht="14.1" customHeight="1">
      <c r="A7" s="290" t="s">
        <v>0</v>
      </c>
      <c r="B7" s="296"/>
      <c r="C7" s="297" t="s">
        <v>1</v>
      </c>
      <c r="D7" s="298"/>
      <c r="E7" s="674" t="s">
        <v>91</v>
      </c>
      <c r="F7" s="675"/>
      <c r="G7" s="676" t="s">
        <v>2</v>
      </c>
      <c r="H7" s="676"/>
      <c r="I7" s="677" t="s">
        <v>3</v>
      </c>
      <c r="J7" s="678"/>
      <c r="K7" s="677" t="s">
        <v>49</v>
      </c>
      <c r="L7" s="678"/>
      <c r="M7" s="676" t="s">
        <v>50</v>
      </c>
      <c r="N7" s="676"/>
      <c r="O7" s="679" t="s">
        <v>4</v>
      </c>
      <c r="P7" s="680"/>
      <c r="Q7" s="676" t="s">
        <v>5</v>
      </c>
      <c r="R7" s="676"/>
    </row>
    <row r="8" spans="1:20" s="65" customFormat="1" ht="14.1" customHeight="1">
      <c r="A8" s="299"/>
      <c r="B8" s="300"/>
      <c r="C8" s="301" t="s">
        <v>6</v>
      </c>
      <c r="D8" s="686" t="s">
        <v>12</v>
      </c>
      <c r="E8" s="297" t="s">
        <v>0</v>
      </c>
      <c r="F8" s="297" t="s">
        <v>7</v>
      </c>
      <c r="G8" s="297" t="s">
        <v>0</v>
      </c>
      <c r="H8" s="297" t="s">
        <v>7</v>
      </c>
      <c r="I8" s="297" t="s">
        <v>0</v>
      </c>
      <c r="J8" s="297" t="s">
        <v>90</v>
      </c>
      <c r="K8" s="297" t="s">
        <v>0</v>
      </c>
      <c r="L8" s="297" t="s">
        <v>7</v>
      </c>
      <c r="M8" s="297" t="s">
        <v>0</v>
      </c>
      <c r="N8" s="297" t="s">
        <v>90</v>
      </c>
      <c r="O8" s="302" t="s">
        <v>0</v>
      </c>
      <c r="P8" s="297" t="s">
        <v>7</v>
      </c>
      <c r="Q8" s="297" t="s">
        <v>0</v>
      </c>
      <c r="R8" s="297" t="s">
        <v>90</v>
      </c>
    </row>
    <row r="9" spans="1:20" s="65" customFormat="1" ht="14.1" customHeight="1">
      <c r="A9" s="303"/>
      <c r="B9" s="304"/>
      <c r="C9" s="305"/>
      <c r="D9" s="687"/>
      <c r="E9" s="189" t="s">
        <v>8</v>
      </c>
      <c r="F9" s="189" t="s">
        <v>8</v>
      </c>
      <c r="G9" s="189" t="s">
        <v>8</v>
      </c>
      <c r="H9" s="189" t="s">
        <v>8</v>
      </c>
      <c r="I9" s="189" t="s">
        <v>9</v>
      </c>
      <c r="J9" s="189" t="s">
        <v>9</v>
      </c>
      <c r="K9" s="189" t="s">
        <v>73</v>
      </c>
      <c r="L9" s="189" t="s">
        <v>73</v>
      </c>
      <c r="M9" s="335" t="s">
        <v>74</v>
      </c>
      <c r="N9" s="335" t="s">
        <v>74</v>
      </c>
      <c r="O9" s="336" t="s">
        <v>10</v>
      </c>
      <c r="P9" s="336" t="s">
        <v>10</v>
      </c>
      <c r="Q9" s="335" t="s">
        <v>11</v>
      </c>
      <c r="R9" s="335" t="s">
        <v>11</v>
      </c>
    </row>
    <row r="10" spans="1:20" s="65" customFormat="1" ht="15.95" customHeight="1">
      <c r="A10" s="269"/>
      <c r="B10" s="208"/>
      <c r="C10" s="187"/>
      <c r="D10" s="306"/>
      <c r="E10" s="688"/>
      <c r="F10" s="307"/>
      <c r="G10" s="308"/>
      <c r="H10" s="307"/>
      <c r="I10" s="690"/>
      <c r="J10" s="307"/>
      <c r="K10" s="684"/>
      <c r="L10" s="307"/>
      <c r="M10" s="682"/>
      <c r="N10" s="307"/>
      <c r="O10" s="684"/>
      <c r="P10" s="307"/>
      <c r="Q10" s="682"/>
      <c r="R10" s="307"/>
      <c r="S10" s="65">
        <v>954</v>
      </c>
      <c r="T10" s="65">
        <v>878</v>
      </c>
    </row>
    <row r="11" spans="1:20" s="65" customFormat="1" ht="15.95" customHeight="1">
      <c r="A11" s="188"/>
      <c r="B11" s="208"/>
      <c r="C11" s="187"/>
      <c r="D11" s="306"/>
      <c r="E11" s="689"/>
      <c r="F11" s="307"/>
      <c r="G11" s="307"/>
      <c r="H11" s="307"/>
      <c r="I11" s="691"/>
      <c r="J11" s="307"/>
      <c r="K11" s="685"/>
      <c r="L11" s="307"/>
      <c r="M11" s="683"/>
      <c r="N11" s="307"/>
      <c r="O11" s="685"/>
      <c r="P11" s="307"/>
      <c r="Q11" s="683"/>
      <c r="R11" s="307"/>
    </row>
    <row r="12" spans="1:20" s="65" customFormat="1" ht="24.75" customHeight="1">
      <c r="A12" s="178"/>
      <c r="B12" s="179"/>
      <c r="C12" s="178"/>
      <c r="D12" s="178" t="s">
        <v>100</v>
      </c>
      <c r="E12" s="276">
        <v>0</v>
      </c>
      <c r="F12" s="276">
        <f>E12</f>
        <v>0</v>
      </c>
      <c r="G12" s="276">
        <v>0</v>
      </c>
      <c r="H12" s="276">
        <f>G12</f>
        <v>0</v>
      </c>
      <c r="I12" s="276"/>
      <c r="J12" s="309">
        <v>0</v>
      </c>
      <c r="K12" s="310"/>
      <c r="L12" s="310">
        <f>K12</f>
        <v>0</v>
      </c>
      <c r="M12" s="276"/>
      <c r="N12" s="309"/>
      <c r="O12" s="310"/>
      <c r="P12" s="310">
        <f>O12</f>
        <v>0</v>
      </c>
      <c r="Q12" s="311"/>
      <c r="R12" s="278"/>
    </row>
    <row r="13" spans="1:20" s="65" customFormat="1" ht="15.95" customHeight="1">
      <c r="A13" s="269" t="s">
        <v>164</v>
      </c>
      <c r="B13" s="208"/>
      <c r="C13" s="226" t="s">
        <v>26</v>
      </c>
      <c r="D13" s="217" t="s">
        <v>104</v>
      </c>
      <c r="E13" s="661">
        <f>SUM(O52:O53)</f>
        <v>117.78287399999999</v>
      </c>
      <c r="F13" s="211"/>
      <c r="G13" s="351">
        <v>103.688</v>
      </c>
      <c r="H13" s="270"/>
      <c r="I13" s="664">
        <f>SUM(G13:G14)/E13*100</f>
        <v>88.366836761004848</v>
      </c>
      <c r="J13" s="211"/>
      <c r="K13" s="649">
        <v>5128</v>
      </c>
      <c r="L13" s="211"/>
      <c r="M13" s="651">
        <f>K13/SUM(G13:G14)</f>
        <v>49.269319088017987</v>
      </c>
      <c r="N13" s="211"/>
      <c r="O13" s="649">
        <v>22449</v>
      </c>
      <c r="P13" s="211"/>
      <c r="Q13" s="651">
        <f>O13/SUM(G13:G14)</f>
        <v>215.68778163161383</v>
      </c>
      <c r="R13" s="211"/>
    </row>
    <row r="14" spans="1:20" s="65" customFormat="1" ht="15.95" customHeight="1">
      <c r="A14" s="188"/>
      <c r="B14" s="208"/>
      <c r="C14" s="226"/>
      <c r="D14" s="217" t="s">
        <v>105</v>
      </c>
      <c r="E14" s="662"/>
      <c r="F14" s="211"/>
      <c r="G14" s="211">
        <v>0.39300000000000002</v>
      </c>
      <c r="H14" s="211"/>
      <c r="I14" s="681"/>
      <c r="J14" s="211"/>
      <c r="K14" s="650"/>
      <c r="L14" s="211"/>
      <c r="M14" s="652"/>
      <c r="N14" s="211"/>
      <c r="O14" s="650"/>
      <c r="P14" s="211"/>
      <c r="Q14" s="652"/>
      <c r="R14" s="211"/>
    </row>
    <row r="15" spans="1:20" s="65" customFormat="1" ht="15.95" customHeight="1">
      <c r="A15" s="209"/>
      <c r="B15" s="210"/>
      <c r="C15" s="352" t="s">
        <v>23</v>
      </c>
      <c r="D15" s="217" t="s">
        <v>104</v>
      </c>
      <c r="E15" s="645">
        <f>SUM(O54)</f>
        <v>9.8623209999999997</v>
      </c>
      <c r="F15" s="212"/>
      <c r="G15" s="212">
        <v>8.7750000000000004</v>
      </c>
      <c r="H15" s="212"/>
      <c r="I15" s="647">
        <f>SUM(G15:G16)/E15*100</f>
        <v>88.974998887178785</v>
      </c>
      <c r="J15" s="212"/>
      <c r="K15" s="649">
        <f>7371-1871</f>
        <v>5500</v>
      </c>
      <c r="L15" s="212"/>
      <c r="M15" s="651">
        <f>K15/SUM(G15:G16)</f>
        <v>626.78062678062679</v>
      </c>
      <c r="N15" s="212"/>
      <c r="O15" s="649">
        <v>9656</v>
      </c>
      <c r="P15" s="212"/>
      <c r="Q15" s="699">
        <f>O15/SUM(G15:G16)</f>
        <v>1100.3988603988603</v>
      </c>
      <c r="R15" s="212"/>
    </row>
    <row r="16" spans="1:20" s="65" customFormat="1" ht="15.95" customHeight="1">
      <c r="A16" s="209"/>
      <c r="B16" s="210"/>
      <c r="C16" s="352"/>
      <c r="D16" s="217" t="s">
        <v>105</v>
      </c>
      <c r="E16" s="646"/>
      <c r="F16" s="212"/>
      <c r="G16" s="212"/>
      <c r="H16" s="212"/>
      <c r="I16" s="648"/>
      <c r="J16" s="212"/>
      <c r="K16" s="650"/>
      <c r="L16" s="212"/>
      <c r="M16" s="652"/>
      <c r="N16" s="212"/>
      <c r="O16" s="650"/>
      <c r="P16" s="212"/>
      <c r="Q16" s="700"/>
      <c r="R16" s="212"/>
    </row>
    <row r="17" spans="1:18" s="65" customFormat="1" ht="15.95" customHeight="1">
      <c r="A17" s="178"/>
      <c r="B17" s="179"/>
      <c r="C17" s="178"/>
      <c r="D17" s="178"/>
      <c r="E17" s="276">
        <f>SUM(E13:E16)</f>
        <v>127.64519499999999</v>
      </c>
      <c r="F17" s="276">
        <f>E17+F12</f>
        <v>127.64519499999999</v>
      </c>
      <c r="G17" s="276">
        <f>SUM(G13:G16)</f>
        <v>112.85600000000001</v>
      </c>
      <c r="H17" s="276">
        <f>G17+H12</f>
        <v>112.85600000000001</v>
      </c>
      <c r="I17" s="276"/>
      <c r="J17" s="309">
        <f>H17/F17*100</f>
        <v>88.413825526295781</v>
      </c>
      <c r="K17" s="310">
        <f>SUM(K13:K16)</f>
        <v>10628</v>
      </c>
      <c r="L17" s="310">
        <f>K17+L12</f>
        <v>10628</v>
      </c>
      <c r="M17" s="276"/>
      <c r="N17" s="309">
        <f>L17/H17</f>
        <v>94.173105550435949</v>
      </c>
      <c r="O17" s="310">
        <f>SUM(O13:O16)</f>
        <v>32105</v>
      </c>
      <c r="P17" s="310">
        <f>O17+P12</f>
        <v>32105</v>
      </c>
      <c r="Q17" s="311"/>
      <c r="R17" s="278">
        <f>P17/H17</f>
        <v>284.47756432976536</v>
      </c>
    </row>
    <row r="18" spans="1:18" s="65" customFormat="1" ht="15.95" customHeight="1">
      <c r="A18" s="269" t="s">
        <v>166</v>
      </c>
      <c r="B18" s="208"/>
      <c r="C18" s="226" t="s">
        <v>26</v>
      </c>
      <c r="D18" s="217" t="s">
        <v>104</v>
      </c>
      <c r="E18" s="661">
        <f>SUM(O56:O57)</f>
        <v>211.827718</v>
      </c>
      <c r="F18" s="211"/>
      <c r="G18" s="351">
        <v>203.02099999999999</v>
      </c>
      <c r="H18" s="270"/>
      <c r="I18" s="664">
        <f>SUM(G18:G19)/E18*100</f>
        <v>95.842509146985194</v>
      </c>
      <c r="J18" s="211"/>
      <c r="K18" s="649">
        <v>9856</v>
      </c>
      <c r="L18" s="211"/>
      <c r="M18" s="651">
        <f>K18/SUM(G18:G19)</f>
        <v>48.546702065303592</v>
      </c>
      <c r="N18" s="211"/>
      <c r="O18" s="649">
        <v>30477</v>
      </c>
      <c r="P18" s="211"/>
      <c r="Q18" s="651">
        <f>O18/SUM(G18:G19)</f>
        <v>150.11747553208784</v>
      </c>
      <c r="R18" s="211"/>
    </row>
    <row r="19" spans="1:18" s="65" customFormat="1" ht="15.95" customHeight="1">
      <c r="A19" s="188"/>
      <c r="B19" s="208"/>
      <c r="C19" s="226"/>
      <c r="D19" s="217" t="s">
        <v>105</v>
      </c>
      <c r="E19" s="662"/>
      <c r="F19" s="211"/>
      <c r="G19" s="211"/>
      <c r="H19" s="211"/>
      <c r="I19" s="681"/>
      <c r="J19" s="211"/>
      <c r="K19" s="650"/>
      <c r="L19" s="211"/>
      <c r="M19" s="652"/>
      <c r="N19" s="211"/>
      <c r="O19" s="650"/>
      <c r="P19" s="211"/>
      <c r="Q19" s="652"/>
      <c r="R19" s="211"/>
    </row>
    <row r="20" spans="1:18" s="65" customFormat="1" ht="15.95" customHeight="1">
      <c r="A20" s="209"/>
      <c r="B20" s="210"/>
      <c r="C20" s="352" t="s">
        <v>23</v>
      </c>
      <c r="D20" s="217" t="s">
        <v>104</v>
      </c>
      <c r="E20" s="645">
        <f>SUM(O58)</f>
        <v>254.6223</v>
      </c>
      <c r="F20" s="212"/>
      <c r="G20" s="212">
        <v>240.25399999999999</v>
      </c>
      <c r="H20" s="212"/>
      <c r="I20" s="647">
        <f>SUM(G20:G21)/E20*100</f>
        <v>94.357014291364109</v>
      </c>
      <c r="J20" s="212"/>
      <c r="K20" s="649">
        <v>10847</v>
      </c>
      <c r="L20" s="212"/>
      <c r="M20" s="651">
        <f>K20/SUM(G20:G21)</f>
        <v>45.148051645342015</v>
      </c>
      <c r="N20" s="212"/>
      <c r="O20" s="649">
        <v>32001</v>
      </c>
      <c r="P20" s="212"/>
      <c r="Q20" s="651">
        <f>O20/SUM(G20:G21)</f>
        <v>133.19653366853413</v>
      </c>
      <c r="R20" s="212"/>
    </row>
    <row r="21" spans="1:18" s="65" customFormat="1" ht="15.95" customHeight="1">
      <c r="A21" s="209"/>
      <c r="B21" s="210"/>
      <c r="C21" s="352"/>
      <c r="D21" s="217" t="s">
        <v>105</v>
      </c>
      <c r="E21" s="646"/>
      <c r="F21" s="212"/>
      <c r="G21" s="212"/>
      <c r="H21" s="212"/>
      <c r="I21" s="648"/>
      <c r="J21" s="212"/>
      <c r="K21" s="650"/>
      <c r="L21" s="212"/>
      <c r="M21" s="652"/>
      <c r="N21" s="212"/>
      <c r="O21" s="650"/>
      <c r="P21" s="212"/>
      <c r="Q21" s="652"/>
      <c r="R21" s="212"/>
    </row>
    <row r="22" spans="1:18" s="65" customFormat="1" ht="15.95" customHeight="1">
      <c r="A22" s="178"/>
      <c r="B22" s="179"/>
      <c r="C22" s="178"/>
      <c r="D22" s="178"/>
      <c r="E22" s="276">
        <f>SUM(E18:E21)</f>
        <v>466.450018</v>
      </c>
      <c r="F22" s="276">
        <f>E22+F17</f>
        <v>594.09521299999994</v>
      </c>
      <c r="G22" s="276">
        <f>SUM(G18:G21)</f>
        <v>443.27499999999998</v>
      </c>
      <c r="H22" s="276">
        <f>G22+H17</f>
        <v>556.13099999999997</v>
      </c>
      <c r="I22" s="276"/>
      <c r="J22" s="309">
        <f>H22/F22*100</f>
        <v>93.609742652479511</v>
      </c>
      <c r="K22" s="310">
        <f>SUM(K18:K21)</f>
        <v>20703</v>
      </c>
      <c r="L22" s="310">
        <f>K22+L17</f>
        <v>31331</v>
      </c>
      <c r="M22" s="276"/>
      <c r="N22" s="309">
        <f>L22/H22</f>
        <v>56.337445673771114</v>
      </c>
      <c r="O22" s="310">
        <f>SUM(O18:O21)</f>
        <v>62478</v>
      </c>
      <c r="P22" s="310">
        <f>O22+P17</f>
        <v>94583</v>
      </c>
      <c r="Q22" s="311"/>
      <c r="R22" s="278">
        <f>P22/H22</f>
        <v>170.07323813993466</v>
      </c>
    </row>
    <row r="23" spans="1:18" s="65" customFormat="1" ht="15.95" customHeight="1">
      <c r="A23" s="269" t="s">
        <v>169</v>
      </c>
      <c r="B23" s="208"/>
      <c r="C23" s="382" t="s">
        <v>170</v>
      </c>
      <c r="D23" s="383" t="s">
        <v>104</v>
      </c>
      <c r="E23" s="661">
        <f>SUM(O60:O61)</f>
        <v>182.90170000000001</v>
      </c>
      <c r="F23" s="384"/>
      <c r="G23" s="385">
        <v>75.658000000000001</v>
      </c>
      <c r="H23" s="386"/>
      <c r="I23" s="664">
        <f>SUM(G23:G25)/E23*100</f>
        <v>93.64155718618251</v>
      </c>
      <c r="J23" s="384"/>
      <c r="K23" s="649">
        <v>8108</v>
      </c>
      <c r="L23" s="384"/>
      <c r="M23" s="651">
        <f>K23/SUM(G23:G25)</f>
        <v>47.339903778784624</v>
      </c>
      <c r="N23" s="384"/>
      <c r="O23" s="649">
        <v>26396</v>
      </c>
      <c r="P23" s="384"/>
      <c r="Q23" s="651">
        <f>O23/SUM(G23:G25)</f>
        <v>154.11742725022188</v>
      </c>
      <c r="R23" s="384"/>
    </row>
    <row r="24" spans="1:18" s="65" customFormat="1" ht="15.95" customHeight="1">
      <c r="A24" s="269"/>
      <c r="B24" s="208"/>
      <c r="C24" s="226"/>
      <c r="D24" s="217" t="s">
        <v>172</v>
      </c>
      <c r="E24" s="662"/>
      <c r="F24" s="211"/>
      <c r="G24" s="351">
        <v>48.673999999999999</v>
      </c>
      <c r="H24" s="270"/>
      <c r="I24" s="665"/>
      <c r="J24" s="211"/>
      <c r="K24" s="650"/>
      <c r="L24" s="211"/>
      <c r="M24" s="652"/>
      <c r="N24" s="211"/>
      <c r="O24" s="650"/>
      <c r="P24" s="211"/>
      <c r="Q24" s="652"/>
      <c r="R24" s="211"/>
    </row>
    <row r="25" spans="1:18" s="65" customFormat="1" ht="15.95" customHeight="1">
      <c r="A25" s="188"/>
      <c r="B25" s="208"/>
      <c r="C25" s="369"/>
      <c r="D25" s="387" t="s">
        <v>111</v>
      </c>
      <c r="E25" s="663"/>
      <c r="F25" s="388"/>
      <c r="G25" s="389">
        <v>46.94</v>
      </c>
      <c r="H25" s="388"/>
      <c r="I25" s="666"/>
      <c r="J25" s="388"/>
      <c r="K25" s="667"/>
      <c r="L25" s="388"/>
      <c r="M25" s="668"/>
      <c r="N25" s="388"/>
      <c r="O25" s="667"/>
      <c r="P25" s="388"/>
      <c r="Q25" s="668"/>
      <c r="R25" s="388"/>
    </row>
    <row r="26" spans="1:18" s="65" customFormat="1" ht="15.95" customHeight="1">
      <c r="A26" s="209"/>
      <c r="B26" s="210"/>
      <c r="C26" s="352" t="s">
        <v>26</v>
      </c>
      <c r="D26" s="217" t="s">
        <v>111</v>
      </c>
      <c r="E26" s="662">
        <f>SUM(O62)</f>
        <v>117.45750000000001</v>
      </c>
      <c r="F26" s="212"/>
      <c r="G26" s="212">
        <v>105.974</v>
      </c>
      <c r="H26" s="431"/>
      <c r="I26" s="665">
        <f>SUM(G26:G27)/E26*100</f>
        <v>90.22327224740863</v>
      </c>
      <c r="J26" s="212"/>
      <c r="K26" s="650">
        <v>7556</v>
      </c>
      <c r="L26" s="212"/>
      <c r="M26" s="652">
        <f>K26/SUM(G26:G27)</f>
        <v>71.300507671693055</v>
      </c>
      <c r="N26" s="212"/>
      <c r="O26" s="650">
        <v>21714</v>
      </c>
      <c r="P26" s="212"/>
      <c r="Q26" s="652">
        <f>O26/SUM(G26:G27)</f>
        <v>204.89931492630268</v>
      </c>
      <c r="R26" s="212"/>
    </row>
    <row r="27" spans="1:18" s="65" customFormat="1" ht="15.95" customHeight="1">
      <c r="A27" s="209"/>
      <c r="B27" s="210"/>
      <c r="C27" s="352"/>
      <c r="D27" s="217"/>
      <c r="E27" s="646"/>
      <c r="F27" s="212"/>
      <c r="G27" s="212"/>
      <c r="H27" s="212"/>
      <c r="I27" s="648"/>
      <c r="J27" s="212"/>
      <c r="K27" s="650"/>
      <c r="L27" s="212"/>
      <c r="M27" s="652"/>
      <c r="N27" s="212"/>
      <c r="O27" s="650"/>
      <c r="P27" s="212"/>
      <c r="Q27" s="652"/>
      <c r="R27" s="212"/>
    </row>
    <row r="28" spans="1:18" s="65" customFormat="1" ht="15.95" customHeight="1">
      <c r="A28" s="178"/>
      <c r="B28" s="179"/>
      <c r="C28" s="178"/>
      <c r="D28" s="178"/>
      <c r="E28" s="276">
        <f>SUM(E23:E27)</f>
        <v>300.35919999999999</v>
      </c>
      <c r="F28" s="276">
        <f>E28+F22</f>
        <v>894.45441299999993</v>
      </c>
      <c r="G28" s="276">
        <f>SUM(G23:G27)</f>
        <v>277.24599999999998</v>
      </c>
      <c r="H28" s="276">
        <f>G28+H22</f>
        <v>833.37699999999995</v>
      </c>
      <c r="I28" s="276"/>
      <c r="J28" s="309">
        <f>H28/F28*100</f>
        <v>93.171545456951094</v>
      </c>
      <c r="K28" s="310">
        <f>SUM(K23:K27)</f>
        <v>15664</v>
      </c>
      <c r="L28" s="310">
        <f>K28+L22</f>
        <v>46995</v>
      </c>
      <c r="M28" s="276"/>
      <c r="N28" s="309">
        <f>L28/H28</f>
        <v>56.391045109236281</v>
      </c>
      <c r="O28" s="310">
        <f>SUM(O23:O27)</f>
        <v>48110</v>
      </c>
      <c r="P28" s="310">
        <f>O28+P22</f>
        <v>142693</v>
      </c>
      <c r="Q28" s="311"/>
      <c r="R28" s="278">
        <f>P28/H28</f>
        <v>171.22262793429624</v>
      </c>
    </row>
    <row r="29" spans="1:18" s="65" customFormat="1" ht="15.95" customHeight="1">
      <c r="A29" s="269" t="s">
        <v>177</v>
      </c>
      <c r="B29" s="208"/>
      <c r="C29" s="382" t="s">
        <v>170</v>
      </c>
      <c r="D29" s="383" t="s">
        <v>111</v>
      </c>
      <c r="E29" s="661">
        <f>SUM(O64:O65)</f>
        <v>12.5288</v>
      </c>
      <c r="F29" s="384"/>
      <c r="G29" s="385">
        <v>9.8529999999999998</v>
      </c>
      <c r="H29" s="386"/>
      <c r="I29" s="664">
        <f>SUM(G29:G30)/E29*100</f>
        <v>78.642806972734817</v>
      </c>
      <c r="J29" s="384"/>
      <c r="K29" s="649">
        <v>4451</v>
      </c>
      <c r="L29" s="384"/>
      <c r="M29" s="651">
        <f>K29/SUM(G29:G30)</f>
        <v>451.74058662336347</v>
      </c>
      <c r="N29" s="384"/>
      <c r="O29" s="649">
        <v>8639</v>
      </c>
      <c r="P29" s="384"/>
      <c r="Q29" s="651">
        <f>O29/SUM(G29:G30)</f>
        <v>876.78879529077437</v>
      </c>
      <c r="R29" s="384"/>
    </row>
    <row r="30" spans="1:18" s="65" customFormat="1" ht="15.95" customHeight="1">
      <c r="A30" s="269"/>
      <c r="B30" s="208"/>
      <c r="C30" s="226"/>
      <c r="D30" s="217"/>
      <c r="E30" s="662"/>
      <c r="F30" s="211"/>
      <c r="G30" s="351"/>
      <c r="H30" s="270"/>
      <c r="I30" s="665"/>
      <c r="J30" s="211"/>
      <c r="K30" s="650"/>
      <c r="L30" s="211"/>
      <c r="M30" s="652"/>
      <c r="N30" s="211"/>
      <c r="O30" s="650"/>
      <c r="P30" s="211"/>
      <c r="Q30" s="652"/>
      <c r="R30" s="211"/>
    </row>
    <row r="31" spans="1:18" s="65" customFormat="1" ht="15.95" customHeight="1">
      <c r="A31" s="209"/>
      <c r="B31" s="210"/>
      <c r="C31" s="352" t="s">
        <v>26</v>
      </c>
      <c r="D31" s="401" t="s">
        <v>180</v>
      </c>
      <c r="E31" s="662">
        <f>SUM(O66:O67)</f>
        <v>284.88215000000002</v>
      </c>
      <c r="F31" s="212"/>
      <c r="G31" s="212">
        <v>268.678</v>
      </c>
      <c r="H31" s="212"/>
      <c r="I31" s="665">
        <f>SUM(G31:G32)/E31*100</f>
        <v>96.17836708968953</v>
      </c>
      <c r="J31" s="212"/>
      <c r="K31" s="650">
        <v>9888</v>
      </c>
      <c r="L31" s="212"/>
      <c r="M31" s="652">
        <f>K31/SUM(G31:G32)</f>
        <v>36.088249785580025</v>
      </c>
      <c r="N31" s="212"/>
      <c r="O31" s="650">
        <v>41206</v>
      </c>
      <c r="P31" s="212"/>
      <c r="Q31" s="652">
        <f>O31/SUM(G31:G32)</f>
        <v>150.38960564973814</v>
      </c>
      <c r="R31" s="212"/>
    </row>
    <row r="32" spans="1:18" s="65" customFormat="1" ht="15.95" customHeight="1">
      <c r="A32" s="209"/>
      <c r="B32" s="210"/>
      <c r="C32" s="352"/>
      <c r="D32" s="401" t="s">
        <v>181</v>
      </c>
      <c r="E32" s="646"/>
      <c r="F32" s="212"/>
      <c r="G32" s="212">
        <v>5.3170000000000002</v>
      </c>
      <c r="H32" s="212"/>
      <c r="I32" s="648"/>
      <c r="J32" s="212"/>
      <c r="K32" s="650"/>
      <c r="L32" s="212"/>
      <c r="M32" s="652"/>
      <c r="N32" s="212"/>
      <c r="O32" s="650"/>
      <c r="P32" s="212"/>
      <c r="Q32" s="652"/>
      <c r="R32" s="212"/>
    </row>
    <row r="33" spans="1:19" s="65" customFormat="1" ht="15.95" customHeight="1">
      <c r="A33" s="178"/>
      <c r="B33" s="179"/>
      <c r="C33" s="178"/>
      <c r="D33" s="178"/>
      <c r="E33" s="276">
        <f>SUM(E29:E32)</f>
        <v>297.41095000000001</v>
      </c>
      <c r="F33" s="276">
        <f>E33+F28</f>
        <v>1191.8653629999999</v>
      </c>
      <c r="G33" s="276">
        <f>SUM(G29:G32)</f>
        <v>283.84800000000001</v>
      </c>
      <c r="H33" s="276">
        <f>G33+H28</f>
        <v>1117.2249999999999</v>
      </c>
      <c r="I33" s="276"/>
      <c r="J33" s="309">
        <f>H33/F33*100</f>
        <v>93.737517229955785</v>
      </c>
      <c r="K33" s="310">
        <f>SUM(K29:K32)</f>
        <v>14339</v>
      </c>
      <c r="L33" s="310">
        <f>K33+L28</f>
        <v>61334</v>
      </c>
      <c r="M33" s="276"/>
      <c r="N33" s="309">
        <f>L33/H33</f>
        <v>54.89852088880933</v>
      </c>
      <c r="O33" s="310">
        <f>SUM(O29:O32)</f>
        <v>49845</v>
      </c>
      <c r="P33" s="310">
        <f>O33+P28</f>
        <v>192538</v>
      </c>
      <c r="Q33" s="311"/>
      <c r="R33" s="278">
        <f>P33/H33</f>
        <v>172.33592159144311</v>
      </c>
    </row>
    <row r="34" spans="1:19" s="65" customFormat="1" ht="15.95" customHeight="1">
      <c r="A34" s="269" t="s">
        <v>178</v>
      </c>
      <c r="B34" s="208"/>
      <c r="C34" s="382" t="s">
        <v>23</v>
      </c>
      <c r="D34" s="401" t="s">
        <v>180</v>
      </c>
      <c r="E34" s="661">
        <f>SUM(O69:O70)</f>
        <v>287.4264</v>
      </c>
      <c r="F34" s="384"/>
      <c r="G34" s="385">
        <v>278.24900000000002</v>
      </c>
      <c r="H34" s="386"/>
      <c r="I34" s="664">
        <f>SUM(G34:G36)/E34*100</f>
        <v>96.807043472694232</v>
      </c>
      <c r="J34" s="384"/>
      <c r="K34" s="649">
        <v>9871</v>
      </c>
      <c r="L34" s="384"/>
      <c r="M34" s="651">
        <f>K34/SUM(G34:G36)</f>
        <v>35.475419498362974</v>
      </c>
      <c r="N34" s="384"/>
      <c r="O34" s="649">
        <v>40825</v>
      </c>
      <c r="P34" s="384"/>
      <c r="Q34" s="651">
        <f>O34/SUM(G34:G36)</f>
        <v>146.7211023220209</v>
      </c>
      <c r="R34" s="384"/>
    </row>
    <row r="35" spans="1:19" s="65" customFormat="1" ht="15.95" customHeight="1">
      <c r="A35" s="269"/>
      <c r="B35" s="208"/>
      <c r="C35" s="226"/>
      <c r="D35" s="401" t="s">
        <v>181</v>
      </c>
      <c r="E35" s="662"/>
      <c r="F35" s="211"/>
      <c r="G35" s="351">
        <v>0</v>
      </c>
      <c r="H35" s="270"/>
      <c r="I35" s="665"/>
      <c r="J35" s="211"/>
      <c r="K35" s="650"/>
      <c r="L35" s="211"/>
      <c r="M35" s="652"/>
      <c r="N35" s="211"/>
      <c r="O35" s="650"/>
      <c r="P35" s="211"/>
      <c r="Q35" s="652"/>
      <c r="R35" s="211"/>
    </row>
    <row r="36" spans="1:19" s="65" customFormat="1" ht="15.95" customHeight="1">
      <c r="A36" s="188"/>
      <c r="B36" s="208"/>
      <c r="C36" s="369"/>
      <c r="D36" s="387"/>
      <c r="E36" s="663"/>
      <c r="F36" s="388"/>
      <c r="G36" s="389"/>
      <c r="H36" s="388"/>
      <c r="I36" s="666"/>
      <c r="J36" s="388"/>
      <c r="K36" s="667"/>
      <c r="L36" s="388"/>
      <c r="M36" s="668"/>
      <c r="N36" s="388"/>
      <c r="O36" s="667"/>
      <c r="P36" s="388"/>
      <c r="Q36" s="668"/>
      <c r="R36" s="388"/>
    </row>
    <row r="37" spans="1:19" s="65" customFormat="1" ht="15.95" customHeight="1">
      <c r="A37" s="209"/>
      <c r="B37" s="210"/>
      <c r="C37" s="352" t="s">
        <v>170</v>
      </c>
      <c r="D37" s="401" t="s">
        <v>180</v>
      </c>
      <c r="E37" s="662">
        <f>SUM(O71)</f>
        <v>313.9821</v>
      </c>
      <c r="F37" s="212"/>
      <c r="G37" s="212">
        <v>295.83449999999999</v>
      </c>
      <c r="H37" s="212"/>
      <c r="I37" s="665">
        <f>SUM(G37:G38)/E37*100</f>
        <v>94.463346795884235</v>
      </c>
      <c r="J37" s="212"/>
      <c r="K37" s="650">
        <v>11129</v>
      </c>
      <c r="L37" s="212"/>
      <c r="M37" s="652">
        <f>K37/SUM(G37:G38)</f>
        <v>37.522168052380664</v>
      </c>
      <c r="N37" s="212"/>
      <c r="O37" s="650">
        <v>41180</v>
      </c>
      <c r="P37" s="212"/>
      <c r="Q37" s="652">
        <f>O37/SUM(G37:G38)</f>
        <v>138.84112502444384</v>
      </c>
      <c r="R37" s="212"/>
    </row>
    <row r="38" spans="1:19" s="65" customFormat="1" ht="15.95" customHeight="1">
      <c r="A38" s="209"/>
      <c r="B38" s="210"/>
      <c r="C38" s="352"/>
      <c r="D38" s="401" t="s">
        <v>181</v>
      </c>
      <c r="E38" s="646"/>
      <c r="F38" s="212"/>
      <c r="G38" s="212">
        <v>0.76349999999999996</v>
      </c>
      <c r="H38" s="212"/>
      <c r="I38" s="648"/>
      <c r="J38" s="212"/>
      <c r="K38" s="650"/>
      <c r="L38" s="212"/>
      <c r="M38" s="652"/>
      <c r="N38" s="212"/>
      <c r="O38" s="650"/>
      <c r="P38" s="212"/>
      <c r="Q38" s="652"/>
      <c r="R38" s="212"/>
    </row>
    <row r="39" spans="1:19" s="65" customFormat="1" ht="15.95" customHeight="1">
      <c r="A39" s="178"/>
      <c r="B39" s="179"/>
      <c r="C39" s="178"/>
      <c r="D39" s="178"/>
      <c r="E39" s="276">
        <f>SUM(E34:E38)</f>
        <v>601.4085</v>
      </c>
      <c r="F39" s="276">
        <f>E39+F33</f>
        <v>1793.2738629999999</v>
      </c>
      <c r="G39" s="276">
        <f>SUM(G34:G38)</f>
        <v>574.84699999999998</v>
      </c>
      <c r="H39" s="276">
        <f>G39+H33</f>
        <v>1692.0719999999999</v>
      </c>
      <c r="I39" s="276"/>
      <c r="J39" s="309">
        <f>H39/F39*100</f>
        <v>94.356586292363758</v>
      </c>
      <c r="K39" s="310">
        <f>SUM(K34:K38)</f>
        <v>21000</v>
      </c>
      <c r="L39" s="310">
        <f>K39+L33</f>
        <v>82334</v>
      </c>
      <c r="M39" s="276"/>
      <c r="N39" s="309">
        <f>L39/H39</f>
        <v>48.658685918802512</v>
      </c>
      <c r="O39" s="310">
        <f>SUM(O34:O38)</f>
        <v>82005</v>
      </c>
      <c r="P39" s="310">
        <f>O39+P33</f>
        <v>274543</v>
      </c>
      <c r="Q39" s="311"/>
      <c r="R39" s="278">
        <f>P39/H39</f>
        <v>162.25255190086474</v>
      </c>
    </row>
    <row r="40" spans="1:19" s="65" customFormat="1" ht="15.95" customHeight="1">
      <c r="A40" s="269" t="s">
        <v>179</v>
      </c>
      <c r="B40" s="208"/>
      <c r="C40" s="382" t="s">
        <v>23</v>
      </c>
      <c r="D40" s="401" t="s">
        <v>180</v>
      </c>
      <c r="E40" s="661">
        <f>SUM(O73)</f>
        <v>392.08710000000002</v>
      </c>
      <c r="F40" s="384"/>
      <c r="G40" s="385">
        <f>380.6345</f>
        <v>380.6345</v>
      </c>
      <c r="H40" s="386"/>
      <c r="I40" s="664">
        <f>SUM(G40:G41)/E40*100</f>
        <v>97.273156908248197</v>
      </c>
      <c r="J40" s="384"/>
      <c r="K40" s="649">
        <v>12559</v>
      </c>
      <c r="L40" s="384"/>
      <c r="M40" s="651">
        <f>K40/SUM(G40:G41)</f>
        <v>32.929072314696946</v>
      </c>
      <c r="N40" s="384"/>
      <c r="O40" s="649">
        <v>49449</v>
      </c>
      <c r="P40" s="384"/>
      <c r="Q40" s="651">
        <f>O40/SUM(G40:G41)</f>
        <v>129.65281446687231</v>
      </c>
      <c r="R40" s="384"/>
    </row>
    <row r="41" spans="1:19" s="65" customFormat="1" ht="15.95" customHeight="1">
      <c r="A41" s="269"/>
      <c r="B41" s="208"/>
      <c r="C41" s="226"/>
      <c r="D41" s="401" t="s">
        <v>181</v>
      </c>
      <c r="E41" s="662"/>
      <c r="F41" s="211"/>
      <c r="G41" s="351">
        <v>0.76100000000000001</v>
      </c>
      <c r="H41" s="270"/>
      <c r="I41" s="665"/>
      <c r="J41" s="211"/>
      <c r="K41" s="650"/>
      <c r="L41" s="211"/>
      <c r="M41" s="652"/>
      <c r="N41" s="211"/>
      <c r="O41" s="650"/>
      <c r="P41" s="211"/>
      <c r="Q41" s="652"/>
      <c r="R41" s="211"/>
    </row>
    <row r="42" spans="1:19" s="65" customFormat="1" ht="15.95" customHeight="1">
      <c r="A42" s="209"/>
      <c r="B42" s="210"/>
      <c r="C42" s="352" t="s">
        <v>170</v>
      </c>
      <c r="D42" s="401" t="s">
        <v>182</v>
      </c>
      <c r="E42" s="662">
        <f>SUM(O75)</f>
        <v>238.22024999999999</v>
      </c>
      <c r="F42" s="212"/>
      <c r="G42" s="212">
        <v>224.511</v>
      </c>
      <c r="H42" s="212"/>
      <c r="I42" s="665">
        <f>SUM(G42:G43)/E42*100</f>
        <v>95.19404836490601</v>
      </c>
      <c r="J42" s="212"/>
      <c r="K42" s="650">
        <v>9292</v>
      </c>
      <c r="L42" s="212"/>
      <c r="M42" s="652">
        <f>K42/SUM(G42:G43)</f>
        <v>40.975166632491295</v>
      </c>
      <c r="N42" s="212"/>
      <c r="O42" s="650">
        <v>32155</v>
      </c>
      <c r="P42" s="212"/>
      <c r="Q42" s="652">
        <f>O42/SUM(G42:G43)</f>
        <v>141.79471406239321</v>
      </c>
      <c r="R42" s="212"/>
    </row>
    <row r="43" spans="1:19" s="65" customFormat="1" ht="15.95" customHeight="1">
      <c r="A43" s="209"/>
      <c r="B43" s="210"/>
      <c r="C43" s="352"/>
      <c r="D43" s="401" t="s">
        <v>183</v>
      </c>
      <c r="E43" s="646"/>
      <c r="F43" s="212"/>
      <c r="G43" s="212">
        <v>2.2605</v>
      </c>
      <c r="H43" s="212"/>
      <c r="I43" s="648"/>
      <c r="J43" s="212"/>
      <c r="K43" s="650"/>
      <c r="L43" s="212"/>
      <c r="M43" s="652"/>
      <c r="N43" s="212"/>
      <c r="O43" s="650"/>
      <c r="P43" s="212"/>
      <c r="Q43" s="652"/>
      <c r="R43" s="212"/>
    </row>
    <row r="44" spans="1:19" s="65" customFormat="1" ht="15.95" customHeight="1">
      <c r="A44" s="178"/>
      <c r="B44" s="179"/>
      <c r="C44" s="178"/>
      <c r="D44" s="178"/>
      <c r="E44" s="276">
        <f>SUM(E40:E43)</f>
        <v>630.30735000000004</v>
      </c>
      <c r="F44" s="276">
        <f>E44+F39</f>
        <v>2423.5812129999999</v>
      </c>
      <c r="G44" s="276">
        <f>SUM(G40:G43)</f>
        <v>608.16700000000003</v>
      </c>
      <c r="H44" s="276">
        <f>G44+H39</f>
        <v>2300.239</v>
      </c>
      <c r="I44" s="276"/>
      <c r="J44" s="309">
        <f>H44/F44*100</f>
        <v>94.910745621463107</v>
      </c>
      <c r="K44" s="310">
        <f>SUM(K40:K43)</f>
        <v>21851</v>
      </c>
      <c r="L44" s="310">
        <f>K44+L39</f>
        <v>104185</v>
      </c>
      <c r="M44" s="276"/>
      <c r="N44" s="309">
        <f>L44/H44</f>
        <v>45.293119541056384</v>
      </c>
      <c r="O44" s="310">
        <f>SUM(O40:O43)</f>
        <v>81604</v>
      </c>
      <c r="P44" s="310">
        <f>O44+P39</f>
        <v>356147</v>
      </c>
      <c r="Q44" s="311"/>
      <c r="R44" s="278">
        <f>P44/H44</f>
        <v>154.83043283763121</v>
      </c>
    </row>
    <row r="45" spans="1:19" s="65" customFormat="1" ht="15.95" customHeight="1">
      <c r="A45" s="180"/>
      <c r="B45" s="180"/>
      <c r="C45" s="180"/>
      <c r="D45" s="180"/>
      <c r="E45" s="182"/>
      <c r="F45" s="182"/>
      <c r="G45" s="182"/>
      <c r="H45" s="182"/>
      <c r="I45" s="182"/>
      <c r="J45" s="183"/>
      <c r="K45" s="184"/>
      <c r="L45" s="184"/>
      <c r="M45" s="182"/>
      <c r="N45" s="183"/>
      <c r="O45" s="184"/>
      <c r="P45" s="184"/>
      <c r="Q45" s="185"/>
      <c r="R45" s="186"/>
      <c r="S45" s="65" t="s">
        <v>184</v>
      </c>
    </row>
    <row r="46" spans="1:19" s="65" customFormat="1" ht="15.95" customHeight="1">
      <c r="A46" s="358"/>
      <c r="B46" s="358"/>
      <c r="C46" s="358"/>
      <c r="D46" s="358"/>
      <c r="E46" s="359"/>
      <c r="F46" s="359"/>
      <c r="G46" s="359"/>
      <c r="H46" s="359"/>
      <c r="I46" s="359"/>
      <c r="J46" s="360"/>
      <c r="K46" s="361"/>
      <c r="L46" s="361"/>
      <c r="M46" s="359"/>
      <c r="N46" s="360"/>
      <c r="O46" s="361"/>
      <c r="P46" s="361"/>
      <c r="Q46" s="362"/>
      <c r="R46" s="363"/>
    </row>
    <row r="47" spans="1:19" s="65" customFormat="1" ht="14.1" customHeight="1">
      <c r="A47" s="315" t="s">
        <v>0</v>
      </c>
      <c r="B47" s="340"/>
      <c r="C47" s="338" t="s">
        <v>1</v>
      </c>
      <c r="D47" s="671" t="s">
        <v>92</v>
      </c>
      <c r="E47" s="710"/>
      <c r="F47" s="710"/>
      <c r="G47" s="710"/>
      <c r="H47" s="710"/>
      <c r="I47" s="710"/>
      <c r="J47" s="672"/>
      <c r="K47" s="671" t="s">
        <v>93</v>
      </c>
      <c r="L47" s="710"/>
      <c r="M47" s="710"/>
      <c r="N47" s="710"/>
      <c r="O47" s="710"/>
      <c r="P47" s="710"/>
      <c r="Q47" s="710"/>
      <c r="R47" s="672"/>
    </row>
    <row r="48" spans="1:19" s="65" customFormat="1" ht="14.1" customHeight="1">
      <c r="A48" s="317"/>
      <c r="B48" s="339"/>
      <c r="C48" s="301" t="s">
        <v>6</v>
      </c>
      <c r="D48" s="707" t="s">
        <v>82</v>
      </c>
      <c r="E48" s="709"/>
      <c r="F48" s="316" t="s">
        <v>80</v>
      </c>
      <c r="G48" s="316" t="s">
        <v>81</v>
      </c>
      <c r="H48" s="316" t="s">
        <v>56</v>
      </c>
      <c r="I48" s="707" t="s">
        <v>7</v>
      </c>
      <c r="J48" s="709"/>
      <c r="K48" s="707" t="s">
        <v>82</v>
      </c>
      <c r="L48" s="709"/>
      <c r="M48" s="316" t="s">
        <v>80</v>
      </c>
      <c r="N48" s="316" t="s">
        <v>81</v>
      </c>
      <c r="O48" s="316" t="s">
        <v>62</v>
      </c>
      <c r="P48" s="707" t="s">
        <v>7</v>
      </c>
      <c r="Q48" s="708"/>
      <c r="R48" s="709"/>
    </row>
    <row r="49" spans="1:19" s="65" customFormat="1" ht="14.1" customHeight="1">
      <c r="A49" s="305"/>
      <c r="B49" s="318"/>
      <c r="C49" s="319"/>
      <c r="D49" s="320"/>
      <c r="E49" s="190"/>
      <c r="F49" s="191"/>
      <c r="G49" s="192"/>
      <c r="H49" s="193" t="s">
        <v>8</v>
      </c>
      <c r="I49" s="705" t="s">
        <v>8</v>
      </c>
      <c r="J49" s="706"/>
      <c r="K49" s="194"/>
      <c r="L49" s="195"/>
      <c r="M49" s="196"/>
      <c r="N49" s="197"/>
      <c r="O49" s="193" t="s">
        <v>8</v>
      </c>
      <c r="P49" s="198"/>
      <c r="Q49" s="199" t="s">
        <v>8</v>
      </c>
      <c r="R49" s="200"/>
    </row>
    <row r="50" spans="1:19" s="65" customFormat="1" ht="14.1" customHeight="1">
      <c r="A50" s="314"/>
      <c r="B50" s="219"/>
      <c r="C50" s="220"/>
      <c r="D50" s="260"/>
      <c r="E50" s="232"/>
      <c r="F50" s="228"/>
      <c r="G50" s="277"/>
      <c r="H50" s="233"/>
      <c r="I50" s="221"/>
      <c r="J50" s="222"/>
      <c r="K50" s="342"/>
      <c r="L50" s="343"/>
      <c r="M50" s="228"/>
      <c r="N50" s="229"/>
      <c r="O50" s="233"/>
      <c r="P50" s="223"/>
      <c r="Q50" s="224"/>
      <c r="R50" s="225"/>
    </row>
    <row r="51" spans="1:19" s="65" customFormat="1" ht="14.1" customHeight="1">
      <c r="A51" s="215"/>
      <c r="B51" s="230"/>
      <c r="C51" s="213"/>
      <c r="D51" s="241"/>
      <c r="E51" s="242"/>
      <c r="F51" s="215"/>
      <c r="G51" s="216">
        <f>SUM(G50:G50)</f>
        <v>0</v>
      </c>
      <c r="H51" s="214">
        <f>SUM(H50:H50)</f>
        <v>0</v>
      </c>
      <c r="I51" s="669">
        <f>H51</f>
        <v>0</v>
      </c>
      <c r="J51" s="670"/>
      <c r="K51" s="236"/>
      <c r="L51" s="237"/>
      <c r="M51" s="238"/>
      <c r="N51" s="239">
        <f>SUM(N50:N50)</f>
        <v>0</v>
      </c>
      <c r="O51" s="240">
        <f>SUM(O50:O50)</f>
        <v>0</v>
      </c>
      <c r="P51" s="701">
        <f>O51</f>
        <v>0</v>
      </c>
      <c r="Q51" s="702"/>
      <c r="R51" s="231"/>
    </row>
    <row r="52" spans="1:19" s="138" customFormat="1" ht="18" customHeight="1">
      <c r="A52" s="218" t="s">
        <v>164</v>
      </c>
      <c r="B52" s="219"/>
      <c r="C52" s="220" t="s">
        <v>26</v>
      </c>
      <c r="D52" s="260" t="s">
        <v>75</v>
      </c>
      <c r="E52" s="232"/>
      <c r="F52" s="252" t="s">
        <v>70</v>
      </c>
      <c r="G52" s="334">
        <f>24+16</f>
        <v>40</v>
      </c>
      <c r="H52" s="253">
        <f>G52*1.5661</f>
        <v>62.644000000000005</v>
      </c>
      <c r="I52" s="221"/>
      <c r="J52" s="222"/>
      <c r="K52" s="341" t="s">
        <v>60</v>
      </c>
      <c r="L52" s="235"/>
      <c r="M52" s="228" t="s">
        <v>103</v>
      </c>
      <c r="N52" s="229">
        <v>53</v>
      </c>
      <c r="O52" s="233">
        <f>36.747/54*N52</f>
        <v>36.066499999999998</v>
      </c>
      <c r="P52" s="223"/>
      <c r="Q52" s="224"/>
      <c r="R52" s="225"/>
    </row>
    <row r="53" spans="1:19" s="138" customFormat="1" ht="18" customHeight="1">
      <c r="A53" s="218"/>
      <c r="B53" s="219"/>
      <c r="C53" s="213"/>
      <c r="D53" s="344" t="s">
        <v>150</v>
      </c>
      <c r="E53" s="345"/>
      <c r="F53" s="346" t="s">
        <v>151</v>
      </c>
      <c r="G53" s="347">
        <v>150</v>
      </c>
      <c r="H53" s="348">
        <f>G53*1.408903</f>
        <v>211.33545000000001</v>
      </c>
      <c r="I53" s="669"/>
      <c r="J53" s="670"/>
      <c r="K53" s="344" t="s">
        <v>150</v>
      </c>
      <c r="L53" s="345"/>
      <c r="M53" s="346" t="s">
        <v>151</v>
      </c>
      <c r="N53" s="347">
        <v>58</v>
      </c>
      <c r="O53" s="348">
        <f>N53*1.408903</f>
        <v>81.716374000000002</v>
      </c>
      <c r="P53" s="349"/>
      <c r="Q53" s="350"/>
      <c r="R53" s="231"/>
    </row>
    <row r="54" spans="1:19" s="138" customFormat="1" ht="18" customHeight="1">
      <c r="A54" s="227"/>
      <c r="B54" s="219"/>
      <c r="C54" s="220" t="s">
        <v>23</v>
      </c>
      <c r="D54" s="261" t="s">
        <v>54</v>
      </c>
      <c r="E54" s="262"/>
      <c r="F54" s="255" t="s">
        <v>165</v>
      </c>
      <c r="G54" s="229">
        <f>10*84+140</f>
        <v>980</v>
      </c>
      <c r="H54" s="233">
        <f>G54*0.6434</f>
        <v>630.53199999999993</v>
      </c>
      <c r="I54" s="221"/>
      <c r="J54" s="222"/>
      <c r="K54" s="264" t="s">
        <v>150</v>
      </c>
      <c r="L54" s="262"/>
      <c r="M54" s="255" t="s">
        <v>151</v>
      </c>
      <c r="N54" s="229">
        <v>7</v>
      </c>
      <c r="O54" s="233">
        <f>N54*1.408903</f>
        <v>9.8623209999999997</v>
      </c>
      <c r="P54" s="223"/>
      <c r="Q54" s="224"/>
      <c r="R54" s="225"/>
    </row>
    <row r="55" spans="1:19" s="138" customFormat="1" ht="18" customHeight="1">
      <c r="A55" s="215"/>
      <c r="B55" s="230"/>
      <c r="C55" s="213"/>
      <c r="D55" s="241"/>
      <c r="E55" s="242"/>
      <c r="F55" s="215"/>
      <c r="G55" s="216">
        <f>SUM(G52:G54)</f>
        <v>1170</v>
      </c>
      <c r="H55" s="214">
        <f>SUM(H52:H54)</f>
        <v>904.51144999999997</v>
      </c>
      <c r="I55" s="669">
        <f>H55+I51</f>
        <v>904.51144999999997</v>
      </c>
      <c r="J55" s="670"/>
      <c r="K55" s="236"/>
      <c r="L55" s="237"/>
      <c r="M55" s="238"/>
      <c r="N55" s="239">
        <f>SUM(N52:N54)</f>
        <v>118</v>
      </c>
      <c r="O55" s="240">
        <f>SUM(O52:O54)</f>
        <v>127.64519499999999</v>
      </c>
      <c r="P55" s="701">
        <f>O55+P51</f>
        <v>127.64519499999999</v>
      </c>
      <c r="Q55" s="702"/>
      <c r="R55" s="231"/>
    </row>
    <row r="56" spans="1:19" s="138" customFormat="1" ht="15.95" customHeight="1">
      <c r="A56" s="218" t="s">
        <v>166</v>
      </c>
      <c r="B56" s="219"/>
      <c r="C56" s="220" t="s">
        <v>26</v>
      </c>
      <c r="D56" s="261" t="s">
        <v>54</v>
      </c>
      <c r="E56" s="262"/>
      <c r="F56" s="255" t="s">
        <v>165</v>
      </c>
      <c r="G56" s="229">
        <f>336+84+70+84+69+78+70</f>
        <v>791</v>
      </c>
      <c r="H56" s="233">
        <f>G56*0.6457</f>
        <v>510.74870000000004</v>
      </c>
      <c r="I56" s="221"/>
      <c r="J56" s="222"/>
      <c r="K56" s="364" t="s">
        <v>150</v>
      </c>
      <c r="L56" s="365"/>
      <c r="M56" s="256" t="s">
        <v>151</v>
      </c>
      <c r="N56" s="366">
        <v>106</v>
      </c>
      <c r="O56" s="253">
        <f>N56*1.408903</f>
        <v>149.343718</v>
      </c>
      <c r="P56" s="223"/>
      <c r="Q56" s="224"/>
      <c r="R56" s="225"/>
    </row>
    <row r="57" spans="1:19" s="138" customFormat="1" ht="15.95" customHeight="1">
      <c r="A57" s="218"/>
      <c r="B57" s="219"/>
      <c r="C57" s="213"/>
      <c r="D57" s="344" t="s">
        <v>167</v>
      </c>
      <c r="E57" s="345"/>
      <c r="F57" s="346" t="s">
        <v>168</v>
      </c>
      <c r="G57" s="347">
        <v>233</v>
      </c>
      <c r="H57" s="348">
        <f>G57*1.5621</f>
        <v>363.96930000000003</v>
      </c>
      <c r="I57" s="669"/>
      <c r="J57" s="670"/>
      <c r="K57" s="344" t="s">
        <v>167</v>
      </c>
      <c r="L57" s="345"/>
      <c r="M57" s="346" t="s">
        <v>168</v>
      </c>
      <c r="N57" s="347">
        <v>40</v>
      </c>
      <c r="O57" s="348">
        <f>N57*1.5621</f>
        <v>62.484000000000002</v>
      </c>
      <c r="P57" s="349"/>
      <c r="Q57" s="350"/>
      <c r="R57" s="231"/>
    </row>
    <row r="58" spans="1:19" s="138" customFormat="1" ht="15.95" customHeight="1">
      <c r="A58" s="227"/>
      <c r="B58" s="219"/>
      <c r="C58" s="315" t="s">
        <v>23</v>
      </c>
      <c r="D58" s="372" t="s">
        <v>167</v>
      </c>
      <c r="E58" s="373"/>
      <c r="F58" s="374" t="s">
        <v>168</v>
      </c>
      <c r="G58" s="192">
        <v>303</v>
      </c>
      <c r="H58" s="375">
        <f>G58*1.5621</f>
        <v>473.31630000000001</v>
      </c>
      <c r="I58" s="356"/>
      <c r="J58" s="357"/>
      <c r="K58" s="344" t="s">
        <v>167</v>
      </c>
      <c r="L58" s="345"/>
      <c r="M58" s="346" t="s">
        <v>168</v>
      </c>
      <c r="N58" s="347">
        <v>163</v>
      </c>
      <c r="O58" s="348">
        <f>N58*1.5621</f>
        <v>254.6223</v>
      </c>
      <c r="P58" s="377"/>
      <c r="Q58" s="378"/>
      <c r="R58" s="200"/>
    </row>
    <row r="59" spans="1:19" s="138" customFormat="1" ht="15.95" customHeight="1">
      <c r="A59" s="215"/>
      <c r="B59" s="230"/>
      <c r="C59" s="319"/>
      <c r="D59" s="367"/>
      <c r="E59" s="368"/>
      <c r="F59" s="369"/>
      <c r="G59" s="370">
        <f>SUM(G56:G58)</f>
        <v>1327</v>
      </c>
      <c r="H59" s="371">
        <f>SUM(H56:H58)</f>
        <v>1348.0343</v>
      </c>
      <c r="I59" s="671">
        <f>H59+I55</f>
        <v>2252.5457500000002</v>
      </c>
      <c r="J59" s="672"/>
      <c r="K59" s="236"/>
      <c r="L59" s="237"/>
      <c r="M59" s="238"/>
      <c r="N59" s="239">
        <f>SUM(N56:N58)</f>
        <v>309</v>
      </c>
      <c r="O59" s="240">
        <f>SUM(O56:O58)</f>
        <v>466.450018</v>
      </c>
      <c r="P59" s="711">
        <f>O59+P55</f>
        <v>594.09521299999994</v>
      </c>
      <c r="Q59" s="712"/>
      <c r="R59" s="376"/>
      <c r="S59" s="470"/>
    </row>
    <row r="60" spans="1:19" s="138" customFormat="1" ht="15.95" customHeight="1">
      <c r="A60" s="218" t="s">
        <v>171</v>
      </c>
      <c r="B60" s="219"/>
      <c r="C60" s="220" t="s">
        <v>170</v>
      </c>
      <c r="D60" s="364" t="s">
        <v>167</v>
      </c>
      <c r="E60" s="365"/>
      <c r="F60" s="256" t="s">
        <v>168</v>
      </c>
      <c r="G60" s="366">
        <f>32+35+36+34+34+35+35</f>
        <v>241</v>
      </c>
      <c r="H60" s="253">
        <f>G60*1.5621</f>
        <v>376.46609999999998</v>
      </c>
      <c r="I60" s="221"/>
      <c r="J60" s="222"/>
      <c r="K60" s="364" t="s">
        <v>167</v>
      </c>
      <c r="L60" s="365"/>
      <c r="M60" s="256" t="s">
        <v>168</v>
      </c>
      <c r="N60" s="366">
        <v>83</v>
      </c>
      <c r="O60" s="253">
        <f>N60*1.5621</f>
        <v>129.65430000000001</v>
      </c>
      <c r="P60" s="223"/>
      <c r="Q60" s="224"/>
      <c r="R60" s="484"/>
      <c r="S60" s="470"/>
    </row>
    <row r="61" spans="1:19" s="138" customFormat="1" ht="15.95" customHeight="1">
      <c r="A61" s="218"/>
      <c r="B61" s="219"/>
      <c r="C61" s="392"/>
      <c r="D61" s="390" t="s">
        <v>75</v>
      </c>
      <c r="E61" s="391"/>
      <c r="F61" s="228" t="s">
        <v>70</v>
      </c>
      <c r="G61" s="277">
        <v>39</v>
      </c>
      <c r="H61" s="233">
        <f>G61*1.5661</f>
        <v>61.0779</v>
      </c>
      <c r="I61" s="669"/>
      <c r="J61" s="670"/>
      <c r="K61" s="396" t="s">
        <v>75</v>
      </c>
      <c r="L61" s="397"/>
      <c r="M61" s="398" t="s">
        <v>70</v>
      </c>
      <c r="N61" s="399">
        <v>34</v>
      </c>
      <c r="O61" s="348">
        <f>N61*1.5661</f>
        <v>53.247399999999999</v>
      </c>
      <c r="P61" s="349"/>
      <c r="Q61" s="350"/>
      <c r="R61" s="481"/>
      <c r="S61" s="470"/>
    </row>
    <row r="62" spans="1:19" s="138" customFormat="1" ht="15.95" customHeight="1">
      <c r="A62" s="227"/>
      <c r="B62" s="219"/>
      <c r="C62" s="319" t="s">
        <v>26</v>
      </c>
      <c r="D62" s="372" t="s">
        <v>167</v>
      </c>
      <c r="E62" s="373"/>
      <c r="F62" s="374" t="s">
        <v>168</v>
      </c>
      <c r="G62" s="192">
        <v>138</v>
      </c>
      <c r="H62" s="375">
        <f>G62*1.5621</f>
        <v>215.56980000000001</v>
      </c>
      <c r="I62" s="356"/>
      <c r="J62" s="357"/>
      <c r="K62" s="396" t="s">
        <v>75</v>
      </c>
      <c r="L62" s="397"/>
      <c r="M62" s="398" t="s">
        <v>70</v>
      </c>
      <c r="N62" s="399">
        <v>75</v>
      </c>
      <c r="O62" s="348">
        <f>N62*1.5661</f>
        <v>117.45750000000001</v>
      </c>
      <c r="P62" s="377"/>
      <c r="Q62" s="378"/>
      <c r="R62" s="200"/>
      <c r="S62" s="470"/>
    </row>
    <row r="63" spans="1:19" s="138" customFormat="1" ht="15.95" customHeight="1">
      <c r="A63" s="215"/>
      <c r="B63" s="230"/>
      <c r="C63" s="319"/>
      <c r="D63" s="367"/>
      <c r="E63" s="368"/>
      <c r="F63" s="369"/>
      <c r="G63" s="370">
        <f>SUM(G60:G62)</f>
        <v>418</v>
      </c>
      <c r="H63" s="371">
        <f>SUM(H60:H62)</f>
        <v>653.11379999999997</v>
      </c>
      <c r="I63" s="671">
        <f>H63+I59</f>
        <v>2905.6595500000003</v>
      </c>
      <c r="J63" s="672"/>
      <c r="K63" s="236"/>
      <c r="L63" s="237"/>
      <c r="M63" s="238"/>
      <c r="N63" s="239">
        <f>SUM(N60:N62)</f>
        <v>192</v>
      </c>
      <c r="O63" s="240">
        <f>SUM(O60:O62)</f>
        <v>300.35919999999999</v>
      </c>
      <c r="P63" s="711">
        <f>O63+P59</f>
        <v>894.45441299999993</v>
      </c>
      <c r="Q63" s="712"/>
      <c r="R63" s="376"/>
      <c r="S63" s="470"/>
    </row>
    <row r="64" spans="1:19" s="138" customFormat="1" ht="15.95" customHeight="1">
      <c r="A64" s="218" t="s">
        <v>174</v>
      </c>
      <c r="B64" s="219"/>
      <c r="C64" s="290" t="s">
        <v>170</v>
      </c>
      <c r="D64" s="364" t="s">
        <v>167</v>
      </c>
      <c r="E64" s="365"/>
      <c r="F64" s="256" t="s">
        <v>168</v>
      </c>
      <c r="G64" s="366">
        <v>33</v>
      </c>
      <c r="H64" s="253">
        <f>G64*1.5621</f>
        <v>51.549300000000002</v>
      </c>
      <c r="I64" s="410"/>
      <c r="J64" s="411"/>
      <c r="K64" s="260" t="s">
        <v>75</v>
      </c>
      <c r="L64" s="232"/>
      <c r="M64" s="252" t="s">
        <v>70</v>
      </c>
      <c r="N64" s="334">
        <v>8</v>
      </c>
      <c r="O64" s="253">
        <f>N64*1.5661</f>
        <v>12.5288</v>
      </c>
      <c r="P64" s="412"/>
      <c r="Q64" s="413"/>
      <c r="R64" s="482"/>
    </row>
    <row r="65" spans="1:19" s="138" customFormat="1" ht="15.95" customHeight="1">
      <c r="A65" s="218"/>
      <c r="B65" s="219"/>
      <c r="C65" s="406"/>
      <c r="D65" s="414" t="s">
        <v>75</v>
      </c>
      <c r="E65" s="415"/>
      <c r="F65" s="407" t="s">
        <v>70</v>
      </c>
      <c r="G65" s="416">
        <v>40</v>
      </c>
      <c r="H65" s="408">
        <f>G65*1.5661</f>
        <v>62.644000000000005</v>
      </c>
      <c r="I65" s="713"/>
      <c r="J65" s="714"/>
      <c r="K65" s="417"/>
      <c r="L65" s="418"/>
      <c r="M65" s="419"/>
      <c r="N65" s="409"/>
      <c r="O65" s="408"/>
      <c r="P65" s="420"/>
      <c r="Q65" s="421"/>
      <c r="R65" s="422"/>
    </row>
    <row r="66" spans="1:19" s="138" customFormat="1" ht="15.95" customHeight="1">
      <c r="A66" s="423"/>
      <c r="B66" s="424"/>
      <c r="C66" s="290" t="s">
        <v>26</v>
      </c>
      <c r="D66" s="260"/>
      <c r="E66" s="232"/>
      <c r="F66" s="425"/>
      <c r="G66" s="334"/>
      <c r="H66" s="253"/>
      <c r="I66" s="410"/>
      <c r="J66" s="411"/>
      <c r="K66" s="404" t="s">
        <v>60</v>
      </c>
      <c r="L66" s="405"/>
      <c r="M66" s="252" t="s">
        <v>103</v>
      </c>
      <c r="N66" s="366">
        <v>2</v>
      </c>
      <c r="O66" s="253">
        <f>36.747/54*N66</f>
        <v>1.361</v>
      </c>
      <c r="P66" s="412"/>
      <c r="Q66" s="413"/>
      <c r="R66" s="485"/>
      <c r="S66" s="483"/>
    </row>
    <row r="67" spans="1:19" s="138" customFormat="1" ht="15.95" customHeight="1">
      <c r="A67" s="227"/>
      <c r="B67" s="219"/>
      <c r="C67" s="319"/>
      <c r="D67" s="236"/>
      <c r="E67" s="393"/>
      <c r="F67" s="394"/>
      <c r="G67" s="395"/>
      <c r="H67" s="238">
        <f>G67*1.5621</f>
        <v>0</v>
      </c>
      <c r="I67" s="379"/>
      <c r="J67" s="380"/>
      <c r="K67" s="236" t="s">
        <v>167</v>
      </c>
      <c r="L67" s="393"/>
      <c r="M67" s="394" t="s">
        <v>168</v>
      </c>
      <c r="N67" s="395">
        <f>265/2+38+11</f>
        <v>181.5</v>
      </c>
      <c r="O67" s="238">
        <f>N67*1.5621</f>
        <v>283.52115000000003</v>
      </c>
      <c r="P67" s="402"/>
      <c r="Q67" s="403"/>
      <c r="R67" s="376"/>
    </row>
    <row r="68" spans="1:19" s="138" customFormat="1" ht="15.95" customHeight="1">
      <c r="A68" s="215"/>
      <c r="B68" s="230"/>
      <c r="C68" s="319"/>
      <c r="D68" s="367"/>
      <c r="E68" s="368"/>
      <c r="F68" s="369"/>
      <c r="G68" s="370">
        <f>SUM(G64:G67)</f>
        <v>73</v>
      </c>
      <c r="H68" s="371">
        <f>SUM(H64:H67)</f>
        <v>114.19330000000001</v>
      </c>
      <c r="I68" s="671">
        <f>H68+I63</f>
        <v>3019.8528500000002</v>
      </c>
      <c r="J68" s="672"/>
      <c r="K68" s="236"/>
      <c r="L68" s="237"/>
      <c r="M68" s="238"/>
      <c r="N68" s="239">
        <f>SUM(N64:N67)</f>
        <v>191.5</v>
      </c>
      <c r="O68" s="240">
        <f>SUM(O64:O67)</f>
        <v>297.41095000000001</v>
      </c>
      <c r="P68" s="711">
        <f>O68+P63</f>
        <v>1191.8653629999999</v>
      </c>
      <c r="Q68" s="712"/>
      <c r="R68" s="376"/>
    </row>
    <row r="69" spans="1:19" s="138" customFormat="1" ht="15.95" customHeight="1">
      <c r="A69" s="218" t="s">
        <v>175</v>
      </c>
      <c r="B69" s="219"/>
      <c r="C69" s="220" t="s">
        <v>23</v>
      </c>
      <c r="D69" s="364" t="s">
        <v>167</v>
      </c>
      <c r="E69" s="365"/>
      <c r="F69" s="256" t="s">
        <v>168</v>
      </c>
      <c r="G69" s="366">
        <v>17</v>
      </c>
      <c r="H69" s="253">
        <f>G69*1.5621</f>
        <v>26.555700000000002</v>
      </c>
      <c r="I69" s="221"/>
      <c r="J69" s="222"/>
      <c r="K69" s="364" t="s">
        <v>167</v>
      </c>
      <c r="L69" s="365"/>
      <c r="M69" s="256" t="s">
        <v>168</v>
      </c>
      <c r="N69" s="366">
        <v>184</v>
      </c>
      <c r="O69" s="253">
        <f>N69*1.5621</f>
        <v>287.4264</v>
      </c>
      <c r="P69" s="223"/>
      <c r="Q69" s="224"/>
      <c r="R69" s="225"/>
    </row>
    <row r="70" spans="1:19" s="138" customFormat="1" ht="15.95" customHeight="1">
      <c r="A70" s="218"/>
      <c r="B70" s="219"/>
      <c r="C70" s="392"/>
      <c r="D70" s="390"/>
      <c r="E70" s="391"/>
      <c r="F70" s="228"/>
      <c r="G70" s="277"/>
      <c r="H70" s="233"/>
      <c r="I70" s="669"/>
      <c r="J70" s="670"/>
      <c r="K70" s="396"/>
      <c r="L70" s="397"/>
      <c r="M70" s="398"/>
      <c r="N70" s="399"/>
      <c r="O70" s="348"/>
      <c r="P70" s="349"/>
      <c r="Q70" s="350"/>
      <c r="R70" s="231"/>
    </row>
    <row r="71" spans="1:19" s="138" customFormat="1" ht="15.95" customHeight="1">
      <c r="A71" s="227"/>
      <c r="B71" s="219"/>
      <c r="C71" s="319" t="s">
        <v>170</v>
      </c>
      <c r="D71" s="364" t="s">
        <v>167</v>
      </c>
      <c r="E71" s="365"/>
      <c r="F71" s="256" t="s">
        <v>168</v>
      </c>
      <c r="G71" s="366">
        <f>31+35+34+35+36</f>
        <v>171</v>
      </c>
      <c r="H71" s="253">
        <f>G71*1.5621</f>
        <v>267.1191</v>
      </c>
      <c r="I71" s="356"/>
      <c r="J71" s="357"/>
      <c r="K71" s="236" t="s">
        <v>167</v>
      </c>
      <c r="L71" s="393"/>
      <c r="M71" s="394" t="s">
        <v>168</v>
      </c>
      <c r="N71" s="395">
        <f>402/2</f>
        <v>201</v>
      </c>
      <c r="O71" s="238">
        <f>N71*1.5621</f>
        <v>313.9821</v>
      </c>
      <c r="P71" s="377"/>
      <c r="Q71" s="378"/>
      <c r="R71" s="200"/>
    </row>
    <row r="72" spans="1:19" s="138" customFormat="1" ht="15.95" customHeight="1">
      <c r="A72" s="215"/>
      <c r="B72" s="230"/>
      <c r="C72" s="319"/>
      <c r="D72" s="367"/>
      <c r="E72" s="368"/>
      <c r="F72" s="369"/>
      <c r="G72" s="370">
        <f>SUM(G69:G71)</f>
        <v>188</v>
      </c>
      <c r="H72" s="371">
        <f>SUM(H69:H71)</f>
        <v>293.6748</v>
      </c>
      <c r="I72" s="671">
        <f>H72+I68</f>
        <v>3313.52765</v>
      </c>
      <c r="J72" s="672"/>
      <c r="K72" s="236"/>
      <c r="L72" s="237"/>
      <c r="M72" s="238"/>
      <c r="N72" s="239">
        <f>SUM(N69:N71)</f>
        <v>385</v>
      </c>
      <c r="O72" s="240">
        <f>SUM(O69:O71)</f>
        <v>601.4085</v>
      </c>
      <c r="P72" s="711">
        <f>O72+P68</f>
        <v>1793.2738629999999</v>
      </c>
      <c r="Q72" s="712"/>
      <c r="R72" s="376"/>
    </row>
    <row r="73" spans="1:19" s="138" customFormat="1" ht="15.95" customHeight="1">
      <c r="A73" s="218" t="s">
        <v>176</v>
      </c>
      <c r="B73" s="219"/>
      <c r="C73" s="220" t="s">
        <v>23</v>
      </c>
      <c r="D73" s="364" t="s">
        <v>167</v>
      </c>
      <c r="E73" s="365"/>
      <c r="F73" s="256" t="s">
        <v>168</v>
      </c>
      <c r="G73" s="366">
        <f>35+22+14</f>
        <v>71</v>
      </c>
      <c r="H73" s="253">
        <f>G73*1.5621</f>
        <v>110.90910000000001</v>
      </c>
      <c r="I73" s="221"/>
      <c r="J73" s="222"/>
      <c r="K73" s="364" t="s">
        <v>167</v>
      </c>
      <c r="L73" s="365"/>
      <c r="M73" s="256" t="s">
        <v>168</v>
      </c>
      <c r="N73" s="366">
        <f>502/2</f>
        <v>251</v>
      </c>
      <c r="O73" s="253">
        <f>N73*1.5621</f>
        <v>392.08710000000002</v>
      </c>
      <c r="P73" s="223"/>
      <c r="Q73" s="224"/>
      <c r="R73" s="225"/>
    </row>
    <row r="74" spans="1:19" s="138" customFormat="1" ht="15.95" customHeight="1">
      <c r="A74" s="218"/>
      <c r="B74" s="219"/>
      <c r="C74" s="392"/>
      <c r="D74" s="390"/>
      <c r="E74" s="391"/>
      <c r="F74" s="228"/>
      <c r="G74" s="277"/>
      <c r="H74" s="233"/>
      <c r="I74" s="669"/>
      <c r="J74" s="670"/>
      <c r="K74" s="396"/>
      <c r="L74" s="397"/>
      <c r="M74" s="398"/>
      <c r="N74" s="399"/>
      <c r="O74" s="348"/>
      <c r="P74" s="349"/>
      <c r="Q74" s="350"/>
      <c r="R74" s="231"/>
    </row>
    <row r="75" spans="1:19" s="138" customFormat="1" ht="15.95" customHeight="1">
      <c r="A75" s="227"/>
      <c r="B75" s="219"/>
      <c r="C75" s="319" t="s">
        <v>170</v>
      </c>
      <c r="D75" s="364" t="s">
        <v>167</v>
      </c>
      <c r="E75" s="365"/>
      <c r="F75" s="256" t="s">
        <v>168</v>
      </c>
      <c r="G75" s="366">
        <f>20+27+24+29+22+25</f>
        <v>147</v>
      </c>
      <c r="H75" s="253">
        <f>G75*1.5621</f>
        <v>229.62870000000001</v>
      </c>
      <c r="I75" s="356"/>
      <c r="J75" s="357"/>
      <c r="K75" s="236" t="s">
        <v>167</v>
      </c>
      <c r="L75" s="393"/>
      <c r="M75" s="394" t="s">
        <v>168</v>
      </c>
      <c r="N75" s="395">
        <f>305/2</f>
        <v>152.5</v>
      </c>
      <c r="O75" s="238">
        <f>N75*1.5621</f>
        <v>238.22024999999999</v>
      </c>
      <c r="P75" s="377"/>
      <c r="Q75" s="378"/>
      <c r="R75" s="200"/>
    </row>
    <row r="76" spans="1:19" s="138" customFormat="1" ht="15.95" customHeight="1">
      <c r="A76" s="215"/>
      <c r="B76" s="230"/>
      <c r="C76" s="319"/>
      <c r="D76" s="367"/>
      <c r="E76" s="368"/>
      <c r="F76" s="369"/>
      <c r="G76" s="370">
        <f>SUM(G73:G75)</f>
        <v>218</v>
      </c>
      <c r="H76" s="371">
        <f>SUM(H73:H75)</f>
        <v>340.5378</v>
      </c>
      <c r="I76" s="671">
        <f>H76+I72</f>
        <v>3654.0654500000001</v>
      </c>
      <c r="J76" s="672"/>
      <c r="K76" s="236"/>
      <c r="L76" s="237"/>
      <c r="M76" s="238"/>
      <c r="N76" s="239">
        <f>SUM(N73:N75)</f>
        <v>403.5</v>
      </c>
      <c r="O76" s="240">
        <f>SUM(O73:O75)</f>
        <v>630.30735000000004</v>
      </c>
      <c r="P76" s="711">
        <f>O76+P72</f>
        <v>2423.5812129999999</v>
      </c>
      <c r="Q76" s="712"/>
      <c r="R76" s="376"/>
    </row>
    <row r="77" spans="1:19" s="138" customFormat="1" ht="15.95" customHeight="1">
      <c r="A77" s="243"/>
      <c r="B77" s="244"/>
      <c r="C77" s="244"/>
      <c r="D77" s="245"/>
      <c r="E77" s="245"/>
      <c r="F77" s="243"/>
      <c r="G77" s="280"/>
      <c r="H77" s="246"/>
      <c r="I77" s="246"/>
      <c r="J77" s="246"/>
      <c r="K77" s="400"/>
      <c r="L77" s="400"/>
      <c r="M77" s="283"/>
      <c r="N77" s="247"/>
      <c r="O77" s="248"/>
      <c r="P77" s="249"/>
      <c r="Q77" s="249"/>
      <c r="R77" s="250"/>
    </row>
    <row r="78" spans="1:19" s="138" customFormat="1" ht="23.25" customHeight="1">
      <c r="A78" s="243"/>
      <c r="B78" s="244"/>
      <c r="C78" s="244"/>
      <c r="D78" s="245"/>
      <c r="E78" s="245"/>
      <c r="F78" s="659" t="s">
        <v>33</v>
      </c>
      <c r="G78" s="659"/>
      <c r="H78" s="659"/>
      <c r="I78" s="246"/>
      <c r="J78" s="246"/>
      <c r="K78" s="653"/>
      <c r="L78" s="653"/>
      <c r="M78" s="283"/>
      <c r="N78" s="247"/>
      <c r="O78" s="291"/>
      <c r="P78" s="659" t="s">
        <v>34</v>
      </c>
      <c r="Q78" s="659"/>
      <c r="R78" s="659"/>
    </row>
    <row r="79" spans="1:19" s="138" customFormat="1" ht="23.25" customHeight="1">
      <c r="A79" s="243"/>
      <c r="B79" s="244"/>
      <c r="C79" s="244"/>
      <c r="D79" s="245"/>
      <c r="E79" s="245"/>
      <c r="F79" s="337"/>
      <c r="G79" s="337"/>
      <c r="H79" s="337"/>
      <c r="I79" s="246"/>
      <c r="J79" s="246"/>
      <c r="K79" s="653"/>
      <c r="L79" s="653"/>
      <c r="M79" s="283"/>
      <c r="N79" s="247"/>
      <c r="O79" s="291"/>
      <c r="P79" s="337"/>
      <c r="Q79" s="337"/>
      <c r="R79" s="337"/>
    </row>
    <row r="80" spans="1:19" s="138" customFormat="1" ht="15" customHeight="1">
      <c r="A80" s="243"/>
      <c r="B80" s="244"/>
      <c r="C80" s="244"/>
      <c r="D80" s="245"/>
      <c r="E80" s="245"/>
      <c r="F80" s="243"/>
      <c r="G80" s="280"/>
      <c r="H80" s="246"/>
      <c r="I80" s="246"/>
      <c r="J80" s="246"/>
      <c r="K80" s="281"/>
      <c r="L80" s="282"/>
      <c r="M80" s="283"/>
      <c r="N80" s="247"/>
      <c r="O80" s="248"/>
      <c r="P80" s="249"/>
      <c r="Q80" s="249"/>
      <c r="R80" s="250"/>
    </row>
    <row r="81" spans="1:18" s="138" customFormat="1" ht="17.25" customHeight="1">
      <c r="A81" s="243"/>
      <c r="B81" s="244"/>
      <c r="C81" s="244"/>
      <c r="D81" s="245"/>
      <c r="E81" s="245"/>
      <c r="F81" s="243"/>
      <c r="G81" s="280"/>
      <c r="H81" s="246"/>
      <c r="I81" s="246"/>
      <c r="J81" s="246"/>
      <c r="K81" s="281"/>
      <c r="L81" s="282"/>
      <c r="M81" s="283"/>
      <c r="N81" s="247"/>
      <c r="O81" s="248"/>
      <c r="P81" s="249"/>
      <c r="Q81" s="249"/>
      <c r="R81" s="250"/>
    </row>
    <row r="82" spans="1:18" s="138" customFormat="1" ht="18" customHeight="1">
      <c r="A82" s="243"/>
      <c r="B82" s="244"/>
      <c r="C82" s="244"/>
      <c r="D82" s="251"/>
      <c r="E82" s="245"/>
      <c r="F82" s="703" t="s">
        <v>61</v>
      </c>
      <c r="G82" s="703"/>
      <c r="H82" s="703"/>
      <c r="I82" s="246"/>
      <c r="J82" s="246"/>
      <c r="K82" s="63"/>
      <c r="L82" s="63"/>
      <c r="M82" s="63"/>
      <c r="N82" s="247"/>
      <c r="O82" s="248"/>
      <c r="P82" s="704" t="s">
        <v>28</v>
      </c>
      <c r="Q82" s="704"/>
      <c r="R82" s="704"/>
    </row>
    <row r="83" spans="1:18" s="138" customFormat="1" ht="18" customHeight="1">
      <c r="A83" s="243"/>
      <c r="B83" s="244"/>
      <c r="C83" s="244"/>
      <c r="D83" s="251"/>
      <c r="E83" s="245"/>
      <c r="F83" s="243"/>
      <c r="G83" s="243"/>
      <c r="H83" s="243"/>
      <c r="I83" s="246"/>
      <c r="J83" s="246"/>
      <c r="K83" s="63"/>
      <c r="L83" s="63"/>
      <c r="M83" s="63"/>
      <c r="N83" s="247"/>
      <c r="O83" s="248"/>
      <c r="P83" s="249"/>
      <c r="Q83" s="249"/>
      <c r="R83" s="249"/>
    </row>
    <row r="84" spans="1:18" s="138" customFormat="1" ht="18" customHeight="1">
      <c r="A84" s="243"/>
      <c r="B84" s="244"/>
      <c r="C84" s="244"/>
      <c r="D84" s="251"/>
      <c r="E84" s="245"/>
      <c r="F84" s="243"/>
      <c r="G84" s="243"/>
      <c r="H84" s="243"/>
      <c r="I84" s="246"/>
      <c r="J84" s="246"/>
      <c r="K84" s="63"/>
      <c r="L84" s="63"/>
      <c r="M84" s="63"/>
      <c r="N84" s="247"/>
      <c r="O84" s="248"/>
      <c r="P84" s="249"/>
      <c r="Q84" s="249"/>
      <c r="R84" s="249"/>
    </row>
    <row r="85" spans="1:18" s="138" customFormat="1" ht="18" customHeight="1">
      <c r="A85" s="243"/>
      <c r="B85" s="244"/>
      <c r="C85" s="244"/>
      <c r="D85" s="251"/>
      <c r="E85" s="245"/>
      <c r="F85" s="243"/>
      <c r="G85" s="243"/>
      <c r="H85" s="243"/>
      <c r="I85" s="246"/>
      <c r="J85" s="246"/>
      <c r="K85" s="63"/>
      <c r="L85" s="63"/>
      <c r="M85" s="63"/>
      <c r="N85" s="247"/>
      <c r="O85" s="248"/>
      <c r="P85" s="249"/>
      <c r="Q85" s="249"/>
      <c r="R85" s="249"/>
    </row>
    <row r="86" spans="1:18" s="138" customFormat="1" ht="18" customHeight="1">
      <c r="A86" s="243"/>
      <c r="B86" s="244"/>
      <c r="C86" s="244"/>
      <c r="D86" s="251"/>
      <c r="E86" s="245"/>
      <c r="F86" s="243"/>
      <c r="G86" s="243"/>
      <c r="H86" s="243"/>
      <c r="I86" s="246"/>
      <c r="J86" s="246"/>
      <c r="K86" s="63"/>
      <c r="L86" s="63"/>
      <c r="M86" s="63"/>
      <c r="N86" s="247"/>
      <c r="O86" s="248"/>
      <c r="P86" s="249"/>
      <c r="Q86" s="249"/>
      <c r="R86" s="249"/>
    </row>
    <row r="87" spans="1:18" s="138" customFormat="1" ht="18" customHeight="1">
      <c r="A87" s="243"/>
      <c r="B87" s="244"/>
      <c r="C87" s="244"/>
      <c r="D87" s="251"/>
      <c r="E87" s="245"/>
      <c r="F87" s="243"/>
      <c r="G87" s="243"/>
      <c r="H87" s="243"/>
      <c r="I87" s="246"/>
      <c r="J87" s="246"/>
      <c r="K87" s="63"/>
      <c r="L87" s="63"/>
      <c r="M87" s="63"/>
      <c r="N87" s="247"/>
      <c r="O87" s="248"/>
      <c r="P87" s="249"/>
      <c r="Q87" s="249"/>
      <c r="R87" s="249"/>
    </row>
    <row r="88" spans="1:18" s="138" customFormat="1" ht="18" customHeight="1">
      <c r="A88" s="243"/>
      <c r="B88" s="244"/>
      <c r="C88" s="244"/>
      <c r="D88" s="251"/>
      <c r="E88" s="245"/>
      <c r="F88" s="243"/>
      <c r="G88" s="243"/>
      <c r="H88" s="243"/>
      <c r="I88" s="246"/>
      <c r="J88" s="246"/>
      <c r="K88" s="63"/>
      <c r="L88" s="63"/>
      <c r="M88" s="63"/>
      <c r="N88" s="247"/>
      <c r="O88" s="248"/>
      <c r="P88" s="249"/>
      <c r="Q88" s="249"/>
      <c r="R88" s="249"/>
    </row>
    <row r="89" spans="1:18" s="138" customFormat="1" ht="18" customHeight="1">
      <c r="A89" s="243"/>
      <c r="B89" s="244"/>
      <c r="C89" s="244"/>
      <c r="D89" s="251"/>
      <c r="E89" s="245"/>
      <c r="F89" s="243"/>
      <c r="G89" s="243"/>
      <c r="H89" s="243"/>
      <c r="I89" s="246"/>
      <c r="J89" s="246"/>
      <c r="K89" s="63"/>
      <c r="L89" s="63"/>
      <c r="M89" s="63"/>
      <c r="N89" s="247"/>
      <c r="O89" s="248"/>
      <c r="P89" s="249"/>
      <c r="Q89" s="249"/>
      <c r="R89" s="249"/>
    </row>
    <row r="90" spans="1:18" s="138" customFormat="1" ht="18" customHeight="1">
      <c r="A90" s="243"/>
      <c r="B90" s="244"/>
      <c r="C90" s="244"/>
      <c r="D90" s="251"/>
      <c r="E90" s="245"/>
      <c r="F90" s="243"/>
      <c r="G90" s="243"/>
      <c r="H90" s="243"/>
      <c r="I90" s="246"/>
      <c r="J90" s="246"/>
      <c r="K90" s="63"/>
      <c r="L90" s="63"/>
      <c r="M90" s="63"/>
      <c r="N90" s="247"/>
      <c r="O90" s="248"/>
      <c r="P90" s="249"/>
      <c r="Q90" s="249"/>
      <c r="R90" s="249"/>
    </row>
    <row r="91" spans="1:18" s="138" customFormat="1" ht="18" customHeight="1">
      <c r="A91" s="243"/>
      <c r="B91" s="244"/>
      <c r="C91" s="244"/>
      <c r="D91" s="251"/>
      <c r="E91" s="245"/>
      <c r="F91" s="243"/>
      <c r="G91" s="243"/>
      <c r="H91" s="243"/>
      <c r="I91" s="246"/>
      <c r="J91" s="246"/>
      <c r="K91" s="63"/>
      <c r="L91" s="63"/>
      <c r="M91" s="63"/>
      <c r="N91" s="247"/>
      <c r="O91" s="248"/>
      <c r="P91" s="249"/>
      <c r="Q91" s="249"/>
      <c r="R91" s="249"/>
    </row>
    <row r="92" spans="1:18" s="138" customFormat="1" ht="18" customHeight="1">
      <c r="A92" s="243"/>
      <c r="B92" s="244"/>
      <c r="C92" s="244"/>
      <c r="D92" s="251"/>
      <c r="E92" s="245"/>
      <c r="F92" s="243"/>
      <c r="G92" s="243"/>
      <c r="H92" s="243"/>
      <c r="I92" s="246"/>
      <c r="J92" s="246"/>
      <c r="K92" s="63"/>
      <c r="L92" s="63"/>
      <c r="M92" s="63"/>
      <c r="N92" s="247"/>
      <c r="O92" s="248"/>
      <c r="P92" s="249"/>
      <c r="Q92" s="249"/>
      <c r="R92" s="249"/>
    </row>
    <row r="93" spans="1:18" s="138" customFormat="1" ht="18" customHeight="1">
      <c r="A93" s="243"/>
      <c r="B93" s="244"/>
      <c r="C93" s="244"/>
      <c r="D93" s="251"/>
      <c r="E93" s="245"/>
      <c r="F93" s="243"/>
      <c r="G93" s="243"/>
      <c r="H93" s="243"/>
      <c r="I93" s="246"/>
      <c r="J93" s="246"/>
      <c r="K93" s="63"/>
      <c r="L93" s="63"/>
      <c r="M93" s="63"/>
      <c r="N93" s="247"/>
      <c r="O93" s="248"/>
      <c r="P93" s="249"/>
      <c r="Q93" s="249"/>
      <c r="R93" s="249"/>
    </row>
    <row r="94" spans="1:18" s="138" customFormat="1" ht="18" customHeight="1">
      <c r="A94" s="243"/>
      <c r="B94" s="244"/>
      <c r="C94" s="244"/>
      <c r="D94" s="251"/>
      <c r="E94" s="245"/>
      <c r="F94" s="243"/>
      <c r="G94" s="243"/>
      <c r="H94" s="243"/>
      <c r="I94" s="246"/>
      <c r="J94" s="246"/>
      <c r="K94" s="63"/>
      <c r="L94" s="63"/>
      <c r="M94" s="63"/>
      <c r="N94" s="247"/>
      <c r="O94" s="248"/>
      <c r="P94" s="249"/>
      <c r="Q94" s="249"/>
      <c r="R94" s="249"/>
    </row>
    <row r="95" spans="1:18" s="138" customFormat="1" ht="18" customHeight="1">
      <c r="A95" s="243"/>
      <c r="B95" s="244"/>
      <c r="C95" s="244"/>
      <c r="D95" s="251"/>
      <c r="E95" s="245"/>
      <c r="F95" s="243"/>
      <c r="G95" s="243"/>
      <c r="H95" s="243"/>
      <c r="I95" s="246"/>
      <c r="J95" s="246"/>
      <c r="K95" s="63"/>
      <c r="L95" s="63"/>
      <c r="M95" s="63"/>
      <c r="N95" s="247"/>
      <c r="O95" s="248"/>
      <c r="P95" s="249"/>
      <c r="Q95" s="249"/>
      <c r="R95" s="249"/>
    </row>
    <row r="96" spans="1:18" s="138" customFormat="1" ht="18" customHeight="1">
      <c r="A96" s="243"/>
      <c r="B96" s="244"/>
      <c r="C96" s="244"/>
      <c r="D96" s="251"/>
      <c r="E96" s="245"/>
      <c r="F96" s="243"/>
      <c r="G96" s="243"/>
      <c r="H96" s="243"/>
      <c r="I96" s="246"/>
      <c r="J96" s="246"/>
      <c r="K96" s="63"/>
      <c r="L96" s="63"/>
      <c r="M96" s="63"/>
      <c r="N96" s="247"/>
      <c r="O96" s="248"/>
      <c r="P96" s="249"/>
      <c r="Q96" s="249"/>
      <c r="R96" s="249"/>
    </row>
    <row r="97" spans="1:18" s="138" customFormat="1" ht="18" customHeight="1">
      <c r="A97" s="243"/>
      <c r="B97" s="244"/>
      <c r="C97" s="244"/>
      <c r="D97" s="251"/>
      <c r="E97" s="245"/>
      <c r="F97" s="243"/>
      <c r="G97" s="243"/>
      <c r="H97" s="243"/>
      <c r="I97" s="246"/>
      <c r="J97" s="246"/>
      <c r="K97" s="63"/>
      <c r="L97" s="63"/>
      <c r="M97" s="63"/>
      <c r="N97" s="247"/>
      <c r="O97" s="248"/>
      <c r="P97" s="249"/>
      <c r="Q97" s="249"/>
      <c r="R97" s="249"/>
    </row>
    <row r="98" spans="1:18" s="138" customFormat="1" ht="18" customHeight="1">
      <c r="A98" s="243"/>
      <c r="B98" s="244"/>
      <c r="C98" s="244"/>
      <c r="D98" s="251"/>
      <c r="E98" s="245"/>
      <c r="F98" s="243"/>
      <c r="G98" s="243"/>
      <c r="H98" s="243"/>
      <c r="I98" s="246"/>
      <c r="J98" s="246"/>
      <c r="K98" s="63"/>
      <c r="L98" s="63"/>
      <c r="M98" s="63"/>
      <c r="N98" s="247"/>
      <c r="O98" s="248"/>
      <c r="P98" s="249"/>
      <c r="Q98" s="249"/>
      <c r="R98" s="249"/>
    </row>
    <row r="99" spans="1:18" s="138" customFormat="1" ht="18" customHeight="1">
      <c r="A99" s="243"/>
      <c r="B99" s="244"/>
      <c r="C99" s="244"/>
      <c r="D99" s="251"/>
      <c r="E99" s="245"/>
      <c r="F99" s="243"/>
      <c r="G99" s="243"/>
      <c r="H99" s="243"/>
      <c r="I99" s="246"/>
      <c r="J99" s="246"/>
      <c r="K99" s="63"/>
      <c r="L99" s="63"/>
      <c r="M99" s="63"/>
      <c r="N99" s="247"/>
      <c r="O99" s="248"/>
      <c r="P99" s="249"/>
      <c r="Q99" s="249"/>
      <c r="R99" s="249"/>
    </row>
    <row r="100" spans="1:18" s="138" customFormat="1" ht="18" customHeight="1">
      <c r="A100" s="243"/>
      <c r="B100" s="244"/>
      <c r="C100" s="244"/>
      <c r="D100" s="251"/>
      <c r="E100" s="245"/>
      <c r="F100" s="243"/>
      <c r="G100" s="243"/>
      <c r="H100" s="243"/>
      <c r="I100" s="246"/>
      <c r="J100" s="246"/>
      <c r="K100" s="63"/>
      <c r="L100" s="63"/>
      <c r="M100" s="63"/>
      <c r="N100" s="247"/>
      <c r="O100" s="248"/>
      <c r="P100" s="249"/>
      <c r="Q100" s="249"/>
      <c r="R100" s="249"/>
    </row>
    <row r="101" spans="1:18" s="138" customFormat="1" ht="18" customHeight="1">
      <c r="A101" s="243"/>
      <c r="B101" s="244"/>
      <c r="C101" s="244"/>
      <c r="D101" s="251"/>
      <c r="E101" s="245"/>
      <c r="F101" s="243"/>
      <c r="G101" s="243"/>
      <c r="H101" s="243"/>
      <c r="I101" s="246"/>
      <c r="J101" s="246"/>
      <c r="K101" s="63"/>
      <c r="L101" s="63"/>
      <c r="M101" s="63"/>
      <c r="N101" s="247"/>
      <c r="O101" s="248"/>
      <c r="P101" s="249"/>
      <c r="Q101" s="249"/>
      <c r="R101" s="249"/>
    </row>
    <row r="102" spans="1:18" s="138" customFormat="1" ht="18" customHeight="1">
      <c r="A102" s="243"/>
      <c r="B102" s="244"/>
      <c r="C102" s="244"/>
      <c r="D102" s="251"/>
      <c r="E102" s="245"/>
      <c r="F102" s="243"/>
      <c r="G102" s="243"/>
      <c r="H102" s="243"/>
      <c r="I102" s="246"/>
      <c r="J102" s="246"/>
      <c r="K102" s="63"/>
      <c r="L102" s="63"/>
      <c r="M102" s="63"/>
      <c r="N102" s="247"/>
      <c r="O102" s="248"/>
      <c r="P102" s="249"/>
      <c r="Q102" s="249"/>
      <c r="R102" s="249"/>
    </row>
    <row r="103" spans="1:18" s="138" customFormat="1" ht="18" customHeight="1">
      <c r="A103" s="243"/>
      <c r="B103" s="244"/>
      <c r="C103" s="244"/>
      <c r="D103" s="251"/>
      <c r="E103" s="245"/>
      <c r="F103" s="243"/>
      <c r="G103" s="243"/>
      <c r="H103" s="243"/>
      <c r="I103" s="246"/>
      <c r="J103" s="246"/>
      <c r="K103" s="63"/>
      <c r="L103" s="63"/>
      <c r="M103" s="63"/>
      <c r="N103" s="247"/>
      <c r="O103" s="248"/>
      <c r="P103" s="249"/>
      <c r="Q103" s="249"/>
      <c r="R103" s="249"/>
    </row>
    <row r="104" spans="1:18" s="138" customFormat="1" ht="18" customHeight="1">
      <c r="A104" s="243"/>
      <c r="B104" s="244"/>
      <c r="C104" s="244"/>
      <c r="D104" s="251"/>
      <c r="E104" s="245"/>
      <c r="F104" s="243"/>
      <c r="G104" s="243"/>
      <c r="H104" s="243"/>
      <c r="I104" s="246"/>
      <c r="J104" s="246"/>
      <c r="K104" s="63"/>
      <c r="L104" s="63"/>
      <c r="M104" s="63"/>
      <c r="N104" s="247"/>
      <c r="O104" s="248"/>
      <c r="P104" s="249"/>
      <c r="Q104" s="249"/>
      <c r="R104" s="249"/>
    </row>
    <row r="105" spans="1:18" s="138" customFormat="1" ht="18" customHeight="1">
      <c r="A105" s="243"/>
      <c r="B105" s="244"/>
      <c r="C105" s="244"/>
      <c r="D105" s="251"/>
      <c r="E105" s="245"/>
      <c r="F105" s="243"/>
      <c r="G105" s="243"/>
      <c r="H105" s="243"/>
      <c r="I105" s="246"/>
      <c r="J105" s="246"/>
      <c r="K105" s="63"/>
      <c r="L105" s="63"/>
      <c r="M105" s="63"/>
      <c r="N105" s="247"/>
      <c r="O105" s="248"/>
      <c r="P105" s="249"/>
      <c r="Q105" s="249"/>
      <c r="R105" s="249"/>
    </row>
    <row r="106" spans="1:18" s="138" customFormat="1" ht="18" customHeight="1">
      <c r="A106" s="243"/>
      <c r="B106" s="244"/>
      <c r="C106" s="244"/>
      <c r="D106" s="251"/>
      <c r="E106" s="245"/>
      <c r="F106" s="243"/>
      <c r="G106" s="243"/>
      <c r="H106" s="243"/>
      <c r="I106" s="246"/>
      <c r="J106" s="246"/>
      <c r="K106" s="63"/>
      <c r="L106" s="63"/>
      <c r="M106" s="63"/>
      <c r="N106" s="247"/>
      <c r="O106" s="248"/>
      <c r="P106" s="249"/>
      <c r="Q106" s="249"/>
      <c r="R106" s="249"/>
    </row>
    <row r="107" spans="1:18" s="138" customFormat="1" ht="18" customHeight="1">
      <c r="A107" s="243"/>
      <c r="B107" s="244"/>
      <c r="C107" s="244"/>
      <c r="D107" s="251"/>
      <c r="E107" s="245"/>
      <c r="F107" s="243"/>
      <c r="G107" s="243"/>
      <c r="H107" s="243"/>
      <c r="I107" s="246"/>
      <c r="J107" s="246"/>
      <c r="K107" s="63"/>
      <c r="L107" s="63"/>
      <c r="M107" s="63"/>
      <c r="N107" s="247"/>
      <c r="O107" s="248"/>
      <c r="P107" s="249"/>
      <c r="Q107" s="249"/>
      <c r="R107" s="249"/>
    </row>
    <row r="108" spans="1:18" s="138" customFormat="1" ht="18" customHeight="1">
      <c r="A108" s="243"/>
      <c r="B108" s="244"/>
      <c r="C108" s="244"/>
      <c r="D108" s="251"/>
      <c r="E108" s="245"/>
      <c r="F108" s="243"/>
      <c r="G108" s="243"/>
      <c r="H108" s="243"/>
      <c r="I108" s="246"/>
      <c r="J108" s="246"/>
      <c r="K108" s="63"/>
      <c r="L108" s="63"/>
      <c r="M108" s="63"/>
      <c r="N108" s="247"/>
      <c r="O108" s="248"/>
      <c r="P108" s="249"/>
      <c r="Q108" s="249"/>
      <c r="R108" s="249"/>
    </row>
    <row r="109" spans="1:18" s="138" customFormat="1" ht="18" customHeight="1">
      <c r="A109" s="243"/>
      <c r="B109" s="244"/>
      <c r="C109" s="244"/>
      <c r="D109" s="251"/>
      <c r="E109" s="245"/>
      <c r="F109" s="243"/>
      <c r="G109" s="243"/>
      <c r="H109" s="243"/>
      <c r="I109" s="246"/>
      <c r="J109" s="246"/>
      <c r="K109" s="63"/>
      <c r="L109" s="63"/>
      <c r="M109" s="63"/>
      <c r="N109" s="247"/>
      <c r="O109" s="248"/>
      <c r="P109" s="249"/>
      <c r="Q109" s="249"/>
      <c r="R109" s="249"/>
    </row>
    <row r="110" spans="1:18" s="138" customFormat="1" ht="18" customHeight="1">
      <c r="A110" s="243"/>
      <c r="B110" s="244"/>
      <c r="C110" s="244"/>
      <c r="D110" s="251"/>
      <c r="E110" s="245"/>
      <c r="F110" s="243"/>
      <c r="G110" s="243"/>
      <c r="H110" s="243"/>
      <c r="I110" s="246"/>
      <c r="J110" s="246"/>
      <c r="K110" s="63"/>
      <c r="L110" s="63"/>
      <c r="M110" s="63"/>
      <c r="N110" s="247"/>
      <c r="O110" s="248"/>
      <c r="P110" s="249"/>
      <c r="Q110" s="249"/>
      <c r="R110" s="249"/>
    </row>
    <row r="111" spans="1:18" s="138" customFormat="1" ht="18" customHeight="1">
      <c r="A111" s="243"/>
      <c r="B111" s="244"/>
      <c r="C111" s="244"/>
      <c r="D111" s="251"/>
      <c r="E111" s="245"/>
      <c r="F111" s="243"/>
      <c r="G111" s="243"/>
      <c r="H111" s="243"/>
      <c r="I111" s="246"/>
      <c r="J111" s="246"/>
      <c r="K111" s="63"/>
      <c r="L111" s="63"/>
      <c r="M111" s="63"/>
      <c r="N111" s="247"/>
      <c r="O111" s="248"/>
      <c r="P111" s="249"/>
      <c r="Q111" s="249"/>
      <c r="R111" s="249"/>
    </row>
    <row r="112" spans="1:18" s="138" customFormat="1" ht="18" customHeight="1">
      <c r="A112" s="243"/>
      <c r="B112" s="244"/>
      <c r="C112" s="244"/>
      <c r="D112" s="251"/>
      <c r="E112" s="245"/>
      <c r="F112" s="243"/>
      <c r="G112" s="243"/>
      <c r="H112" s="243"/>
      <c r="I112" s="246"/>
      <c r="J112" s="246"/>
      <c r="K112" s="63"/>
      <c r="L112" s="63"/>
      <c r="M112" s="63"/>
      <c r="N112" s="247"/>
      <c r="O112" s="248"/>
      <c r="P112" s="249"/>
      <c r="Q112" s="249"/>
      <c r="R112" s="249"/>
    </row>
    <row r="113" spans="1:18" s="138" customFormat="1" ht="18" customHeight="1">
      <c r="A113" s="243"/>
      <c r="B113" s="244"/>
      <c r="C113" s="244"/>
      <c r="D113" s="251"/>
      <c r="E113" s="245"/>
      <c r="F113" s="243"/>
      <c r="G113" s="243"/>
      <c r="H113" s="243"/>
      <c r="I113" s="246"/>
      <c r="J113" s="246"/>
      <c r="K113" s="63"/>
      <c r="L113" s="63"/>
      <c r="M113" s="63"/>
      <c r="N113" s="247"/>
      <c r="O113" s="248"/>
      <c r="P113" s="249"/>
      <c r="Q113" s="249"/>
      <c r="R113" s="249"/>
    </row>
    <row r="114" spans="1:18" s="138" customFormat="1" ht="18" customHeight="1">
      <c r="A114" s="243"/>
      <c r="B114" s="244"/>
      <c r="C114" s="244"/>
      <c r="D114" s="251"/>
      <c r="E114" s="245"/>
      <c r="F114" s="243"/>
      <c r="G114" s="243"/>
      <c r="H114" s="243"/>
      <c r="I114" s="246"/>
      <c r="J114" s="246"/>
      <c r="K114" s="63"/>
      <c r="L114" s="63"/>
      <c r="M114" s="63"/>
      <c r="N114" s="247"/>
      <c r="O114" s="248"/>
      <c r="P114" s="249"/>
      <c r="Q114" s="249"/>
      <c r="R114" s="249"/>
    </row>
    <row r="115" spans="1:18" s="138" customFormat="1" ht="18" customHeight="1">
      <c r="A115" s="243"/>
      <c r="B115" s="244"/>
      <c r="C115" s="244"/>
      <c r="D115" s="251"/>
      <c r="E115" s="245"/>
      <c r="F115" s="243"/>
      <c r="G115" s="243"/>
      <c r="H115" s="243"/>
      <c r="I115" s="246"/>
      <c r="J115" s="246"/>
      <c r="K115" s="63"/>
      <c r="L115" s="63"/>
      <c r="M115" s="63"/>
      <c r="N115" s="247"/>
      <c r="O115" s="248"/>
      <c r="P115" s="249"/>
      <c r="Q115" s="249"/>
      <c r="R115" s="249"/>
    </row>
    <row r="116" spans="1:18" s="138" customFormat="1" ht="18" customHeight="1">
      <c r="A116" s="243"/>
      <c r="B116" s="244"/>
      <c r="C116" s="244"/>
      <c r="D116" s="251"/>
      <c r="E116" s="245"/>
      <c r="F116" s="243"/>
      <c r="G116" s="243"/>
      <c r="H116" s="243"/>
      <c r="I116" s="246"/>
      <c r="J116" s="246"/>
      <c r="K116" s="63"/>
      <c r="L116" s="63"/>
      <c r="M116" s="63"/>
      <c r="N116" s="247"/>
      <c r="O116" s="248"/>
      <c r="P116" s="249"/>
      <c r="Q116" s="249"/>
      <c r="R116" s="249"/>
    </row>
    <row r="117" spans="1:18" s="138" customFormat="1" ht="18" customHeight="1">
      <c r="A117" s="243"/>
      <c r="B117" s="244"/>
      <c r="C117" s="244"/>
      <c r="D117" s="251"/>
      <c r="E117" s="245"/>
      <c r="F117" s="243"/>
      <c r="G117" s="243"/>
      <c r="H117" s="243"/>
      <c r="I117" s="246"/>
      <c r="J117" s="246"/>
      <c r="K117" s="63"/>
      <c r="L117" s="63"/>
      <c r="M117" s="63"/>
      <c r="N117" s="247"/>
      <c r="O117" s="248"/>
      <c r="P117" s="249"/>
      <c r="Q117" s="249"/>
      <c r="R117" s="249"/>
    </row>
    <row r="118" spans="1:18" s="138" customFormat="1" ht="18" customHeight="1">
      <c r="A118" s="243"/>
      <c r="B118" s="244"/>
      <c r="C118" s="244"/>
      <c r="D118" s="251"/>
      <c r="E118" s="245"/>
      <c r="F118" s="243"/>
      <c r="G118" s="243"/>
      <c r="H118" s="243"/>
      <c r="I118" s="246"/>
      <c r="J118" s="246"/>
      <c r="K118" s="63"/>
      <c r="L118" s="63"/>
      <c r="M118" s="63"/>
      <c r="N118" s="247"/>
      <c r="O118" s="248"/>
      <c r="P118" s="249"/>
      <c r="Q118" s="249"/>
      <c r="R118" s="249"/>
    </row>
    <row r="119" spans="1:18" s="138" customFormat="1" ht="18" customHeight="1">
      <c r="A119" s="243"/>
      <c r="B119" s="244"/>
      <c r="C119" s="244"/>
      <c r="D119" s="251"/>
      <c r="E119" s="245"/>
      <c r="F119" s="243"/>
      <c r="G119" s="243"/>
      <c r="H119" s="243"/>
      <c r="I119" s="246"/>
      <c r="J119" s="246"/>
      <c r="K119" s="63"/>
      <c r="L119" s="63"/>
      <c r="M119" s="63"/>
      <c r="N119" s="247"/>
      <c r="O119" s="248"/>
      <c r="P119" s="249"/>
      <c r="Q119" s="249"/>
      <c r="R119" s="249"/>
    </row>
    <row r="120" spans="1:18" s="138" customFormat="1" ht="18" customHeight="1">
      <c r="A120" s="243"/>
      <c r="B120" s="244"/>
      <c r="C120" s="244"/>
      <c r="D120" s="251"/>
      <c r="E120" s="245"/>
      <c r="F120" s="243"/>
      <c r="G120" s="243"/>
      <c r="H120" s="243"/>
      <c r="I120" s="246"/>
      <c r="J120" s="246"/>
      <c r="K120" s="63"/>
      <c r="L120" s="63"/>
      <c r="M120" s="63"/>
      <c r="N120" s="247"/>
      <c r="O120" s="248"/>
      <c r="P120" s="249"/>
      <c r="Q120" s="249"/>
      <c r="R120" s="249"/>
    </row>
    <row r="121" spans="1:18" s="138" customFormat="1" ht="18" customHeight="1">
      <c r="A121" s="243"/>
      <c r="B121" s="244"/>
      <c r="C121" s="244"/>
      <c r="D121" s="251"/>
      <c r="E121" s="245"/>
      <c r="F121" s="243"/>
      <c r="G121" s="243"/>
      <c r="H121" s="243"/>
      <c r="I121" s="246"/>
      <c r="J121" s="246"/>
      <c r="K121" s="63"/>
      <c r="L121" s="63"/>
      <c r="M121" s="63"/>
      <c r="N121" s="247"/>
      <c r="O121" s="248"/>
      <c r="P121" s="249"/>
      <c r="Q121" s="249"/>
      <c r="R121" s="249"/>
    </row>
    <row r="122" spans="1:18" s="138" customFormat="1" ht="18" customHeight="1">
      <c r="A122" s="243"/>
      <c r="B122" s="244"/>
      <c r="C122" s="244"/>
      <c r="D122" s="251"/>
      <c r="E122" s="245"/>
      <c r="F122" s="243"/>
      <c r="G122" s="243"/>
      <c r="H122" s="243"/>
      <c r="I122" s="246"/>
      <c r="J122" s="246"/>
      <c r="K122" s="63"/>
      <c r="L122" s="63"/>
      <c r="M122" s="63"/>
      <c r="N122" s="247"/>
      <c r="O122" s="248"/>
      <c r="P122" s="249"/>
      <c r="Q122" s="249"/>
      <c r="R122" s="249"/>
    </row>
    <row r="123" spans="1:18" s="138" customFormat="1" ht="18" customHeight="1">
      <c r="A123" s="243"/>
      <c r="B123" s="244"/>
      <c r="C123" s="244"/>
      <c r="D123" s="251"/>
      <c r="E123" s="245"/>
      <c r="F123" s="243"/>
      <c r="G123" s="243"/>
      <c r="H123" s="243"/>
      <c r="I123" s="246"/>
      <c r="J123" s="246"/>
      <c r="K123" s="63"/>
      <c r="L123" s="63"/>
      <c r="M123" s="63"/>
      <c r="N123" s="247"/>
      <c r="O123" s="248"/>
      <c r="P123" s="249"/>
      <c r="Q123" s="249"/>
      <c r="R123" s="249"/>
    </row>
    <row r="124" spans="1:18" s="138" customFormat="1" ht="18" customHeight="1">
      <c r="A124" s="243"/>
      <c r="B124" s="244"/>
      <c r="C124" s="244"/>
      <c r="D124" s="251"/>
      <c r="E124" s="245"/>
      <c r="F124" s="243"/>
      <c r="G124" s="243"/>
      <c r="H124" s="243"/>
      <c r="I124" s="246"/>
      <c r="J124" s="246"/>
      <c r="K124" s="63"/>
      <c r="L124" s="63"/>
      <c r="M124" s="63"/>
      <c r="N124" s="247"/>
      <c r="O124" s="248"/>
      <c r="P124" s="249"/>
      <c r="Q124" s="249"/>
      <c r="R124" s="249"/>
    </row>
    <row r="125" spans="1:18" s="138" customFormat="1" ht="18" customHeight="1">
      <c r="A125" s="243"/>
      <c r="B125" s="244"/>
      <c r="C125" s="244"/>
      <c r="D125" s="251"/>
      <c r="E125" s="245"/>
      <c r="F125" s="243"/>
      <c r="G125" s="243"/>
      <c r="H125" s="243"/>
      <c r="I125" s="246"/>
      <c r="J125" s="246"/>
      <c r="K125" s="63"/>
      <c r="L125" s="63"/>
      <c r="M125" s="63"/>
      <c r="N125" s="247"/>
      <c r="O125" s="248"/>
      <c r="P125" s="249"/>
      <c r="Q125" s="249"/>
      <c r="R125" s="249"/>
    </row>
    <row r="126" spans="1:18" s="138" customFormat="1" ht="18" customHeight="1">
      <c r="A126" s="243"/>
      <c r="B126" s="244"/>
      <c r="C126" s="244"/>
      <c r="D126" s="251"/>
      <c r="E126" s="245"/>
      <c r="F126" s="243"/>
      <c r="G126" s="243"/>
      <c r="H126" s="243"/>
      <c r="I126" s="246"/>
      <c r="J126" s="246"/>
      <c r="K126" s="63"/>
      <c r="L126" s="63"/>
      <c r="M126" s="63"/>
      <c r="N126" s="247"/>
      <c r="O126" s="248"/>
      <c r="P126" s="249"/>
      <c r="Q126" s="249"/>
      <c r="R126" s="249"/>
    </row>
    <row r="127" spans="1:18" s="138" customFormat="1" ht="18" customHeight="1">
      <c r="A127" s="243"/>
      <c r="B127" s="244"/>
      <c r="C127" s="244"/>
      <c r="D127" s="251"/>
      <c r="E127" s="245"/>
      <c r="F127" s="243"/>
      <c r="G127" s="243"/>
      <c r="H127" s="243"/>
      <c r="I127" s="246"/>
      <c r="J127" s="246"/>
      <c r="K127" s="63"/>
      <c r="L127" s="63"/>
      <c r="M127" s="63"/>
      <c r="N127" s="247"/>
      <c r="O127" s="248"/>
      <c r="P127" s="249"/>
      <c r="Q127" s="249"/>
      <c r="R127" s="249"/>
    </row>
    <row r="128" spans="1:18" s="138" customFormat="1" ht="18" customHeight="1">
      <c r="A128" s="243"/>
      <c r="B128" s="244"/>
      <c r="C128" s="244"/>
      <c r="D128" s="251"/>
      <c r="E128" s="245"/>
      <c r="F128" s="243"/>
      <c r="G128" s="243"/>
      <c r="H128" s="243"/>
      <c r="I128" s="246"/>
      <c r="J128" s="246"/>
      <c r="K128" s="63"/>
      <c r="L128" s="63"/>
      <c r="M128" s="63"/>
      <c r="N128" s="247"/>
      <c r="O128" s="248"/>
      <c r="P128" s="249"/>
      <c r="Q128" s="249"/>
      <c r="R128" s="249"/>
    </row>
    <row r="129" spans="1:18" s="138" customFormat="1" ht="18" customHeight="1">
      <c r="A129" s="243"/>
      <c r="B129" s="244"/>
      <c r="C129" s="244"/>
      <c r="D129" s="251"/>
      <c r="E129" s="245"/>
      <c r="F129" s="243"/>
      <c r="G129" s="243"/>
      <c r="H129" s="243"/>
      <c r="I129" s="246"/>
      <c r="J129" s="246"/>
      <c r="K129" s="63"/>
      <c r="L129" s="63"/>
      <c r="M129" s="63"/>
      <c r="N129" s="247"/>
      <c r="O129" s="248"/>
      <c r="P129" s="249"/>
      <c r="Q129" s="249"/>
      <c r="R129" s="249"/>
    </row>
    <row r="130" spans="1:18" s="138" customFormat="1" ht="18" customHeight="1">
      <c r="A130" s="243"/>
      <c r="B130" s="244"/>
      <c r="C130" s="244"/>
      <c r="D130" s="251"/>
      <c r="E130" s="245"/>
      <c r="F130" s="243"/>
      <c r="G130" s="243"/>
      <c r="H130" s="243"/>
      <c r="I130" s="246"/>
      <c r="J130" s="246"/>
      <c r="K130" s="63"/>
      <c r="L130" s="63"/>
      <c r="M130" s="63"/>
      <c r="N130" s="247"/>
      <c r="O130" s="248"/>
      <c r="P130" s="249"/>
      <c r="Q130" s="249"/>
      <c r="R130" s="249"/>
    </row>
    <row r="131" spans="1:18" s="138" customFormat="1" ht="18" customHeight="1">
      <c r="A131" s="243"/>
      <c r="B131" s="244"/>
      <c r="C131" s="244"/>
      <c r="D131" s="251"/>
      <c r="E131" s="245"/>
      <c r="F131" s="243"/>
      <c r="G131" s="243"/>
      <c r="H131" s="243"/>
      <c r="I131" s="246"/>
      <c r="J131" s="246"/>
      <c r="K131" s="63"/>
      <c r="L131" s="63"/>
      <c r="M131" s="63"/>
      <c r="N131" s="247"/>
      <c r="O131" s="248"/>
      <c r="P131" s="249"/>
      <c r="Q131" s="249"/>
      <c r="R131" s="249"/>
    </row>
    <row r="132" spans="1:18" s="138" customFormat="1" ht="18" customHeight="1">
      <c r="A132" s="243"/>
      <c r="B132" s="244"/>
      <c r="C132" s="244"/>
      <c r="D132" s="251"/>
      <c r="E132" s="245"/>
      <c r="F132" s="243"/>
      <c r="G132" s="243"/>
      <c r="H132" s="243"/>
      <c r="I132" s="246"/>
      <c r="J132" s="246"/>
      <c r="K132" s="63"/>
      <c r="L132" s="63"/>
      <c r="M132" s="63"/>
      <c r="N132" s="247"/>
      <c r="O132" s="248"/>
      <c r="P132" s="249"/>
      <c r="Q132" s="249"/>
      <c r="R132" s="249"/>
    </row>
    <row r="133" spans="1:18" s="138" customFormat="1" ht="18" customHeight="1">
      <c r="A133" s="243"/>
      <c r="B133" s="244"/>
      <c r="C133" s="244"/>
      <c r="D133" s="251"/>
      <c r="E133" s="245"/>
      <c r="F133" s="243"/>
      <c r="G133" s="243"/>
      <c r="H133" s="243"/>
      <c r="I133" s="246"/>
      <c r="J133" s="246"/>
      <c r="K133" s="63"/>
      <c r="L133" s="63"/>
      <c r="M133" s="63"/>
      <c r="N133" s="247"/>
      <c r="O133" s="248"/>
      <c r="P133" s="249"/>
      <c r="Q133" s="249"/>
      <c r="R133" s="249"/>
    </row>
    <row r="134" spans="1:18" s="138" customFormat="1" ht="18" customHeight="1">
      <c r="A134" s="243"/>
      <c r="B134" s="244"/>
      <c r="C134" s="244"/>
      <c r="D134" s="251"/>
      <c r="E134" s="245"/>
      <c r="F134" s="243"/>
      <c r="G134" s="243"/>
      <c r="H134" s="243"/>
      <c r="I134" s="246"/>
      <c r="J134" s="246"/>
      <c r="K134" s="63"/>
      <c r="L134" s="63"/>
      <c r="M134" s="63"/>
      <c r="N134" s="247"/>
      <c r="O134" s="248"/>
      <c r="P134" s="249"/>
      <c r="Q134" s="249"/>
      <c r="R134" s="249"/>
    </row>
    <row r="135" spans="1:18" s="138" customFormat="1" ht="18" customHeight="1">
      <c r="A135" s="243"/>
      <c r="B135" s="244"/>
      <c r="C135" s="244"/>
      <c r="D135" s="251"/>
      <c r="E135" s="245"/>
      <c r="F135" s="243"/>
      <c r="G135" s="243"/>
      <c r="H135" s="243"/>
      <c r="I135" s="246"/>
      <c r="J135" s="246"/>
      <c r="K135" s="63"/>
      <c r="L135" s="63"/>
      <c r="M135" s="63"/>
      <c r="N135" s="247"/>
      <c r="O135" s="248"/>
      <c r="P135" s="249"/>
      <c r="Q135" s="249"/>
      <c r="R135" s="249"/>
    </row>
    <row r="136" spans="1:18" s="138" customFormat="1" ht="18" customHeight="1">
      <c r="A136" s="243"/>
      <c r="B136" s="244"/>
      <c r="C136" s="244"/>
      <c r="D136" s="251"/>
      <c r="E136" s="245"/>
      <c r="F136" s="243"/>
      <c r="G136" s="243"/>
      <c r="H136" s="243"/>
      <c r="I136" s="246"/>
      <c r="J136" s="246"/>
      <c r="K136" s="63"/>
      <c r="L136" s="63"/>
      <c r="M136" s="63"/>
      <c r="N136" s="247"/>
      <c r="O136" s="248"/>
      <c r="P136" s="249"/>
      <c r="Q136" s="249"/>
      <c r="R136" s="249"/>
    </row>
    <row r="137" spans="1:18" s="138" customFormat="1" ht="18" customHeight="1">
      <c r="A137" s="243"/>
      <c r="B137" s="244"/>
      <c r="C137" s="244"/>
      <c r="D137" s="251"/>
      <c r="E137" s="245"/>
      <c r="F137" s="243"/>
      <c r="G137" s="243"/>
      <c r="H137" s="243"/>
      <c r="I137" s="246"/>
      <c r="J137" s="246"/>
      <c r="K137" s="63"/>
      <c r="L137" s="63"/>
      <c r="M137" s="63"/>
      <c r="N137" s="247"/>
      <c r="O137" s="248"/>
      <c r="P137" s="249"/>
      <c r="Q137" s="249"/>
      <c r="R137" s="249"/>
    </row>
    <row r="138" spans="1:18" s="138" customFormat="1" ht="18" customHeight="1">
      <c r="A138" s="243"/>
      <c r="B138" s="244"/>
      <c r="C138" s="244"/>
      <c r="D138" s="251"/>
      <c r="E138" s="245"/>
      <c r="F138" s="243"/>
      <c r="G138" s="243"/>
      <c r="H138" s="243"/>
      <c r="I138" s="246"/>
      <c r="J138" s="246"/>
      <c r="K138" s="63"/>
      <c r="L138" s="63"/>
      <c r="M138" s="63"/>
      <c r="N138" s="247"/>
      <c r="O138" s="248"/>
      <c r="P138" s="249"/>
      <c r="Q138" s="249"/>
      <c r="R138" s="249"/>
    </row>
    <row r="139" spans="1:18" s="138" customFormat="1" ht="18" customHeight="1">
      <c r="A139" s="243"/>
      <c r="B139" s="244"/>
      <c r="C139" s="244"/>
      <c r="D139" s="251"/>
      <c r="E139" s="245"/>
      <c r="F139" s="243"/>
      <c r="G139" s="243"/>
      <c r="H139" s="243"/>
      <c r="I139" s="246"/>
      <c r="J139" s="246"/>
      <c r="K139" s="63"/>
      <c r="L139" s="63"/>
      <c r="M139" s="63"/>
      <c r="N139" s="247"/>
      <c r="O139" s="248"/>
      <c r="P139" s="249"/>
      <c r="Q139" s="249"/>
      <c r="R139" s="249"/>
    </row>
    <row r="140" spans="1:18" s="138" customFormat="1" ht="18" customHeight="1">
      <c r="A140" s="243"/>
      <c r="B140" s="244"/>
      <c r="C140" s="244"/>
      <c r="D140" s="251"/>
      <c r="E140" s="245"/>
      <c r="F140" s="243"/>
      <c r="G140" s="243"/>
      <c r="H140" s="243"/>
      <c r="I140" s="246"/>
      <c r="J140" s="246"/>
      <c r="K140" s="63"/>
      <c r="L140" s="63"/>
      <c r="M140" s="63"/>
      <c r="N140" s="247"/>
      <c r="O140" s="248"/>
      <c r="P140" s="249"/>
      <c r="Q140" s="249"/>
      <c r="R140" s="249"/>
    </row>
    <row r="141" spans="1:18" s="138" customFormat="1" ht="18" customHeight="1">
      <c r="A141" s="243"/>
      <c r="B141" s="244"/>
      <c r="C141" s="244"/>
      <c r="D141" s="251"/>
      <c r="E141" s="245"/>
      <c r="F141" s="243"/>
      <c r="G141" s="243"/>
      <c r="H141" s="243"/>
      <c r="I141" s="246"/>
      <c r="J141" s="246"/>
      <c r="K141" s="63"/>
      <c r="L141" s="63"/>
      <c r="M141" s="63"/>
      <c r="N141" s="247"/>
      <c r="O141" s="248"/>
      <c r="P141" s="249"/>
      <c r="Q141" s="249"/>
      <c r="R141" s="249"/>
    </row>
    <row r="142" spans="1:18" s="138" customFormat="1" ht="18" customHeight="1">
      <c r="A142" s="243"/>
      <c r="B142" s="244"/>
      <c r="C142" s="244"/>
      <c r="D142" s="251"/>
      <c r="E142" s="245"/>
      <c r="F142" s="243"/>
      <c r="G142" s="243"/>
      <c r="H142" s="243"/>
      <c r="I142" s="246"/>
      <c r="J142" s="246"/>
      <c r="K142" s="63"/>
      <c r="L142" s="63"/>
      <c r="M142" s="63"/>
      <c r="N142" s="247"/>
      <c r="O142" s="248"/>
      <c r="P142" s="249"/>
      <c r="Q142" s="249"/>
      <c r="R142" s="249"/>
    </row>
    <row r="143" spans="1:18" s="138" customFormat="1" ht="18" customHeight="1">
      <c r="A143" s="243"/>
      <c r="B143" s="244"/>
      <c r="C143" s="244"/>
      <c r="D143" s="251"/>
      <c r="E143" s="245"/>
      <c r="F143" s="243"/>
      <c r="G143" s="243"/>
      <c r="H143" s="243"/>
      <c r="I143" s="246"/>
      <c r="J143" s="246"/>
      <c r="K143" s="63"/>
      <c r="L143" s="63"/>
      <c r="M143" s="63"/>
      <c r="N143" s="247"/>
      <c r="O143" s="248"/>
      <c r="P143" s="249"/>
      <c r="Q143" s="249"/>
      <c r="R143" s="249"/>
    </row>
    <row r="144" spans="1:18" s="138" customFormat="1" ht="18" customHeight="1">
      <c r="A144" s="243"/>
      <c r="B144" s="244"/>
      <c r="C144" s="244"/>
      <c r="D144" s="251"/>
      <c r="E144" s="245"/>
      <c r="F144" s="243"/>
      <c r="G144" s="243"/>
      <c r="H144" s="243"/>
      <c r="I144" s="246"/>
      <c r="J144" s="246"/>
      <c r="K144" s="63"/>
      <c r="L144" s="63"/>
      <c r="M144" s="63"/>
      <c r="N144" s="247"/>
      <c r="O144" s="248"/>
      <c r="P144" s="249"/>
      <c r="Q144" s="249"/>
      <c r="R144" s="249"/>
    </row>
    <row r="145" spans="1:25" s="138" customFormat="1" ht="18" customHeight="1">
      <c r="A145" s="243"/>
      <c r="B145" s="244"/>
      <c r="C145" s="244"/>
      <c r="D145" s="251"/>
      <c r="E145" s="245"/>
      <c r="F145" s="243"/>
      <c r="G145" s="243"/>
      <c r="H145" s="243"/>
      <c r="I145" s="246"/>
      <c r="J145" s="246"/>
      <c r="K145" s="63"/>
      <c r="L145" s="63"/>
      <c r="M145" s="63"/>
      <c r="N145" s="247"/>
      <c r="O145" s="248"/>
      <c r="P145" s="249"/>
      <c r="Q145" s="249"/>
      <c r="R145" s="249"/>
    </row>
    <row r="146" spans="1:25" s="138" customFormat="1" ht="18" customHeight="1">
      <c r="A146" s="243"/>
      <c r="B146" s="244"/>
      <c r="C146" s="244"/>
      <c r="D146" s="251"/>
      <c r="E146" s="245"/>
      <c r="F146" s="243"/>
      <c r="G146" s="243"/>
      <c r="H146" s="243"/>
      <c r="I146" s="246"/>
      <c r="J146" s="246"/>
      <c r="K146" s="63"/>
      <c r="L146" s="63"/>
      <c r="M146" s="63"/>
      <c r="N146" s="247"/>
      <c r="O146" s="248"/>
      <c r="P146" s="249"/>
      <c r="Q146" s="249"/>
      <c r="R146" s="249"/>
    </row>
    <row r="147" spans="1:25" s="138" customFormat="1" ht="18" customHeight="1">
      <c r="A147" s="243"/>
      <c r="B147" s="244"/>
      <c r="C147" s="244"/>
      <c r="D147" s="251"/>
      <c r="E147" s="245"/>
      <c r="F147" s="243"/>
      <c r="G147" s="243"/>
      <c r="H147" s="243"/>
      <c r="I147" s="246"/>
      <c r="J147" s="246"/>
      <c r="K147" s="63"/>
      <c r="L147" s="63"/>
      <c r="M147" s="63"/>
      <c r="N147" s="247"/>
      <c r="O147" s="248"/>
      <c r="P147" s="249"/>
      <c r="Q147" s="249"/>
      <c r="R147" s="249"/>
    </row>
    <row r="148" spans="1:25" s="138" customFormat="1" ht="18" customHeight="1">
      <c r="A148" s="243"/>
      <c r="B148" s="244"/>
      <c r="C148" s="244"/>
      <c r="D148" s="251"/>
      <c r="E148" s="245"/>
      <c r="F148" s="243"/>
      <c r="G148" s="243"/>
      <c r="H148" s="243"/>
      <c r="I148" s="246"/>
      <c r="J148" s="246"/>
      <c r="K148" s="63"/>
      <c r="L148" s="63"/>
      <c r="M148" s="63"/>
      <c r="N148" s="247"/>
      <c r="O148" s="248"/>
      <c r="P148" s="249"/>
      <c r="Q148" s="249"/>
      <c r="R148" s="249"/>
    </row>
    <row r="149" spans="1:25" s="138" customFormat="1" ht="18" customHeight="1">
      <c r="A149" s="243"/>
      <c r="B149" s="244"/>
      <c r="C149" s="244"/>
      <c r="D149" s="251"/>
      <c r="E149" s="245"/>
      <c r="F149" s="243"/>
      <c r="G149" s="243"/>
      <c r="H149" s="243"/>
      <c r="I149" s="246"/>
      <c r="J149" s="246"/>
      <c r="K149" s="63"/>
      <c r="L149" s="63"/>
      <c r="M149" s="63"/>
      <c r="N149" s="247"/>
      <c r="O149" s="248"/>
      <c r="P149" s="249"/>
      <c r="Q149" s="249"/>
      <c r="R149" s="249"/>
    </row>
    <row r="150" spans="1:25" s="138" customFormat="1" ht="18" customHeight="1">
      <c r="A150" s="243"/>
      <c r="B150" s="244"/>
      <c r="C150" s="244"/>
      <c r="D150" s="251"/>
      <c r="E150" s="245"/>
      <c r="F150" s="243"/>
      <c r="G150" s="243"/>
      <c r="H150" s="243"/>
      <c r="I150" s="246"/>
      <c r="J150" s="246"/>
      <c r="K150" s="63"/>
      <c r="L150" s="63"/>
      <c r="M150" s="63"/>
      <c r="N150" s="247"/>
      <c r="O150" s="248"/>
      <c r="P150" s="249"/>
      <c r="Q150" s="249"/>
      <c r="R150" s="249"/>
    </row>
    <row r="151" spans="1:25" s="138" customFormat="1" ht="18" customHeight="1">
      <c r="A151" s="243"/>
      <c r="B151" s="244"/>
      <c r="C151" s="244"/>
      <c r="D151" s="251"/>
      <c r="E151" s="245"/>
      <c r="F151" s="243"/>
      <c r="G151" s="243"/>
      <c r="H151" s="243"/>
      <c r="I151" s="246"/>
      <c r="J151" s="246"/>
      <c r="K151" s="63"/>
      <c r="L151" s="63"/>
      <c r="M151" s="63"/>
      <c r="N151" s="247"/>
      <c r="O151" s="248"/>
      <c r="P151" s="249"/>
      <c r="Q151" s="249"/>
      <c r="R151" s="249"/>
    </row>
    <row r="152" spans="1:25" s="138" customFormat="1" ht="18" customHeight="1">
      <c r="A152" s="243"/>
      <c r="B152" s="244"/>
      <c r="C152" s="244"/>
      <c r="D152" s="251"/>
      <c r="E152" s="251"/>
      <c r="F152" s="243"/>
      <c r="G152" s="243"/>
      <c r="H152" s="243"/>
      <c r="I152" s="246"/>
      <c r="J152" s="246"/>
      <c r="K152" s="63"/>
      <c r="L152" s="63"/>
      <c r="M152" s="63"/>
      <c r="N152" s="247"/>
      <c r="O152" s="292"/>
      <c r="P152" s="293"/>
      <c r="Q152" s="293"/>
      <c r="R152" s="293"/>
    </row>
    <row r="153" spans="1:25" s="138" customFormat="1" ht="18" customHeight="1">
      <c r="A153" s="243"/>
      <c r="B153" s="244"/>
      <c r="C153" s="244"/>
      <c r="D153" s="251"/>
      <c r="E153" s="245"/>
      <c r="F153" s="243"/>
      <c r="G153" s="243"/>
      <c r="H153" s="243"/>
      <c r="I153" s="246"/>
      <c r="J153" s="246"/>
      <c r="K153" s="63"/>
      <c r="L153" s="63"/>
      <c r="M153" s="63"/>
      <c r="N153" s="247"/>
      <c r="O153" s="292"/>
      <c r="P153" s="293"/>
      <c r="Q153" s="293"/>
      <c r="R153" s="293"/>
      <c r="V153" s="138">
        <f>S153+T153+U153</f>
        <v>0</v>
      </c>
    </row>
    <row r="154" spans="1:25" s="138" customFormat="1" ht="18" customHeight="1">
      <c r="A154" s="243"/>
      <c r="B154" s="244"/>
      <c r="C154" s="244"/>
      <c r="D154" s="251"/>
      <c r="E154" s="245"/>
      <c r="F154" s="243"/>
      <c r="G154" s="243"/>
      <c r="H154" s="243"/>
      <c r="I154" s="246"/>
      <c r="J154" s="246"/>
      <c r="K154" s="63"/>
      <c r="L154" s="63"/>
      <c r="M154" s="63"/>
      <c r="N154" s="247"/>
      <c r="O154" s="292"/>
      <c r="P154" s="293"/>
      <c r="Q154" s="293"/>
      <c r="R154" s="293"/>
    </row>
    <row r="155" spans="1:25" s="138" customFormat="1" ht="18" customHeight="1">
      <c r="A155" s="243"/>
      <c r="B155" s="244"/>
      <c r="C155" s="244"/>
      <c r="D155" s="251"/>
      <c r="E155" s="245"/>
      <c r="F155" s="243"/>
      <c r="G155" s="243"/>
      <c r="H155" s="243"/>
      <c r="I155" s="246"/>
      <c r="J155" s="246"/>
      <c r="K155" s="63"/>
      <c r="L155" s="63"/>
      <c r="M155" s="63"/>
      <c r="N155" s="247"/>
      <c r="O155" s="248"/>
      <c r="P155" s="249"/>
      <c r="Q155" s="249"/>
      <c r="R155" s="294"/>
    </row>
    <row r="156" spans="1:25" s="138" customFormat="1" ht="18" customHeight="1">
      <c r="A156" s="243"/>
      <c r="B156" s="244"/>
      <c r="C156" s="244"/>
      <c r="D156" s="251"/>
      <c r="E156" s="245"/>
      <c r="F156" s="243"/>
      <c r="G156" s="243"/>
      <c r="H156" s="243"/>
      <c r="I156" s="246"/>
      <c r="J156" s="246"/>
      <c r="K156" s="63"/>
      <c r="L156" s="63"/>
      <c r="M156" s="63"/>
      <c r="N156" s="247"/>
      <c r="O156" s="248"/>
      <c r="P156" s="249"/>
      <c r="Q156" s="249"/>
      <c r="R156" s="249"/>
      <c r="V156" s="138" t="s">
        <v>4</v>
      </c>
    </row>
    <row r="157" spans="1:25" s="138" customFormat="1" ht="18" customHeight="1">
      <c r="A157" s="243"/>
      <c r="B157" s="244"/>
      <c r="C157" s="244"/>
      <c r="D157" s="251"/>
      <c r="E157" s="245"/>
      <c r="F157" s="243"/>
      <c r="G157" s="243"/>
      <c r="H157" s="243"/>
      <c r="I157" s="246"/>
      <c r="J157" s="246"/>
      <c r="K157" s="63"/>
      <c r="L157" s="63"/>
      <c r="M157" s="63"/>
      <c r="N157" s="247"/>
      <c r="O157" s="138">
        <v>963781</v>
      </c>
      <c r="P157" s="138">
        <v>1009728</v>
      </c>
      <c r="Q157" s="138">
        <v>942805</v>
      </c>
      <c r="R157" s="249"/>
      <c r="V157" s="322">
        <v>1057562</v>
      </c>
      <c r="W157" s="322">
        <v>1058378</v>
      </c>
      <c r="X157" s="322">
        <f>W157-V157</f>
        <v>816</v>
      </c>
      <c r="Y157" s="322">
        <f>X157*15.4</f>
        <v>12566.4</v>
      </c>
    </row>
    <row r="158" spans="1:25" s="65" customFormat="1" ht="17.100000000000001" customHeight="1">
      <c r="A158" s="180"/>
      <c r="B158" s="180"/>
      <c r="C158" s="180"/>
      <c r="D158" s="180"/>
      <c r="E158" s="180"/>
      <c r="F158" s="181"/>
      <c r="G158" s="182"/>
      <c r="H158" s="182"/>
      <c r="I158" s="182"/>
      <c r="J158" s="182"/>
      <c r="K158" s="185"/>
      <c r="L158" s="185"/>
      <c r="M158" s="185"/>
      <c r="N158" s="183"/>
      <c r="O158" s="184"/>
      <c r="P158" s="184"/>
      <c r="Q158" s="185"/>
      <c r="R158" s="186"/>
      <c r="V158" s="323">
        <v>137565</v>
      </c>
      <c r="W158" s="323">
        <v>137666</v>
      </c>
      <c r="X158" s="322">
        <f>W158-V158</f>
        <v>101</v>
      </c>
      <c r="Y158" s="322">
        <f>X158*15.4</f>
        <v>1555.4</v>
      </c>
    </row>
    <row r="159" spans="1:25" s="65" customFormat="1" ht="17.100000000000001" customHeight="1">
      <c r="A159" s="180"/>
      <c r="B159" s="180"/>
      <c r="C159" s="180"/>
      <c r="D159" s="180"/>
      <c r="E159" s="180"/>
      <c r="F159" s="181"/>
      <c r="G159" s="182"/>
      <c r="H159" s="182"/>
      <c r="I159" s="182"/>
      <c r="J159" s="182"/>
      <c r="K159" s="185"/>
      <c r="L159" s="185"/>
      <c r="M159" s="185"/>
      <c r="N159" s="183"/>
      <c r="O159" s="184"/>
      <c r="P159" s="184"/>
      <c r="Q159" s="185"/>
      <c r="R159" s="186"/>
      <c r="V159" s="323"/>
      <c r="W159" s="323"/>
      <c r="X159" s="322"/>
      <c r="Y159" s="322"/>
    </row>
    <row r="160" spans="1:25" s="65" customFormat="1" ht="17.100000000000001" customHeight="1">
      <c r="A160" s="180"/>
      <c r="B160" s="180"/>
      <c r="C160" s="180"/>
      <c r="D160" s="180"/>
      <c r="E160" s="180"/>
      <c r="F160" s="181"/>
      <c r="G160" s="182"/>
      <c r="H160" s="182"/>
      <c r="I160" s="182"/>
      <c r="J160" s="182"/>
      <c r="K160" s="185"/>
      <c r="L160" s="185"/>
      <c r="M160" s="185"/>
      <c r="N160" s="183"/>
      <c r="O160" s="184"/>
      <c r="P160" s="184"/>
      <c r="Q160" s="185"/>
      <c r="R160" s="186"/>
      <c r="V160" s="323"/>
      <c r="W160" s="323"/>
      <c r="X160" s="322"/>
      <c r="Y160" s="322"/>
    </row>
    <row r="161" spans="1:25" s="65" customFormat="1" ht="17.100000000000001" customHeight="1">
      <c r="A161" s="180"/>
      <c r="B161" s="180"/>
      <c r="C161" s="180"/>
      <c r="D161" s="180"/>
      <c r="E161" s="180"/>
      <c r="F161" s="181"/>
      <c r="G161" s="182"/>
      <c r="H161" s="182"/>
      <c r="I161" s="182"/>
      <c r="J161" s="182"/>
      <c r="K161" s="185"/>
      <c r="L161" s="185"/>
      <c r="M161" s="185"/>
      <c r="N161" s="183"/>
      <c r="O161" s="184"/>
      <c r="P161" s="184"/>
      <c r="Q161" s="185"/>
      <c r="R161" s="186"/>
      <c r="V161" s="323"/>
      <c r="W161" s="323"/>
      <c r="X161" s="322"/>
      <c r="Y161" s="322"/>
    </row>
    <row r="162" spans="1:25" s="65" customFormat="1" ht="17.100000000000001" customHeight="1">
      <c r="A162" s="180"/>
      <c r="B162" s="180"/>
      <c r="C162" s="180"/>
      <c r="D162" s="180"/>
      <c r="E162" s="180"/>
      <c r="F162" s="181"/>
      <c r="G162" s="182"/>
      <c r="H162" s="182"/>
      <c r="I162" s="182"/>
      <c r="J162" s="182"/>
      <c r="K162" s="185"/>
      <c r="L162" s="185"/>
      <c r="M162" s="185"/>
      <c r="N162" s="183"/>
      <c r="O162" s="184"/>
      <c r="P162" s="184"/>
      <c r="Q162" s="185"/>
      <c r="R162" s="186"/>
      <c r="V162" s="323"/>
      <c r="W162" s="323"/>
      <c r="X162" s="322"/>
      <c r="Y162" s="322"/>
    </row>
    <row r="163" spans="1:25" s="65" customFormat="1" ht="17.100000000000001" customHeight="1">
      <c r="A163" s="180"/>
      <c r="B163" s="180"/>
      <c r="C163" s="180"/>
      <c r="D163" s="180"/>
      <c r="E163" s="180"/>
      <c r="F163" s="181"/>
      <c r="G163" s="182"/>
      <c r="H163" s="182"/>
      <c r="I163" s="182"/>
      <c r="J163" s="182"/>
      <c r="K163" s="185"/>
      <c r="L163" s="185"/>
      <c r="M163" s="185"/>
      <c r="N163" s="183"/>
      <c r="O163" s="184"/>
      <c r="P163" s="184"/>
      <c r="Q163" s="185"/>
      <c r="R163" s="186"/>
      <c r="V163" s="323"/>
      <c r="W163" s="323"/>
      <c r="X163" s="322"/>
      <c r="Y163" s="322"/>
    </row>
    <row r="164" spans="1:25" s="65" customFormat="1" ht="17.100000000000001" customHeight="1">
      <c r="A164" s="180"/>
      <c r="B164" s="180"/>
      <c r="C164" s="180"/>
      <c r="D164" s="180"/>
      <c r="E164" s="180"/>
      <c r="F164" s="181"/>
      <c r="G164" s="182"/>
      <c r="H164" s="182"/>
      <c r="I164" s="182"/>
      <c r="J164" s="182"/>
      <c r="K164" s="185"/>
      <c r="L164" s="185"/>
      <c r="M164" s="185"/>
      <c r="N164" s="183"/>
      <c r="O164" s="184"/>
      <c r="P164" s="184"/>
      <c r="Q164" s="185"/>
      <c r="R164" s="186"/>
      <c r="V164" s="323"/>
      <c r="W164" s="323"/>
      <c r="X164" s="322"/>
      <c r="Y164" s="322"/>
    </row>
    <row r="165" spans="1:25" s="65" customFormat="1" ht="17.100000000000001" customHeight="1">
      <c r="A165" s="180"/>
      <c r="B165" s="180"/>
      <c r="C165" s="180"/>
      <c r="D165" s="180"/>
      <c r="E165" s="180"/>
      <c r="F165" s="181"/>
      <c r="G165" s="182"/>
      <c r="H165" s="182"/>
      <c r="I165" s="182"/>
      <c r="J165" s="182"/>
      <c r="K165" s="185"/>
      <c r="L165" s="185"/>
      <c r="M165" s="185"/>
      <c r="N165" s="183"/>
      <c r="O165" s="184"/>
      <c r="P165" s="184"/>
      <c r="Q165" s="185"/>
      <c r="R165" s="186"/>
      <c r="V165" s="323"/>
      <c r="W165" s="323"/>
      <c r="X165" s="322"/>
      <c r="Y165" s="322"/>
    </row>
    <row r="166" spans="1:25" s="65" customFormat="1" ht="17.100000000000001" customHeight="1">
      <c r="A166" s="180"/>
      <c r="B166" s="180"/>
      <c r="C166" s="180"/>
      <c r="D166" s="180"/>
      <c r="E166" s="180"/>
      <c r="F166" s="181"/>
      <c r="G166" s="182"/>
      <c r="H166" s="182"/>
      <c r="I166" s="182"/>
      <c r="J166" s="182"/>
      <c r="K166" s="185"/>
      <c r="L166" s="185"/>
      <c r="M166" s="185"/>
      <c r="N166" s="183"/>
      <c r="O166" s="184"/>
      <c r="P166" s="184"/>
      <c r="Q166" s="185"/>
      <c r="R166" s="186"/>
      <c r="V166" s="323"/>
      <c r="W166" s="323"/>
      <c r="X166" s="322"/>
      <c r="Y166" s="322"/>
    </row>
    <row r="167" spans="1:25" s="65" customFormat="1" ht="17.100000000000001" customHeight="1">
      <c r="A167" s="180"/>
      <c r="B167" s="180"/>
      <c r="C167" s="180"/>
      <c r="D167" s="180"/>
      <c r="E167" s="180"/>
      <c r="F167" s="181"/>
      <c r="G167" s="182"/>
      <c r="H167" s="182"/>
      <c r="I167" s="182"/>
      <c r="J167" s="182"/>
      <c r="K167" s="185"/>
      <c r="L167" s="185"/>
      <c r="M167" s="185"/>
      <c r="N167" s="183"/>
      <c r="O167" s="184"/>
      <c r="P167" s="184"/>
      <c r="Q167" s="185"/>
      <c r="R167" s="186"/>
      <c r="V167" s="323"/>
      <c r="W167" s="323"/>
      <c r="X167" s="322"/>
      <c r="Y167" s="322"/>
    </row>
    <row r="168" spans="1:25" s="65" customFormat="1" ht="17.100000000000001" customHeight="1">
      <c r="A168" s="180"/>
      <c r="B168" s="180"/>
      <c r="C168" s="180"/>
      <c r="D168" s="180"/>
      <c r="E168" s="180"/>
      <c r="F168" s="181"/>
      <c r="G168" s="182"/>
      <c r="H168" s="182"/>
      <c r="I168" s="182"/>
      <c r="J168" s="182"/>
      <c r="K168" s="185"/>
      <c r="L168" s="185"/>
      <c r="M168" s="185"/>
      <c r="N168" s="183"/>
      <c r="O168" s="184"/>
      <c r="P168" s="184"/>
      <c r="Q168" s="185"/>
      <c r="R168" s="186"/>
      <c r="V168" s="323"/>
      <c r="W168" s="323"/>
      <c r="X168" s="322"/>
      <c r="Y168" s="322"/>
    </row>
    <row r="169" spans="1:25" s="65" customFormat="1" ht="17.100000000000001" customHeight="1">
      <c r="A169" s="180"/>
      <c r="B169" s="180"/>
      <c r="C169" s="180"/>
      <c r="D169" s="180"/>
      <c r="E169" s="180"/>
      <c r="F169" s="181"/>
      <c r="G169" s="182"/>
      <c r="H169" s="182"/>
      <c r="I169" s="182"/>
      <c r="J169" s="182"/>
      <c r="K169" s="185"/>
      <c r="L169" s="185"/>
      <c r="M169" s="185"/>
      <c r="N169" s="183"/>
      <c r="O169" s="184"/>
      <c r="P169" s="184"/>
      <c r="Q169" s="185"/>
      <c r="R169" s="186"/>
      <c r="V169" s="323"/>
      <c r="W169" s="323"/>
      <c r="X169" s="322"/>
      <c r="Y169" s="322"/>
    </row>
    <row r="170" spans="1:25" s="65" customFormat="1" ht="17.100000000000001" customHeight="1">
      <c r="A170" s="180"/>
      <c r="B170" s="180"/>
      <c r="C170" s="180"/>
      <c r="D170" s="180"/>
      <c r="E170" s="180"/>
      <c r="F170" s="181"/>
      <c r="G170" s="182"/>
      <c r="H170" s="182"/>
      <c r="I170" s="182"/>
      <c r="J170" s="182"/>
      <c r="K170" s="185"/>
      <c r="L170" s="185"/>
      <c r="M170" s="185"/>
      <c r="N170" s="183"/>
      <c r="O170" s="184"/>
      <c r="P170" s="184"/>
      <c r="Q170" s="185"/>
      <c r="R170" s="186"/>
      <c r="V170" s="323"/>
      <c r="W170" s="323"/>
      <c r="X170" s="322"/>
      <c r="Y170" s="322"/>
    </row>
    <row r="171" spans="1:25" s="65" customFormat="1" ht="17.100000000000001" customHeight="1">
      <c r="A171" s="180"/>
      <c r="B171" s="180"/>
      <c r="C171" s="180"/>
      <c r="D171" s="180"/>
      <c r="E171" s="180"/>
      <c r="F171" s="181"/>
      <c r="G171" s="182"/>
      <c r="H171" s="182"/>
      <c r="I171" s="182"/>
      <c r="J171" s="182"/>
      <c r="K171" s="185"/>
      <c r="L171" s="185"/>
      <c r="M171" s="185"/>
      <c r="N171" s="183"/>
      <c r="O171" s="184"/>
      <c r="P171" s="184"/>
      <c r="Q171" s="185"/>
      <c r="R171" s="186"/>
      <c r="V171" s="323"/>
      <c r="W171" s="323"/>
      <c r="X171" s="322"/>
      <c r="Y171" s="322"/>
    </row>
    <row r="172" spans="1:25" s="65" customFormat="1" ht="17.100000000000001" customHeight="1">
      <c r="A172" s="180"/>
      <c r="B172" s="180"/>
      <c r="C172" s="180"/>
      <c r="D172" s="180"/>
      <c r="E172" s="180"/>
      <c r="F172" s="181"/>
      <c r="G172" s="182"/>
      <c r="H172" s="182"/>
      <c r="I172" s="182"/>
      <c r="J172" s="182"/>
      <c r="K172" s="185"/>
      <c r="L172" s="185"/>
      <c r="M172" s="185"/>
      <c r="N172" s="183"/>
      <c r="O172" s="184"/>
      <c r="P172" s="184"/>
      <c r="Q172" s="185"/>
      <c r="R172" s="186"/>
      <c r="V172" s="323"/>
      <c r="W172" s="323"/>
      <c r="X172" s="322"/>
      <c r="Y172" s="322"/>
    </row>
    <row r="173" spans="1:25" s="65" customFormat="1" ht="17.100000000000001" customHeight="1">
      <c r="A173" s="180"/>
      <c r="B173" s="180"/>
      <c r="C173" s="180"/>
      <c r="D173" s="180"/>
      <c r="E173" s="180"/>
      <c r="F173" s="181"/>
      <c r="G173" s="182"/>
      <c r="H173" s="182"/>
      <c r="I173" s="182"/>
      <c r="J173" s="182"/>
      <c r="K173" s="185"/>
      <c r="L173" s="185"/>
      <c r="M173" s="185"/>
      <c r="N173" s="183"/>
      <c r="O173" s="184"/>
      <c r="P173" s="184"/>
      <c r="Q173" s="185"/>
      <c r="R173" s="186"/>
      <c r="V173" s="323"/>
      <c r="W173" s="323"/>
      <c r="X173" s="322"/>
      <c r="Y173" s="322"/>
    </row>
    <row r="174" spans="1:25" s="65" customFormat="1" ht="17.100000000000001" customHeight="1">
      <c r="A174" s="180"/>
      <c r="B174" s="180"/>
      <c r="C174" s="180"/>
      <c r="D174" s="180"/>
      <c r="E174" s="180"/>
      <c r="F174" s="181"/>
      <c r="G174" s="182"/>
      <c r="H174" s="182"/>
      <c r="I174" s="182"/>
      <c r="J174" s="182"/>
      <c r="K174" s="185"/>
      <c r="L174" s="185"/>
      <c r="M174" s="185"/>
      <c r="N174" s="183"/>
      <c r="O174" s="184"/>
      <c r="P174" s="184"/>
      <c r="Q174" s="185"/>
      <c r="R174" s="186"/>
      <c r="V174" s="323"/>
      <c r="W174" s="323"/>
      <c r="X174" s="322"/>
      <c r="Y174" s="322"/>
    </row>
    <row r="175" spans="1:25" s="65" customFormat="1" ht="17.100000000000001" customHeight="1">
      <c r="A175" s="180"/>
      <c r="B175" s="180"/>
      <c r="C175" s="180"/>
      <c r="D175" s="180"/>
      <c r="E175" s="180"/>
      <c r="F175" s="181"/>
      <c r="G175" s="182"/>
      <c r="H175" s="182"/>
      <c r="I175" s="182"/>
      <c r="J175" s="182"/>
      <c r="K175" s="185"/>
      <c r="L175" s="185"/>
      <c r="M175" s="185"/>
      <c r="N175" s="183"/>
      <c r="O175" s="184"/>
      <c r="P175" s="184"/>
      <c r="Q175" s="185"/>
      <c r="R175" s="186"/>
      <c r="V175" s="323"/>
      <c r="W175" s="323"/>
      <c r="X175" s="322"/>
      <c r="Y175" s="322"/>
    </row>
    <row r="176" spans="1:25" s="65" customFormat="1" ht="17.100000000000001" customHeight="1">
      <c r="A176" s="180"/>
      <c r="B176" s="180"/>
      <c r="C176" s="180"/>
      <c r="D176" s="180"/>
      <c r="E176" s="180"/>
      <c r="F176" s="181"/>
      <c r="G176" s="182"/>
      <c r="H176" s="182"/>
      <c r="I176" s="182"/>
      <c r="J176" s="182"/>
      <c r="K176" s="185"/>
      <c r="L176" s="185"/>
      <c r="M176" s="185"/>
      <c r="N176" s="183"/>
      <c r="O176" s="184"/>
      <c r="P176" s="184"/>
      <c r="Q176" s="185"/>
      <c r="R176" s="186"/>
      <c r="V176" s="323"/>
      <c r="W176" s="323"/>
      <c r="X176" s="322"/>
      <c r="Y176" s="322"/>
    </row>
    <row r="177" spans="1:25" s="65" customFormat="1" ht="17.100000000000001" customHeight="1">
      <c r="A177" s="180"/>
      <c r="B177" s="180"/>
      <c r="C177" s="180"/>
      <c r="D177" s="180"/>
      <c r="E177" s="180"/>
      <c r="F177" s="181"/>
      <c r="G177" s="182"/>
      <c r="H177" s="182"/>
      <c r="I177" s="182"/>
      <c r="J177" s="182"/>
      <c r="K177" s="185"/>
      <c r="L177" s="185"/>
      <c r="M177" s="185"/>
      <c r="N177" s="183"/>
      <c r="O177" s="184"/>
      <c r="P177" s="184"/>
      <c r="Q177" s="185"/>
      <c r="R177" s="186"/>
      <c r="V177" s="323"/>
      <c r="W177" s="323"/>
      <c r="X177" s="322"/>
      <c r="Y177" s="322"/>
    </row>
    <row r="178" spans="1:25" s="65" customFormat="1" ht="17.100000000000001" customHeight="1">
      <c r="A178" s="180"/>
      <c r="B178" s="180"/>
      <c r="C178" s="180"/>
      <c r="D178" s="180"/>
      <c r="E178" s="180"/>
      <c r="F178" s="181"/>
      <c r="G178" s="182"/>
      <c r="H178" s="182"/>
      <c r="I178" s="182"/>
      <c r="J178" s="182"/>
      <c r="K178" s="185"/>
      <c r="L178" s="185"/>
      <c r="M178" s="185"/>
      <c r="N178" s="183"/>
      <c r="O178" s="184"/>
      <c r="P178" s="184"/>
      <c r="Q178" s="185"/>
      <c r="R178" s="186"/>
      <c r="V178" s="323"/>
      <c r="W178" s="323"/>
      <c r="X178" s="322"/>
      <c r="Y178" s="322"/>
    </row>
    <row r="179" spans="1:25" s="65" customFormat="1" ht="17.100000000000001" customHeight="1">
      <c r="A179" s="180"/>
      <c r="B179" s="180"/>
      <c r="C179" s="180"/>
      <c r="D179" s="180"/>
      <c r="E179" s="180"/>
      <c r="F179" s="181"/>
      <c r="G179" s="182"/>
      <c r="H179" s="182"/>
      <c r="I179" s="182"/>
      <c r="J179" s="182"/>
      <c r="K179" s="185"/>
      <c r="L179" s="185"/>
      <c r="M179" s="185"/>
      <c r="N179" s="183"/>
      <c r="O179" s="184"/>
      <c r="P179" s="184"/>
      <c r="Q179" s="185"/>
      <c r="R179" s="186"/>
      <c r="V179" s="323"/>
      <c r="W179" s="323"/>
      <c r="X179" s="322"/>
      <c r="Y179" s="322"/>
    </row>
    <row r="180" spans="1:25" s="65" customFormat="1" ht="17.100000000000001" customHeight="1">
      <c r="A180" s="180"/>
      <c r="B180" s="180"/>
      <c r="C180" s="180"/>
      <c r="D180" s="180"/>
      <c r="E180" s="180"/>
      <c r="F180" s="181"/>
      <c r="G180" s="182"/>
      <c r="H180" s="182"/>
      <c r="I180" s="182"/>
      <c r="J180" s="182"/>
      <c r="K180" s="185"/>
      <c r="L180" s="185"/>
      <c r="M180" s="185"/>
      <c r="N180" s="183"/>
      <c r="O180" s="184"/>
      <c r="P180" s="184"/>
      <c r="Q180" s="185"/>
      <c r="R180" s="186"/>
      <c r="V180" s="323"/>
      <c r="W180" s="323"/>
      <c r="X180" s="322"/>
      <c r="Y180" s="322"/>
    </row>
    <row r="181" spans="1:25" s="65" customFormat="1" ht="17.100000000000001" customHeight="1">
      <c r="A181" s="180"/>
      <c r="B181" s="180"/>
      <c r="C181" s="180"/>
      <c r="D181" s="180"/>
      <c r="E181" s="180"/>
      <c r="F181" s="181"/>
      <c r="G181" s="182"/>
      <c r="H181" s="182"/>
      <c r="I181" s="182"/>
      <c r="J181" s="182"/>
      <c r="K181" s="185"/>
      <c r="L181" s="185"/>
      <c r="M181" s="185"/>
      <c r="N181" s="183"/>
      <c r="O181" s="184"/>
      <c r="P181" s="184"/>
      <c r="Q181" s="185"/>
      <c r="R181" s="186"/>
      <c r="V181" s="323"/>
      <c r="W181" s="323"/>
      <c r="X181" s="322"/>
      <c r="Y181" s="322"/>
    </row>
    <row r="182" spans="1:25" s="65" customFormat="1" ht="17.100000000000001" customHeight="1">
      <c r="A182" s="180"/>
      <c r="B182" s="180"/>
      <c r="C182" s="180"/>
      <c r="D182" s="180"/>
      <c r="E182" s="180"/>
      <c r="F182" s="181"/>
      <c r="G182" s="182"/>
      <c r="H182" s="182"/>
      <c r="I182" s="182"/>
      <c r="J182" s="182"/>
      <c r="K182" s="185"/>
      <c r="L182" s="185"/>
      <c r="M182" s="185"/>
      <c r="N182" s="183"/>
      <c r="O182" s="184"/>
      <c r="P182" s="184"/>
      <c r="Q182" s="185"/>
      <c r="R182" s="186"/>
      <c r="V182" s="323"/>
      <c r="W182" s="323"/>
      <c r="X182" s="322"/>
      <c r="Y182" s="322"/>
    </row>
    <row r="183" spans="1:25" s="65" customFormat="1" ht="17.100000000000001" customHeight="1">
      <c r="A183" s="180"/>
      <c r="B183" s="180"/>
      <c r="C183" s="180"/>
      <c r="D183" s="180"/>
      <c r="E183" s="180"/>
      <c r="F183" s="181"/>
      <c r="G183" s="182"/>
      <c r="H183" s="182"/>
      <c r="I183" s="182"/>
      <c r="J183" s="182"/>
      <c r="K183" s="185"/>
      <c r="L183" s="185"/>
      <c r="M183" s="185"/>
      <c r="N183" s="183"/>
      <c r="O183" s="184"/>
      <c r="P183" s="184"/>
      <c r="Q183" s="185"/>
      <c r="R183" s="186"/>
      <c r="V183" s="323"/>
      <c r="W183" s="323"/>
      <c r="X183" s="322"/>
      <c r="Y183" s="322"/>
    </row>
    <row r="184" spans="1:25" s="65" customFormat="1" ht="17.100000000000001" customHeight="1">
      <c r="A184" s="180"/>
      <c r="B184" s="180"/>
      <c r="C184" s="180"/>
      <c r="D184" s="180"/>
      <c r="E184" s="180"/>
      <c r="F184" s="181"/>
      <c r="G184" s="182"/>
      <c r="H184" s="182"/>
      <c r="I184" s="182"/>
      <c r="J184" s="182"/>
      <c r="K184" s="185"/>
      <c r="L184" s="185"/>
      <c r="M184" s="185"/>
      <c r="N184" s="183"/>
      <c r="O184" s="184"/>
      <c r="P184" s="184"/>
      <c r="Q184" s="185"/>
      <c r="R184" s="186"/>
      <c r="V184" s="323"/>
      <c r="W184" s="323"/>
      <c r="X184" s="322"/>
      <c r="Y184" s="322"/>
    </row>
    <row r="185" spans="1:25" s="65" customFormat="1" ht="17.100000000000001" customHeight="1">
      <c r="A185" s="180"/>
      <c r="B185" s="180"/>
      <c r="C185" s="180"/>
      <c r="D185" s="180"/>
      <c r="E185" s="180"/>
      <c r="F185" s="181"/>
      <c r="G185" s="182"/>
      <c r="H185" s="182"/>
      <c r="I185" s="182"/>
      <c r="J185" s="182"/>
      <c r="K185" s="185"/>
      <c r="L185" s="185"/>
      <c r="M185" s="185"/>
      <c r="N185" s="183"/>
      <c r="O185" s="184"/>
      <c r="P185" s="184"/>
      <c r="Q185" s="185"/>
      <c r="R185" s="186"/>
      <c r="V185" s="323"/>
      <c r="W185" s="323"/>
      <c r="X185" s="322"/>
      <c r="Y185" s="322"/>
    </row>
    <row r="186" spans="1:25" s="65" customFormat="1" ht="17.100000000000001" customHeight="1">
      <c r="A186" s="180"/>
      <c r="B186" s="180"/>
      <c r="C186" s="180"/>
      <c r="D186" s="180"/>
      <c r="E186" s="180"/>
      <c r="F186" s="181"/>
      <c r="G186" s="182"/>
      <c r="H186" s="182"/>
      <c r="I186" s="182"/>
      <c r="J186" s="182"/>
      <c r="K186" s="185"/>
      <c r="L186" s="185"/>
      <c r="M186" s="185"/>
      <c r="N186" s="183"/>
      <c r="O186" s="184"/>
      <c r="P186" s="184"/>
      <c r="Q186" s="185"/>
      <c r="R186" s="186"/>
      <c r="V186" s="323"/>
      <c r="W186" s="323"/>
      <c r="X186" s="322"/>
      <c r="Y186" s="322"/>
    </row>
    <row r="187" spans="1:25" s="65" customFormat="1" ht="17.100000000000001" customHeight="1">
      <c r="A187" s="180"/>
      <c r="B187" s="180"/>
      <c r="C187" s="180"/>
      <c r="D187" s="180"/>
      <c r="E187" s="180"/>
      <c r="F187" s="181"/>
      <c r="G187" s="182"/>
      <c r="H187" s="182"/>
      <c r="I187" s="182"/>
      <c r="J187" s="182"/>
      <c r="K187" s="185"/>
      <c r="L187" s="185"/>
      <c r="M187" s="185"/>
      <c r="N187" s="183"/>
      <c r="O187" s="184"/>
      <c r="P187" s="184"/>
      <c r="Q187" s="185"/>
      <c r="R187" s="186"/>
      <c r="V187" s="323"/>
      <c r="W187" s="323"/>
      <c r="X187" s="322"/>
      <c r="Y187" s="322"/>
    </row>
    <row r="188" spans="1:25" s="65" customFormat="1" ht="17.100000000000001" customHeight="1">
      <c r="A188" s="180"/>
      <c r="B188" s="180"/>
      <c r="C188" s="180"/>
      <c r="D188" s="180"/>
      <c r="E188" s="180"/>
      <c r="F188" s="181"/>
      <c r="G188" s="182"/>
      <c r="H188" s="182"/>
      <c r="I188" s="182"/>
      <c r="J188" s="182"/>
      <c r="K188" s="185"/>
      <c r="L188" s="185"/>
      <c r="M188" s="185"/>
      <c r="N188" s="183"/>
      <c r="O188" s="184"/>
      <c r="P188" s="184"/>
      <c r="Q188" s="185"/>
      <c r="R188" s="186"/>
      <c r="V188" s="323"/>
      <c r="W188" s="323"/>
      <c r="X188" s="322"/>
      <c r="Y188" s="322"/>
    </row>
    <row r="189" spans="1:25" s="65" customFormat="1" ht="17.100000000000001" customHeight="1">
      <c r="A189" s="180"/>
      <c r="B189" s="180"/>
      <c r="C189" s="180"/>
      <c r="D189" s="180"/>
      <c r="E189" s="180"/>
      <c r="F189" s="181"/>
      <c r="G189" s="182"/>
      <c r="H189" s="182"/>
      <c r="I189" s="182"/>
      <c r="J189" s="182"/>
      <c r="K189" s="185"/>
      <c r="L189" s="185"/>
      <c r="M189" s="185"/>
      <c r="N189" s="183"/>
      <c r="O189" s="184"/>
      <c r="P189" s="184"/>
      <c r="Q189" s="185"/>
      <c r="R189" s="186"/>
      <c r="V189" s="323"/>
      <c r="W189" s="323"/>
      <c r="X189" s="322"/>
      <c r="Y189" s="322"/>
    </row>
    <row r="190" spans="1:25" s="65" customFormat="1" ht="17.100000000000001" customHeight="1">
      <c r="A190" s="180"/>
      <c r="B190" s="180"/>
      <c r="C190" s="180"/>
      <c r="D190" s="180"/>
      <c r="E190" s="180"/>
      <c r="F190" s="181"/>
      <c r="G190" s="182"/>
      <c r="H190" s="182"/>
      <c r="I190" s="182"/>
      <c r="J190" s="182"/>
      <c r="K190" s="185"/>
      <c r="L190" s="185"/>
      <c r="M190" s="185"/>
      <c r="N190" s="183"/>
      <c r="O190" s="184"/>
      <c r="P190" s="184"/>
      <c r="Q190" s="185"/>
      <c r="R190" s="186"/>
      <c r="V190" s="323"/>
      <c r="W190" s="323"/>
      <c r="X190" s="322"/>
      <c r="Y190" s="322"/>
    </row>
    <row r="191" spans="1:25" s="65" customFormat="1" ht="17.100000000000001" customHeight="1">
      <c r="A191" s="180"/>
      <c r="B191" s="180"/>
      <c r="C191" s="180"/>
      <c r="D191" s="180"/>
      <c r="E191" s="180"/>
      <c r="F191" s="181"/>
      <c r="G191" s="182"/>
      <c r="H191" s="182"/>
      <c r="I191" s="182"/>
      <c r="J191" s="182"/>
      <c r="K191" s="185"/>
      <c r="L191" s="185"/>
      <c r="M191" s="185"/>
      <c r="N191" s="183"/>
      <c r="O191" s="184"/>
      <c r="P191" s="184"/>
      <c r="Q191" s="185"/>
      <c r="R191" s="186"/>
      <c r="V191" s="323"/>
      <c r="W191" s="323"/>
      <c r="X191" s="322"/>
      <c r="Y191" s="322"/>
    </row>
    <row r="192" spans="1:25" s="65" customFormat="1" ht="17.100000000000001" customHeight="1">
      <c r="A192" s="180"/>
      <c r="B192" s="180"/>
      <c r="C192" s="180"/>
      <c r="D192" s="180"/>
      <c r="E192" s="180"/>
      <c r="F192" s="181"/>
      <c r="G192" s="182"/>
      <c r="H192" s="182"/>
      <c r="I192" s="182"/>
      <c r="J192" s="182"/>
      <c r="K192" s="185"/>
      <c r="L192" s="185"/>
      <c r="M192" s="185"/>
      <c r="N192" s="183"/>
      <c r="O192" s="184"/>
      <c r="P192" s="184"/>
      <c r="Q192" s="185"/>
      <c r="R192" s="186"/>
      <c r="V192" s="323"/>
      <c r="W192" s="323"/>
      <c r="X192" s="322"/>
      <c r="Y192" s="322"/>
    </row>
    <row r="193" spans="1:25" s="65" customFormat="1" ht="17.100000000000001" customHeight="1">
      <c r="A193" s="180"/>
      <c r="B193" s="180"/>
      <c r="C193" s="180"/>
      <c r="D193" s="180"/>
      <c r="E193" s="180"/>
      <c r="F193" s="181"/>
      <c r="G193" s="182"/>
      <c r="H193" s="182"/>
      <c r="I193" s="182"/>
      <c r="J193" s="182"/>
      <c r="K193" s="185"/>
      <c r="L193" s="185"/>
      <c r="M193" s="185"/>
      <c r="N193" s="183"/>
      <c r="O193" s="184"/>
      <c r="P193" s="184"/>
      <c r="Q193" s="185"/>
      <c r="R193" s="186"/>
      <c r="V193" s="323"/>
      <c r="W193" s="323"/>
      <c r="X193" s="322"/>
      <c r="Y193" s="322"/>
    </row>
    <row r="194" spans="1:25" s="65" customFormat="1" ht="17.100000000000001" customHeight="1">
      <c r="A194" s="180"/>
      <c r="B194" s="180"/>
      <c r="C194" s="180"/>
      <c r="D194" s="180"/>
      <c r="E194" s="180"/>
      <c r="F194" s="181"/>
      <c r="G194" s="182"/>
      <c r="H194" s="182"/>
      <c r="I194" s="182"/>
      <c r="J194" s="182"/>
      <c r="K194" s="185"/>
      <c r="L194" s="185"/>
      <c r="M194" s="185"/>
      <c r="N194" s="183"/>
      <c r="O194" s="184"/>
      <c r="P194" s="184"/>
      <c r="Q194" s="185"/>
      <c r="R194" s="186"/>
      <c r="V194" s="323"/>
      <c r="W194" s="323"/>
      <c r="X194" s="322"/>
      <c r="Y194" s="322"/>
    </row>
    <row r="195" spans="1:25" s="65" customFormat="1" ht="17.100000000000001" customHeight="1">
      <c r="A195" s="180"/>
      <c r="B195" s="180"/>
      <c r="C195" s="180"/>
      <c r="D195" s="180"/>
      <c r="E195" s="180"/>
      <c r="F195" s="181"/>
      <c r="G195" s="182"/>
      <c r="H195" s="182"/>
      <c r="I195" s="182"/>
      <c r="J195" s="182"/>
      <c r="K195" s="185"/>
      <c r="L195" s="185"/>
      <c r="M195" s="185"/>
      <c r="N195" s="183"/>
      <c r="O195" s="184"/>
      <c r="P195" s="184"/>
      <c r="Q195" s="185"/>
      <c r="R195" s="186"/>
      <c r="V195" s="323"/>
      <c r="W195" s="323"/>
      <c r="X195" s="322"/>
      <c r="Y195" s="322"/>
    </row>
    <row r="196" spans="1:25" s="65" customFormat="1" ht="17.100000000000001" customHeight="1">
      <c r="A196" s="180"/>
      <c r="B196" s="180"/>
      <c r="C196" s="180"/>
      <c r="D196" s="180"/>
      <c r="E196" s="180"/>
      <c r="F196" s="181"/>
      <c r="G196" s="182"/>
      <c r="H196" s="182"/>
      <c r="I196" s="182"/>
      <c r="J196" s="182"/>
      <c r="K196" s="185"/>
      <c r="L196" s="185"/>
      <c r="M196" s="185"/>
      <c r="N196" s="183"/>
      <c r="O196" s="184"/>
      <c r="P196" s="184"/>
      <c r="Q196" s="185"/>
      <c r="R196" s="186"/>
      <c r="V196" s="323"/>
      <c r="W196" s="323"/>
      <c r="X196" s="322"/>
      <c r="Y196" s="322"/>
    </row>
    <row r="197" spans="1:25" s="65" customFormat="1" ht="17.100000000000001" customHeight="1">
      <c r="A197" s="180"/>
      <c r="B197" s="180"/>
      <c r="C197" s="180"/>
      <c r="D197" s="180"/>
      <c r="E197" s="180"/>
      <c r="F197" s="181"/>
      <c r="G197" s="182"/>
      <c r="H197" s="182"/>
      <c r="I197" s="182"/>
      <c r="J197" s="182"/>
      <c r="K197" s="185"/>
      <c r="L197" s="185"/>
      <c r="M197" s="185"/>
      <c r="N197" s="183"/>
      <c r="O197" s="184"/>
      <c r="P197" s="184"/>
      <c r="Q197" s="185"/>
      <c r="R197" s="186"/>
      <c r="V197" s="323"/>
      <c r="W197" s="323"/>
      <c r="X197" s="322"/>
      <c r="Y197" s="322"/>
    </row>
    <row r="198" spans="1:25" s="65" customFormat="1" ht="17.100000000000001" customHeight="1">
      <c r="A198" s="180"/>
      <c r="B198" s="180"/>
      <c r="C198" s="180"/>
      <c r="D198" s="180"/>
      <c r="E198" s="180"/>
      <c r="F198" s="181"/>
      <c r="G198" s="182"/>
      <c r="H198" s="182"/>
      <c r="I198" s="182"/>
      <c r="J198" s="182"/>
      <c r="K198" s="185"/>
      <c r="L198" s="185"/>
      <c r="M198" s="185"/>
      <c r="N198" s="183"/>
      <c r="O198" s="184"/>
      <c r="P198" s="184"/>
      <c r="Q198" s="185"/>
      <c r="R198" s="186"/>
      <c r="V198" s="323"/>
      <c r="W198" s="323"/>
      <c r="X198" s="322"/>
      <c r="Y198" s="322"/>
    </row>
    <row r="199" spans="1:25" s="65" customFormat="1" ht="17.100000000000001" customHeight="1">
      <c r="A199" s="180"/>
      <c r="B199" s="180"/>
      <c r="C199" s="180"/>
      <c r="D199" s="180"/>
      <c r="E199" s="180"/>
      <c r="F199" s="181"/>
      <c r="G199" s="182"/>
      <c r="H199" s="182"/>
      <c r="I199" s="182"/>
      <c r="J199" s="182"/>
      <c r="K199" s="185"/>
      <c r="L199" s="185"/>
      <c r="M199" s="185"/>
      <c r="N199" s="183"/>
      <c r="O199" s="184"/>
      <c r="P199" s="184"/>
      <c r="Q199" s="185"/>
      <c r="R199" s="186"/>
      <c r="V199" s="323"/>
      <c r="W199" s="323"/>
      <c r="X199" s="322"/>
      <c r="Y199" s="322"/>
    </row>
    <row r="200" spans="1:25" s="65" customFormat="1" ht="17.100000000000001" customHeight="1">
      <c r="A200" s="180"/>
      <c r="B200" s="180"/>
      <c r="C200" s="180"/>
      <c r="D200" s="180"/>
      <c r="E200" s="180"/>
      <c r="F200" s="181"/>
      <c r="G200" s="182"/>
      <c r="H200" s="182"/>
      <c r="I200" s="182"/>
      <c r="J200" s="182"/>
      <c r="K200" s="185"/>
      <c r="L200" s="185"/>
      <c r="M200" s="185"/>
      <c r="N200" s="183"/>
      <c r="O200" s="184"/>
      <c r="P200" s="184"/>
      <c r="Q200" s="185"/>
      <c r="R200" s="186"/>
      <c r="V200" s="323"/>
      <c r="W200" s="323"/>
      <c r="X200" s="322"/>
      <c r="Y200" s="322"/>
    </row>
    <row r="201" spans="1:25" s="65" customFormat="1" ht="17.100000000000001" customHeight="1">
      <c r="A201" s="180"/>
      <c r="B201" s="180"/>
      <c r="C201" s="180"/>
      <c r="D201" s="180"/>
      <c r="E201" s="180"/>
      <c r="F201" s="181"/>
      <c r="G201" s="182"/>
      <c r="H201" s="182"/>
      <c r="I201" s="182"/>
      <c r="J201" s="182"/>
      <c r="K201" s="185"/>
      <c r="L201" s="185"/>
      <c r="M201" s="185"/>
      <c r="N201" s="183"/>
      <c r="O201" s="184"/>
      <c r="P201" s="184"/>
      <c r="Q201" s="185"/>
      <c r="R201" s="186"/>
      <c r="V201" s="323"/>
      <c r="W201" s="323"/>
      <c r="X201" s="322"/>
      <c r="Y201" s="322"/>
    </row>
    <row r="202" spans="1:25" s="65" customFormat="1" ht="17.100000000000001" customHeight="1">
      <c r="A202" s="180"/>
      <c r="B202" s="180"/>
      <c r="C202" s="180"/>
      <c r="D202" s="180"/>
      <c r="E202" s="180"/>
      <c r="F202" s="181"/>
      <c r="G202" s="182"/>
      <c r="H202" s="182"/>
      <c r="I202" s="182"/>
      <c r="J202" s="182"/>
      <c r="K202" s="185"/>
      <c r="L202" s="185"/>
      <c r="M202" s="185"/>
      <c r="N202" s="183"/>
      <c r="O202" s="184"/>
      <c r="P202" s="184"/>
      <c r="Q202" s="185"/>
      <c r="R202" s="186"/>
      <c r="V202" s="323"/>
      <c r="W202" s="323"/>
      <c r="X202" s="322"/>
      <c r="Y202" s="322"/>
    </row>
    <row r="203" spans="1:25" s="65" customFormat="1" ht="17.100000000000001" customHeight="1">
      <c r="A203" s="180"/>
      <c r="B203" s="180"/>
      <c r="C203" s="180"/>
      <c r="D203" s="180"/>
      <c r="E203" s="180"/>
      <c r="F203" s="181"/>
      <c r="G203" s="182"/>
      <c r="H203" s="182"/>
      <c r="I203" s="182"/>
      <c r="J203" s="182"/>
      <c r="K203" s="185"/>
      <c r="L203" s="185"/>
      <c r="M203" s="185"/>
      <c r="N203" s="183"/>
      <c r="O203" s="184"/>
      <c r="P203" s="184"/>
      <c r="Q203" s="185"/>
      <c r="R203" s="186"/>
      <c r="V203" s="323"/>
      <c r="W203" s="323"/>
      <c r="X203" s="322"/>
      <c r="Y203" s="322"/>
    </row>
    <row r="204" spans="1:25" s="65" customFormat="1" ht="17.100000000000001" customHeight="1">
      <c r="A204" s="180"/>
      <c r="B204" s="180"/>
      <c r="C204" s="180"/>
      <c r="D204" s="180"/>
      <c r="E204" s="180"/>
      <c r="F204" s="181"/>
      <c r="G204" s="182"/>
      <c r="H204" s="182"/>
      <c r="I204" s="182"/>
      <c r="J204" s="182"/>
      <c r="K204" s="185"/>
      <c r="L204" s="185"/>
      <c r="M204" s="185"/>
      <c r="N204" s="183"/>
      <c r="O204" s="184"/>
      <c r="P204" s="184"/>
      <c r="Q204" s="185"/>
      <c r="R204" s="186"/>
      <c r="V204" s="323"/>
      <c r="W204" s="323"/>
      <c r="X204" s="322"/>
      <c r="Y204" s="322"/>
    </row>
    <row r="205" spans="1:25" s="65" customFormat="1" ht="17.100000000000001" customHeight="1">
      <c r="A205" s="180"/>
      <c r="B205" s="180"/>
      <c r="C205" s="180"/>
      <c r="D205" s="180"/>
      <c r="E205" s="180"/>
      <c r="F205" s="181"/>
      <c r="G205" s="182"/>
      <c r="H205" s="182"/>
      <c r="I205" s="182"/>
      <c r="J205" s="182"/>
      <c r="K205" s="185"/>
      <c r="L205" s="185"/>
      <c r="M205" s="185"/>
      <c r="N205" s="183"/>
      <c r="O205" s="184"/>
      <c r="P205" s="184"/>
      <c r="Q205" s="185"/>
      <c r="R205" s="186"/>
      <c r="V205" s="323"/>
      <c r="W205" s="323"/>
      <c r="X205" s="322"/>
      <c r="Y205" s="322"/>
    </row>
    <row r="206" spans="1:25" s="65" customFormat="1" ht="17.100000000000001" customHeight="1">
      <c r="A206" s="180"/>
      <c r="B206" s="180"/>
      <c r="C206" s="180"/>
      <c r="D206" s="180"/>
      <c r="E206" s="180"/>
      <c r="F206" s="181"/>
      <c r="G206" s="182"/>
      <c r="H206" s="182"/>
      <c r="I206" s="182"/>
      <c r="J206" s="182"/>
      <c r="K206" s="185"/>
      <c r="L206" s="185"/>
      <c r="M206" s="185"/>
      <c r="N206" s="183"/>
      <c r="O206" s="184"/>
      <c r="P206" s="184"/>
      <c r="Q206" s="185"/>
      <c r="R206" s="186"/>
      <c r="V206" s="323"/>
      <c r="W206" s="323"/>
      <c r="X206" s="322"/>
      <c r="Y206" s="322"/>
    </row>
    <row r="207" spans="1:25" s="65" customFormat="1" ht="17.100000000000001" customHeight="1">
      <c r="A207" s="180"/>
      <c r="B207" s="180"/>
      <c r="C207" s="180"/>
      <c r="D207" s="180"/>
      <c r="E207" s="180"/>
      <c r="F207" s="181"/>
      <c r="G207" s="182"/>
      <c r="H207" s="182"/>
      <c r="I207" s="182"/>
      <c r="J207" s="182"/>
      <c r="K207" s="185"/>
      <c r="L207" s="185"/>
      <c r="M207" s="185"/>
      <c r="N207" s="183"/>
      <c r="O207" s="184"/>
      <c r="P207" s="184"/>
      <c r="Q207" s="185"/>
      <c r="R207" s="186"/>
      <c r="V207" s="323"/>
      <c r="W207" s="323"/>
      <c r="X207" s="322"/>
      <c r="Y207" s="322"/>
    </row>
    <row r="208" spans="1:25" s="65" customFormat="1" ht="17.100000000000001" customHeight="1">
      <c r="A208" s="180"/>
      <c r="B208" s="180"/>
      <c r="C208" s="180"/>
      <c r="D208" s="180"/>
      <c r="E208" s="180"/>
      <c r="F208" s="181"/>
      <c r="G208" s="182"/>
      <c r="H208" s="182"/>
      <c r="I208" s="182"/>
      <c r="J208" s="182"/>
      <c r="K208" s="185"/>
      <c r="L208" s="185"/>
      <c r="M208" s="185"/>
      <c r="N208" s="183"/>
      <c r="O208" s="184"/>
      <c r="P208" s="184"/>
      <c r="Q208" s="185"/>
      <c r="R208" s="186"/>
      <c r="V208" s="323"/>
      <c r="W208" s="323"/>
      <c r="X208" s="322"/>
      <c r="Y208" s="322"/>
    </row>
    <row r="209" spans="1:25" s="65" customFormat="1" ht="17.100000000000001" customHeight="1">
      <c r="A209" s="180"/>
      <c r="B209" s="180"/>
      <c r="C209" s="180"/>
      <c r="D209" s="180"/>
      <c r="E209" s="180"/>
      <c r="F209" s="181"/>
      <c r="G209" s="182"/>
      <c r="H209" s="182"/>
      <c r="I209" s="182"/>
      <c r="J209" s="182"/>
      <c r="K209" s="185"/>
      <c r="L209" s="185"/>
      <c r="M209" s="185"/>
      <c r="N209" s="183"/>
      <c r="O209" s="184"/>
      <c r="P209" s="184"/>
      <c r="Q209" s="185"/>
      <c r="R209" s="186"/>
      <c r="V209" s="323"/>
      <c r="W209" s="323"/>
      <c r="X209" s="322"/>
      <c r="Y209" s="322"/>
    </row>
    <row r="210" spans="1:25" s="65" customFormat="1" ht="17.100000000000001" customHeight="1">
      <c r="A210" s="180"/>
      <c r="B210" s="180"/>
      <c r="C210" s="180"/>
      <c r="D210" s="180"/>
      <c r="E210" s="180"/>
      <c r="F210" s="181"/>
      <c r="G210" s="182"/>
      <c r="H210" s="182"/>
      <c r="I210" s="182"/>
      <c r="J210" s="182"/>
      <c r="K210" s="185"/>
      <c r="L210" s="185"/>
      <c r="M210" s="185"/>
      <c r="N210" s="183"/>
      <c r="O210" s="184"/>
      <c r="P210" s="184"/>
      <c r="Q210" s="185"/>
      <c r="R210" s="186"/>
      <c r="V210" s="323"/>
      <c r="W210" s="323"/>
      <c r="X210" s="322"/>
      <c r="Y210" s="322"/>
    </row>
    <row r="211" spans="1:25" s="65" customFormat="1" ht="17.100000000000001" customHeight="1">
      <c r="A211" s="180"/>
      <c r="B211" s="180"/>
      <c r="C211" s="180"/>
      <c r="D211" s="180"/>
      <c r="E211" s="180"/>
      <c r="F211" s="181"/>
      <c r="G211" s="182"/>
      <c r="H211" s="182"/>
      <c r="I211" s="182"/>
      <c r="J211" s="182"/>
      <c r="K211" s="185"/>
      <c r="L211" s="185"/>
      <c r="M211" s="185"/>
      <c r="N211" s="183"/>
      <c r="O211" s="184"/>
      <c r="P211" s="184"/>
      <c r="Q211" s="185"/>
      <c r="R211" s="186"/>
      <c r="V211" s="323"/>
      <c r="W211" s="323"/>
      <c r="X211" s="322"/>
      <c r="Y211" s="322"/>
    </row>
    <row r="212" spans="1:25" s="65" customFormat="1" ht="17.100000000000001" customHeight="1">
      <c r="A212" s="180"/>
      <c r="B212" s="180"/>
      <c r="C212" s="180"/>
      <c r="D212" s="180"/>
      <c r="E212" s="180"/>
      <c r="F212" s="181"/>
      <c r="G212" s="182"/>
      <c r="H212" s="182"/>
      <c r="I212" s="182"/>
      <c r="J212" s="182"/>
      <c r="K212" s="185"/>
      <c r="L212" s="185"/>
      <c r="M212" s="185"/>
      <c r="N212" s="183"/>
      <c r="O212" s="184"/>
      <c r="P212" s="184"/>
      <c r="Q212" s="185"/>
      <c r="R212" s="186"/>
      <c r="V212" s="323"/>
      <c r="W212" s="323"/>
      <c r="X212" s="322"/>
      <c r="Y212" s="322"/>
    </row>
    <row r="213" spans="1:25" s="65" customFormat="1" ht="17.100000000000001" customHeight="1">
      <c r="A213" s="180"/>
      <c r="B213" s="180"/>
      <c r="C213" s="180"/>
      <c r="D213" s="180"/>
      <c r="E213" s="180"/>
      <c r="F213" s="181"/>
      <c r="G213" s="182"/>
      <c r="H213" s="182"/>
      <c r="I213" s="182"/>
      <c r="J213" s="182"/>
      <c r="K213" s="185"/>
      <c r="L213" s="185"/>
      <c r="M213" s="185"/>
      <c r="N213" s="183"/>
      <c r="O213" s="184"/>
      <c r="P213" s="184"/>
      <c r="Q213" s="185"/>
      <c r="R213" s="186"/>
      <c r="V213" s="323"/>
      <c r="W213" s="323"/>
      <c r="X213" s="322"/>
      <c r="Y213" s="322"/>
    </row>
    <row r="214" spans="1:25" s="65" customFormat="1" ht="17.100000000000001" customHeight="1">
      <c r="A214" s="180"/>
      <c r="B214" s="180"/>
      <c r="C214" s="180"/>
      <c r="D214" s="180"/>
      <c r="E214" s="180"/>
      <c r="F214" s="181"/>
      <c r="G214" s="182"/>
      <c r="H214" s="182"/>
      <c r="I214" s="182"/>
      <c r="J214" s="182"/>
      <c r="K214" s="185"/>
      <c r="L214" s="185"/>
      <c r="M214" s="185"/>
      <c r="N214" s="183"/>
      <c r="O214" s="184"/>
      <c r="P214" s="184"/>
      <c r="Q214" s="185"/>
      <c r="R214" s="186"/>
      <c r="V214" s="323"/>
      <c r="W214" s="323"/>
      <c r="X214" s="322"/>
      <c r="Y214" s="322"/>
    </row>
    <row r="215" spans="1:25" s="65" customFormat="1" ht="17.100000000000001" customHeight="1">
      <c r="A215" s="180"/>
      <c r="B215" s="180"/>
      <c r="C215" s="180"/>
      <c r="D215" s="180"/>
      <c r="E215" s="180"/>
      <c r="F215" s="181"/>
      <c r="G215" s="182"/>
      <c r="H215" s="182"/>
      <c r="I215" s="182"/>
      <c r="J215" s="182"/>
      <c r="K215" s="185"/>
      <c r="L215" s="185"/>
      <c r="M215" s="185"/>
      <c r="N215" s="183"/>
      <c r="O215" s="184"/>
      <c r="P215" s="184"/>
      <c r="Q215" s="185"/>
      <c r="R215" s="186"/>
      <c r="V215" s="323"/>
      <c r="W215" s="323"/>
      <c r="X215" s="322"/>
      <c r="Y215" s="322"/>
    </row>
    <row r="216" spans="1:25" s="65" customFormat="1" ht="17.100000000000001" customHeight="1">
      <c r="A216" s="180"/>
      <c r="B216" s="180"/>
      <c r="C216" s="180"/>
      <c r="D216" s="180"/>
      <c r="E216" s="180"/>
      <c r="F216" s="181"/>
      <c r="G216" s="182"/>
      <c r="H216" s="182"/>
      <c r="I216" s="182"/>
      <c r="J216" s="182"/>
      <c r="K216" s="185"/>
      <c r="L216" s="185"/>
      <c r="M216" s="185"/>
      <c r="N216" s="183"/>
      <c r="O216" s="184"/>
      <c r="P216" s="184"/>
      <c r="Q216" s="185"/>
      <c r="R216" s="186"/>
      <c r="V216" s="323"/>
      <c r="W216" s="323"/>
      <c r="X216" s="322"/>
      <c r="Y216" s="322"/>
    </row>
    <row r="217" spans="1:25" s="65" customFormat="1" ht="17.100000000000001" customHeight="1">
      <c r="A217" s="180"/>
      <c r="B217" s="180"/>
      <c r="C217" s="180"/>
      <c r="D217" s="180"/>
      <c r="E217" s="180"/>
      <c r="F217" s="181"/>
      <c r="G217" s="182"/>
      <c r="H217" s="182"/>
      <c r="I217" s="182"/>
      <c r="J217" s="182"/>
      <c r="K217" s="185"/>
      <c r="L217" s="185"/>
      <c r="M217" s="185"/>
      <c r="N217" s="183"/>
      <c r="O217" s="184"/>
      <c r="P217" s="184"/>
      <c r="Q217" s="185"/>
      <c r="R217" s="186"/>
      <c r="V217" s="323"/>
      <c r="W217" s="323"/>
      <c r="X217" s="322"/>
      <c r="Y217" s="322"/>
    </row>
    <row r="218" spans="1:25" s="65" customFormat="1" ht="17.100000000000001" customHeight="1">
      <c r="A218" s="180"/>
      <c r="B218" s="180"/>
      <c r="C218" s="180"/>
      <c r="D218" s="180"/>
      <c r="E218" s="180"/>
      <c r="F218" s="181"/>
      <c r="G218" s="182"/>
      <c r="H218" s="182"/>
      <c r="I218" s="182"/>
      <c r="J218" s="182"/>
      <c r="K218" s="185"/>
      <c r="L218" s="185"/>
      <c r="M218" s="185"/>
      <c r="N218" s="183"/>
      <c r="O218" s="184"/>
      <c r="P218" s="184"/>
      <c r="Q218" s="185"/>
      <c r="R218" s="186"/>
      <c r="V218" s="323"/>
      <c r="W218" s="323"/>
      <c r="X218" s="322"/>
      <c r="Y218" s="322"/>
    </row>
    <row r="219" spans="1:25" s="65" customFormat="1" ht="17.100000000000001" customHeight="1">
      <c r="A219" s="180"/>
      <c r="B219" s="180"/>
      <c r="C219" s="180"/>
      <c r="D219" s="180"/>
      <c r="E219" s="180"/>
      <c r="F219" s="181"/>
      <c r="G219" s="182"/>
      <c r="H219" s="182"/>
      <c r="I219" s="182"/>
      <c r="J219" s="182"/>
      <c r="K219" s="185"/>
      <c r="L219" s="185"/>
      <c r="M219" s="185"/>
      <c r="N219" s="183"/>
      <c r="O219" s="184"/>
      <c r="P219" s="184"/>
      <c r="Q219" s="185"/>
      <c r="R219" s="186"/>
      <c r="V219" s="323"/>
      <c r="W219" s="323"/>
      <c r="X219" s="322"/>
      <c r="Y219" s="322"/>
    </row>
    <row r="220" spans="1:25" s="65" customFormat="1" ht="17.100000000000001" customHeight="1">
      <c r="A220" s="180"/>
      <c r="B220" s="180"/>
      <c r="C220" s="180"/>
      <c r="D220" s="180"/>
      <c r="E220" s="180"/>
      <c r="F220" s="181"/>
      <c r="G220" s="182"/>
      <c r="H220" s="182"/>
      <c r="I220" s="182"/>
      <c r="J220" s="182"/>
      <c r="K220" s="185"/>
      <c r="L220" s="185"/>
      <c r="M220" s="185"/>
      <c r="N220" s="183"/>
      <c r="O220" s="184"/>
      <c r="P220" s="184"/>
      <c r="Q220" s="185"/>
      <c r="R220" s="186"/>
      <c r="V220" s="323"/>
      <c r="W220" s="323"/>
      <c r="X220" s="322"/>
      <c r="Y220" s="322"/>
    </row>
    <row r="221" spans="1:25" s="65" customFormat="1" ht="17.100000000000001" customHeight="1">
      <c r="A221" s="180"/>
      <c r="B221" s="180"/>
      <c r="C221" s="180"/>
      <c r="D221" s="180"/>
      <c r="E221" s="180"/>
      <c r="F221" s="181"/>
      <c r="G221" s="182"/>
      <c r="H221" s="182"/>
      <c r="I221" s="182"/>
      <c r="J221" s="182"/>
      <c r="K221" s="185"/>
      <c r="L221" s="185"/>
      <c r="M221" s="185"/>
      <c r="N221" s="183"/>
      <c r="O221" s="184"/>
      <c r="P221" s="184"/>
      <c r="Q221" s="185"/>
      <c r="R221" s="186"/>
      <c r="V221" s="323"/>
      <c r="W221" s="323"/>
      <c r="X221" s="322"/>
      <c r="Y221" s="322"/>
    </row>
    <row r="222" spans="1:25" s="65" customFormat="1" ht="17.100000000000001" customHeight="1">
      <c r="A222" s="180"/>
      <c r="B222" s="180"/>
      <c r="C222" s="180"/>
      <c r="D222" s="180"/>
      <c r="E222" s="180"/>
      <c r="F222" s="181"/>
      <c r="G222" s="182"/>
      <c r="H222" s="182"/>
      <c r="I222" s="182"/>
      <c r="J222" s="182"/>
      <c r="K222" s="185"/>
      <c r="L222" s="185"/>
      <c r="M222" s="185"/>
      <c r="N222" s="183"/>
      <c r="O222" s="184"/>
      <c r="P222" s="184"/>
      <c r="Q222" s="185"/>
      <c r="R222" s="186"/>
      <c r="V222" s="323"/>
      <c r="W222" s="323"/>
      <c r="X222" s="322"/>
      <c r="Y222" s="322"/>
    </row>
    <row r="223" spans="1:25" s="65" customFormat="1" ht="17.100000000000001" customHeight="1">
      <c r="A223" s="180"/>
      <c r="B223" s="180"/>
      <c r="C223" s="180"/>
      <c r="D223" s="180"/>
      <c r="E223" s="180"/>
      <c r="F223" s="181"/>
      <c r="G223" s="182"/>
      <c r="H223" s="182"/>
      <c r="I223" s="182"/>
      <c r="J223" s="182"/>
      <c r="K223" s="185"/>
      <c r="L223" s="185"/>
      <c r="M223" s="185"/>
      <c r="N223" s="183"/>
      <c r="O223" s="184"/>
      <c r="P223" s="184"/>
      <c r="Q223" s="185"/>
      <c r="R223" s="186"/>
      <c r="V223" s="323"/>
      <c r="W223" s="323"/>
      <c r="X223" s="322"/>
      <c r="Y223" s="322"/>
    </row>
    <row r="224" spans="1:25" s="65" customFormat="1" ht="17.100000000000001" customHeight="1">
      <c r="A224" s="180"/>
      <c r="B224" s="180"/>
      <c r="C224" s="180"/>
      <c r="D224" s="180"/>
      <c r="E224" s="180"/>
      <c r="F224" s="181"/>
      <c r="G224" s="182"/>
      <c r="H224" s="182"/>
      <c r="I224" s="182"/>
      <c r="J224" s="182"/>
      <c r="K224" s="185"/>
      <c r="L224" s="185"/>
      <c r="M224" s="185"/>
      <c r="N224" s="183"/>
      <c r="O224" s="184"/>
      <c r="P224" s="184"/>
      <c r="Q224" s="185"/>
      <c r="R224" s="186"/>
      <c r="V224" s="323"/>
      <c r="W224" s="323"/>
      <c r="X224" s="322"/>
      <c r="Y224" s="322"/>
    </row>
    <row r="225" spans="1:25" s="65" customFormat="1" ht="17.100000000000001" customHeight="1">
      <c r="A225" s="180"/>
      <c r="B225" s="180"/>
      <c r="C225" s="180"/>
      <c r="D225" s="180"/>
      <c r="E225" s="180"/>
      <c r="F225" s="181"/>
      <c r="G225" s="182"/>
      <c r="H225" s="182"/>
      <c r="I225" s="182"/>
      <c r="J225" s="182"/>
      <c r="K225" s="185"/>
      <c r="L225" s="185"/>
      <c r="M225" s="185"/>
      <c r="N225" s="183"/>
      <c r="O225" s="184"/>
      <c r="P225" s="184"/>
      <c r="Q225" s="185"/>
      <c r="R225" s="186"/>
      <c r="V225" s="323"/>
      <c r="W225" s="323"/>
      <c r="X225" s="322"/>
      <c r="Y225" s="322"/>
    </row>
    <row r="226" spans="1:25" s="65" customFormat="1" ht="17.100000000000001" customHeight="1">
      <c r="A226" s="180"/>
      <c r="B226" s="180"/>
      <c r="C226" s="180"/>
      <c r="D226" s="180"/>
      <c r="E226" s="180"/>
      <c r="F226" s="181"/>
      <c r="G226" s="182"/>
      <c r="H226" s="182"/>
      <c r="I226" s="182"/>
      <c r="J226" s="182"/>
      <c r="K226" s="185"/>
      <c r="L226" s="185"/>
      <c r="M226" s="185"/>
      <c r="N226" s="183"/>
      <c r="O226" s="184"/>
      <c r="P226" s="184"/>
      <c r="Q226" s="185"/>
      <c r="R226" s="186"/>
      <c r="V226" s="323"/>
      <c r="W226" s="323"/>
      <c r="X226" s="322"/>
      <c r="Y226" s="322"/>
    </row>
    <row r="227" spans="1:25" s="65" customFormat="1" ht="17.100000000000001" customHeight="1">
      <c r="A227" s="180"/>
      <c r="B227" s="180"/>
      <c r="C227" s="180"/>
      <c r="D227" s="180"/>
      <c r="E227" s="180"/>
      <c r="F227" s="181"/>
      <c r="G227" s="182"/>
      <c r="H227" s="182"/>
      <c r="I227" s="182"/>
      <c r="J227" s="182"/>
      <c r="K227" s="185"/>
      <c r="L227" s="185"/>
      <c r="M227" s="185"/>
      <c r="N227" s="183"/>
      <c r="O227" s="184"/>
      <c r="P227" s="184"/>
      <c r="Q227" s="185"/>
      <c r="R227" s="186"/>
      <c r="V227" s="323"/>
      <c r="W227" s="323"/>
      <c r="X227" s="322"/>
      <c r="Y227" s="322"/>
    </row>
    <row r="228" spans="1:25" s="65" customFormat="1" ht="17.100000000000001" customHeight="1">
      <c r="A228" s="180"/>
      <c r="B228" s="180"/>
      <c r="C228" s="180"/>
      <c r="D228" s="180"/>
      <c r="E228" s="180"/>
      <c r="F228" s="181"/>
      <c r="G228" s="182"/>
      <c r="H228" s="182"/>
      <c r="I228" s="182"/>
      <c r="J228" s="182"/>
      <c r="K228" s="185"/>
      <c r="L228" s="185"/>
      <c r="M228" s="185"/>
      <c r="N228" s="183"/>
      <c r="O228" s="184"/>
      <c r="P228" s="184"/>
      <c r="Q228" s="185"/>
      <c r="R228" s="186"/>
      <c r="V228" s="323"/>
      <c r="W228" s="323"/>
      <c r="X228" s="322"/>
      <c r="Y228" s="322"/>
    </row>
    <row r="229" spans="1:25" s="65" customFormat="1" ht="17.100000000000001" customHeight="1">
      <c r="A229" s="180"/>
      <c r="B229" s="180"/>
      <c r="C229" s="180"/>
      <c r="D229" s="180"/>
      <c r="E229" s="180"/>
      <c r="F229" s="181"/>
      <c r="G229" s="182"/>
      <c r="H229" s="182"/>
      <c r="I229" s="182"/>
      <c r="J229" s="182"/>
      <c r="K229" s="185"/>
      <c r="L229" s="185"/>
      <c r="M229" s="185"/>
      <c r="N229" s="183"/>
      <c r="O229" s="184"/>
      <c r="P229" s="184"/>
      <c r="Q229" s="185"/>
      <c r="R229" s="186"/>
      <c r="V229" s="323"/>
      <c r="W229" s="323"/>
      <c r="X229" s="322"/>
      <c r="Y229" s="322"/>
    </row>
    <row r="230" spans="1:25" s="65" customFormat="1" ht="17.100000000000001" customHeight="1">
      <c r="A230" s="180"/>
      <c r="B230" s="180"/>
      <c r="C230" s="180"/>
      <c r="D230" s="180"/>
      <c r="E230" s="180"/>
      <c r="F230" s="181"/>
      <c r="G230" s="182"/>
      <c r="H230" s="182"/>
      <c r="I230" s="182"/>
      <c r="J230" s="182"/>
      <c r="K230" s="185"/>
      <c r="L230" s="185"/>
      <c r="M230" s="185"/>
      <c r="N230" s="183"/>
      <c r="O230" s="184"/>
      <c r="P230" s="184"/>
      <c r="Q230" s="185"/>
      <c r="R230" s="186"/>
      <c r="V230" s="323"/>
      <c r="W230" s="323"/>
      <c r="X230" s="322"/>
      <c r="Y230" s="322"/>
    </row>
    <row r="231" spans="1:25" s="65" customFormat="1" ht="17.100000000000001" customHeight="1">
      <c r="A231" s="180"/>
      <c r="B231" s="180"/>
      <c r="C231" s="180"/>
      <c r="D231" s="180"/>
      <c r="E231" s="180" t="s">
        <v>98</v>
      </c>
      <c r="F231" s="181" t="s">
        <v>32</v>
      </c>
      <c r="G231" s="182" t="s">
        <v>99</v>
      </c>
      <c r="H231" s="182"/>
      <c r="I231" s="182" t="s">
        <v>4</v>
      </c>
      <c r="J231" s="182"/>
      <c r="K231" s="185" t="s">
        <v>106</v>
      </c>
      <c r="L231" s="185" t="s">
        <v>107</v>
      </c>
      <c r="M231" s="185"/>
      <c r="N231" s="271"/>
      <c r="O231" s="138">
        <v>963784</v>
      </c>
      <c r="P231" s="138">
        <v>1010082</v>
      </c>
      <c r="Q231" s="138">
        <v>942579</v>
      </c>
      <c r="R231" s="186"/>
      <c r="V231" s="323">
        <v>385799</v>
      </c>
      <c r="W231" s="323">
        <v>386970</v>
      </c>
      <c r="X231" s="322">
        <f>W231-V231</f>
        <v>1171</v>
      </c>
      <c r="Y231" s="322">
        <f>X231*15.4</f>
        <v>18033.400000000001</v>
      </c>
    </row>
    <row r="232" spans="1:25" s="41" customFormat="1" ht="17.100000000000001" customHeight="1">
      <c r="A232" s="8"/>
      <c r="B232" s="8"/>
      <c r="C232" s="8"/>
      <c r="D232" s="657"/>
      <c r="E232" s="657"/>
      <c r="F232" s="657"/>
      <c r="G232" s="657"/>
      <c r="H232" s="57"/>
      <c r="I232" s="49"/>
      <c r="J232" s="43"/>
      <c r="K232" s="44"/>
      <c r="L232" s="49"/>
      <c r="M232" s="58"/>
      <c r="N232" s="85"/>
      <c r="O232" s="138">
        <v>966901</v>
      </c>
      <c r="P232" s="138">
        <v>1013399</v>
      </c>
      <c r="Q232" s="138">
        <v>945693</v>
      </c>
      <c r="R232" s="184"/>
      <c r="V232" s="323"/>
      <c r="W232" s="323"/>
      <c r="X232" s="323"/>
      <c r="Y232" s="323">
        <f>SUM(Y157:Y231)</f>
        <v>32155.200000000001</v>
      </c>
    </row>
    <row r="233" spans="1:25" s="41" customFormat="1" ht="17.100000000000001" customHeight="1">
      <c r="A233" s="8"/>
      <c r="B233" s="8"/>
      <c r="C233" s="8"/>
      <c r="D233" s="324" t="s">
        <v>35</v>
      </c>
      <c r="E233" s="58">
        <f t="shared" ref="E233:E248" si="0">SUMIF($D$10:$D$231,D233,$E$10:$E$231)</f>
        <v>0</v>
      </c>
      <c r="F233" s="58">
        <f>SUMIF($D$10:$D231,D233,$G$10:$G231)</f>
        <v>0</v>
      </c>
      <c r="G233" s="61">
        <f>SUMIF($D$10:$D231,D233,$K$10:$K231)</f>
        <v>0</v>
      </c>
      <c r="H233" s="58">
        <f>SUM(F233:F239)</f>
        <v>0</v>
      </c>
      <c r="I233" s="61">
        <f>SUMIF($D$10:$D231,D233,$O$10:$O231)</f>
        <v>0</v>
      </c>
      <c r="J233" s="58">
        <v>871.40499999999997</v>
      </c>
      <c r="K233" s="44"/>
      <c r="L233" s="44"/>
      <c r="M233" s="58"/>
      <c r="N233" s="85"/>
      <c r="O233" s="184"/>
      <c r="P233" s="184"/>
      <c r="Q233" s="184"/>
      <c r="R233" s="35"/>
    </row>
    <row r="234" spans="1:25" s="41" customFormat="1" ht="17.100000000000001" customHeight="1">
      <c r="A234" s="8"/>
      <c r="B234" s="8"/>
      <c r="C234" s="8"/>
      <c r="D234" s="324" t="s">
        <v>39</v>
      </c>
      <c r="E234" s="58">
        <f t="shared" si="0"/>
        <v>0</v>
      </c>
      <c r="F234" s="58">
        <f>SUMIF($D$10:$D232,D234,$G$10:$G232)</f>
        <v>0</v>
      </c>
      <c r="G234" s="61">
        <f>SUMIF($D$10:$D232,D234,$K$10:$K232)</f>
        <v>0</v>
      </c>
      <c r="H234" s="58"/>
      <c r="I234" s="61">
        <f>SUMIF($D$10:$D232,D234,$O$10:$O232)</f>
        <v>0</v>
      </c>
      <c r="J234" s="325" t="s">
        <v>135</v>
      </c>
      <c r="K234" s="44"/>
      <c r="L234" s="275">
        <f>K233-L233</f>
        <v>0</v>
      </c>
      <c r="M234" s="58"/>
      <c r="N234" s="11"/>
      <c r="O234" s="184">
        <f>O231-O157</f>
        <v>3</v>
      </c>
      <c r="P234" s="184">
        <f>P231-P157</f>
        <v>354</v>
      </c>
      <c r="Q234" s="184">
        <f>Q231-Q157</f>
        <v>-226</v>
      </c>
      <c r="R234" s="272">
        <f>SUM(O234:Q234)</f>
        <v>131</v>
      </c>
      <c r="S234" s="41">
        <f>R234*0.96</f>
        <v>125.75999999999999</v>
      </c>
    </row>
    <row r="235" spans="1:25" s="41" customFormat="1" ht="17.100000000000001" customHeight="1">
      <c r="A235" s="8"/>
      <c r="B235" s="8"/>
      <c r="C235" s="8"/>
      <c r="D235" s="306" t="s">
        <v>149</v>
      </c>
      <c r="E235" s="58">
        <f t="shared" si="0"/>
        <v>0</v>
      </c>
      <c r="F235" s="58">
        <f>SUMIF($D$10:$D233,D235,$G$10:$G233)</f>
        <v>0</v>
      </c>
      <c r="G235" s="61">
        <f>SUMIF($D$10:$D233,D235,$K$10:$K233)</f>
        <v>0</v>
      </c>
      <c r="H235" s="58"/>
      <c r="I235" s="61">
        <f>SUMIF($D$10:$D233,D235,$O$10:$O233)</f>
        <v>0</v>
      </c>
      <c r="J235" s="325" t="s">
        <v>135</v>
      </c>
      <c r="K235" s="44"/>
      <c r="L235" s="50"/>
      <c r="M235" s="61"/>
      <c r="N235" s="11"/>
      <c r="O235" s="184">
        <f>O232-O231</f>
        <v>3117</v>
      </c>
      <c r="P235" s="184">
        <f>P232-P231</f>
        <v>3317</v>
      </c>
      <c r="Q235" s="184">
        <f>Q232-Q231</f>
        <v>3114</v>
      </c>
      <c r="R235" s="272">
        <f>SUM(O235:Q235)</f>
        <v>9548</v>
      </c>
      <c r="S235" s="41">
        <f>R235*0.96</f>
        <v>9166.08</v>
      </c>
      <c r="T235" s="41">
        <f>SUM(S234:S235)</f>
        <v>9291.84</v>
      </c>
    </row>
    <row r="236" spans="1:25" s="41" customFormat="1" ht="17.100000000000001" customHeight="1">
      <c r="A236" s="8"/>
      <c r="B236" s="8"/>
      <c r="C236" s="8"/>
      <c r="D236" s="324" t="s">
        <v>102</v>
      </c>
      <c r="E236" s="58">
        <f t="shared" si="0"/>
        <v>0</v>
      </c>
      <c r="F236" s="58">
        <f>SUMIF($D$10:$D234,D236,$G$10:$G234)</f>
        <v>0</v>
      </c>
      <c r="G236" s="61">
        <f>SUMIF($D$10:$D234,D236,$K$10:$K234)</f>
        <v>0</v>
      </c>
      <c r="H236" s="58"/>
      <c r="I236" s="61">
        <f>SUMIF($D$10:$D234,D236,$O$10:$O234)</f>
        <v>0</v>
      </c>
      <c r="J236" s="325" t="s">
        <v>135</v>
      </c>
      <c r="K236" s="44"/>
      <c r="L236" s="49"/>
      <c r="M236" s="61"/>
      <c r="N236" s="11"/>
      <c r="O236" s="49"/>
      <c r="P236" s="49"/>
      <c r="Q236" s="49"/>
      <c r="R236" s="272"/>
      <c r="S236" s="273"/>
      <c r="T236" s="273"/>
    </row>
    <row r="237" spans="1:25" s="41" customFormat="1" ht="17.100000000000001" customHeight="1">
      <c r="A237" s="8"/>
      <c r="B237" s="8"/>
      <c r="C237" s="8"/>
      <c r="D237" s="324" t="s">
        <v>41</v>
      </c>
      <c r="E237" s="58">
        <f t="shared" si="0"/>
        <v>0</v>
      </c>
      <c r="F237" s="58">
        <f>SUMIF($D$10:$D235,D237,$G$10:$G235)</f>
        <v>0</v>
      </c>
      <c r="G237" s="61">
        <f>SUMIF($D$10:$D235,D237,$K$10:$K235)</f>
        <v>0</v>
      </c>
      <c r="H237" s="58"/>
      <c r="I237" s="61">
        <f>SUMIF($D$10:$D235,D237,$O$10:$O235)</f>
        <v>0</v>
      </c>
      <c r="J237" s="325" t="s">
        <v>135</v>
      </c>
      <c r="K237" s="44"/>
      <c r="L237" s="49"/>
      <c r="M237" s="61"/>
      <c r="N237" s="11"/>
      <c r="O237" s="49"/>
      <c r="P237" s="49"/>
      <c r="Q237" s="49"/>
      <c r="R237" s="49"/>
      <c r="S237" s="49"/>
      <c r="T237" s="273"/>
    </row>
    <row r="238" spans="1:25" s="41" customFormat="1" ht="17.100000000000001" customHeight="1">
      <c r="A238" s="8"/>
      <c r="B238" s="8"/>
      <c r="C238" s="8"/>
      <c r="D238" s="306" t="s">
        <v>146</v>
      </c>
      <c r="E238" s="58">
        <f t="shared" si="0"/>
        <v>0</v>
      </c>
      <c r="F238" s="58">
        <f>SUMIF($D$10:$D236,D238,$G$10:$G236)</f>
        <v>0</v>
      </c>
      <c r="G238" s="61">
        <f>SUMIF($D$10:$D236,D238,$K$10:$K236)</f>
        <v>0</v>
      </c>
      <c r="H238" s="58"/>
      <c r="I238" s="61">
        <f>SUMIF($D$10:$D236,D238,$O$10:$O236)</f>
        <v>0</v>
      </c>
      <c r="J238" s="58" t="s">
        <v>135</v>
      </c>
      <c r="K238" s="44"/>
      <c r="L238" s="49"/>
      <c r="M238" s="61"/>
      <c r="N238" s="11"/>
      <c r="O238" s="35"/>
      <c r="P238" s="35"/>
      <c r="Q238" s="35"/>
      <c r="R238" s="11"/>
    </row>
    <row r="239" spans="1:25" s="41" customFormat="1" ht="17.100000000000001" customHeight="1">
      <c r="A239" s="8"/>
      <c r="B239" s="8"/>
      <c r="C239" s="8"/>
      <c r="D239" s="306" t="s">
        <v>148</v>
      </c>
      <c r="E239" s="58">
        <f t="shared" si="0"/>
        <v>0</v>
      </c>
      <c r="F239" s="58">
        <f>SUMIF($D$10:$D237,D239,$G$10:$G237)</f>
        <v>0</v>
      </c>
      <c r="G239" s="61">
        <f>SUMIF($D$10:$D237,D239,$K$10:$K237)</f>
        <v>0</v>
      </c>
      <c r="H239" s="58"/>
      <c r="I239" s="61">
        <f>SUMIF($D$10:$D237,D239,$O$10:$O237)</f>
        <v>0</v>
      </c>
      <c r="J239" s="325"/>
      <c r="K239" s="44"/>
      <c r="L239" s="49"/>
      <c r="M239" s="61"/>
      <c r="N239" s="11"/>
      <c r="O239" s="49"/>
      <c r="P239" s="49"/>
      <c r="Q239" s="49"/>
      <c r="R239" s="321"/>
      <c r="T239" s="41">
        <f>4663+608+660</f>
        <v>5931</v>
      </c>
    </row>
    <row r="240" spans="1:25" s="41" customFormat="1" ht="17.100000000000001" customHeight="1">
      <c r="A240" s="8"/>
      <c r="B240" s="8"/>
      <c r="C240" s="8"/>
      <c r="D240" s="312" t="s">
        <v>147</v>
      </c>
      <c r="E240" s="58">
        <f t="shared" si="0"/>
        <v>0</v>
      </c>
      <c r="F240" s="58">
        <f>SUMIF($D$10:$D238,D240,$G$10:$G238)</f>
        <v>0</v>
      </c>
      <c r="G240" s="61">
        <f>SUMIF($D$10:$D238,D240,$K$10:$K238)</f>
        <v>0</v>
      </c>
      <c r="H240" s="58"/>
      <c r="I240" s="61">
        <f>SUMIF($D$10:$D238,D240,$O$10:$O238)</f>
        <v>0</v>
      </c>
      <c r="J240" s="325"/>
      <c r="K240" s="44"/>
      <c r="L240" s="50">
        <f>F240-K233</f>
        <v>0</v>
      </c>
      <c r="M240" s="61"/>
      <c r="N240" s="11"/>
      <c r="O240" s="49"/>
      <c r="P240" s="49"/>
      <c r="Q240" s="49"/>
      <c r="R240" s="321"/>
    </row>
    <row r="241" spans="1:18" s="41" customFormat="1" ht="17.100000000000001" customHeight="1">
      <c r="A241" s="8"/>
      <c r="B241" s="8"/>
      <c r="C241" s="8"/>
      <c r="D241" s="306" t="s">
        <v>43</v>
      </c>
      <c r="E241" s="58">
        <f t="shared" si="0"/>
        <v>0</v>
      </c>
      <c r="F241" s="58">
        <f>SUMIF($D$10:$D239,D241,$G$10:$G239)</f>
        <v>0</v>
      </c>
      <c r="G241" s="61">
        <f>SUMIF($D$10:$D239,D241,$K$10:$K239)</f>
        <v>0</v>
      </c>
      <c r="H241" s="58">
        <f>SUM(F241:F245)</f>
        <v>0</v>
      </c>
      <c r="I241" s="61">
        <f>SUMIF($D$10:$D239,D241,$O$10:$O239)</f>
        <v>0</v>
      </c>
      <c r="J241" s="325"/>
      <c r="K241" s="44"/>
      <c r="L241" s="50"/>
      <c r="M241" s="61"/>
      <c r="N241" s="11"/>
      <c r="O241" s="49"/>
      <c r="P241" s="49"/>
      <c r="Q241" s="49"/>
      <c r="R241" s="321"/>
    </row>
    <row r="242" spans="1:18" s="41" customFormat="1" ht="17.100000000000001" customHeight="1">
      <c r="A242" s="8"/>
      <c r="B242" s="8"/>
      <c r="C242" s="8"/>
      <c r="D242" s="306" t="s">
        <v>52</v>
      </c>
      <c r="E242" s="58">
        <f t="shared" si="0"/>
        <v>0</v>
      </c>
      <c r="F242" s="58">
        <f>SUMIF($D$10:$D240,D242,$G$10:$G240)</f>
        <v>0</v>
      </c>
      <c r="G242" s="61">
        <f>SUMIF($D$10:$D240,D242,$K$10:$K240)</f>
        <v>0</v>
      </c>
      <c r="H242" s="58"/>
      <c r="I242" s="61">
        <f>SUMIF($D$10:$D240,D242,$O$10:$O240)</f>
        <v>0</v>
      </c>
      <c r="J242" s="325"/>
      <c r="K242" s="44"/>
      <c r="L242" s="50"/>
      <c r="M242" s="61"/>
      <c r="N242" s="11"/>
      <c r="O242" s="49"/>
      <c r="P242" s="49"/>
      <c r="Q242" s="49"/>
      <c r="R242" s="321"/>
    </row>
    <row r="243" spans="1:18" s="41" customFormat="1" ht="17.100000000000001" customHeight="1">
      <c r="A243" s="8"/>
      <c r="B243" s="8"/>
      <c r="C243" s="8"/>
      <c r="D243" s="306" t="s">
        <v>153</v>
      </c>
      <c r="E243" s="58">
        <f t="shared" si="0"/>
        <v>0</v>
      </c>
      <c r="F243" s="58">
        <f>SUMIF($D$10:$D241,D243,$G$10:$G241)</f>
        <v>0</v>
      </c>
      <c r="G243" s="61">
        <f>SUMIF($D$10:$D241,D243,$K$10:$K241)</f>
        <v>0</v>
      </c>
      <c r="H243" s="58"/>
      <c r="I243" s="61">
        <f>SUMIF($D$10:$D241,D243,$O$10:$O241)</f>
        <v>0</v>
      </c>
      <c r="J243" s="325"/>
      <c r="K243" s="44"/>
      <c r="L243" s="50"/>
      <c r="M243" s="61"/>
      <c r="N243" s="11"/>
      <c r="O243" s="49"/>
      <c r="P243" s="49"/>
      <c r="Q243" s="49"/>
      <c r="R243" s="321"/>
    </row>
    <row r="244" spans="1:18" s="41" customFormat="1" ht="17.100000000000001" customHeight="1">
      <c r="A244" s="8"/>
      <c r="B244" s="8"/>
      <c r="C244" s="8"/>
      <c r="D244" s="306" t="s">
        <v>161</v>
      </c>
      <c r="E244" s="58">
        <f t="shared" si="0"/>
        <v>0</v>
      </c>
      <c r="F244" s="58">
        <f>SUMIF($D$10:$D242,D244,$G$10:$G242)</f>
        <v>0</v>
      </c>
      <c r="G244" s="61">
        <f>SUMIF($D$10:$D242,D244,$K$10:$K242)</f>
        <v>0</v>
      </c>
      <c r="H244" s="58"/>
      <c r="I244" s="61">
        <f>SUMIF($D$10:$D242,D244,$O$10:$O242)</f>
        <v>0</v>
      </c>
      <c r="J244" s="325"/>
      <c r="K244" s="44"/>
      <c r="L244" s="50"/>
      <c r="M244" s="61"/>
      <c r="N244" s="11"/>
      <c r="O244" s="49"/>
      <c r="P244" s="49"/>
      <c r="Q244" s="49"/>
      <c r="R244" s="321"/>
    </row>
    <row r="245" spans="1:18" s="41" customFormat="1" ht="17.100000000000001" customHeight="1">
      <c r="A245" s="8"/>
      <c r="B245" s="8"/>
      <c r="C245" s="8"/>
      <c r="D245" s="306" t="s">
        <v>53</v>
      </c>
      <c r="E245" s="58">
        <f t="shared" si="0"/>
        <v>0</v>
      </c>
      <c r="F245" s="58">
        <f>SUMIF($D$10:$D243,D245,$G$10:$G243)</f>
        <v>0</v>
      </c>
      <c r="G245" s="61">
        <f>SUMIF($D$10:$D243,D245,$K$10:$K243)</f>
        <v>0</v>
      </c>
      <c r="H245" s="58"/>
      <c r="I245" s="61">
        <f>SUMIF($D$10:$D243,D245,$O$10:$O243)</f>
        <v>0</v>
      </c>
      <c r="J245" s="325"/>
      <c r="K245" s="44"/>
      <c r="L245" s="50"/>
      <c r="M245" s="61"/>
      <c r="N245" s="11"/>
      <c r="O245" s="49"/>
      <c r="P245" s="49"/>
      <c r="Q245" s="49"/>
      <c r="R245" s="321"/>
    </row>
    <row r="246" spans="1:18" s="41" customFormat="1" ht="17.100000000000001" customHeight="1">
      <c r="A246" s="8"/>
      <c r="B246" s="8"/>
      <c r="C246" s="8"/>
      <c r="D246" s="306" t="s">
        <v>154</v>
      </c>
      <c r="E246" s="58">
        <f t="shared" si="0"/>
        <v>0</v>
      </c>
      <c r="F246" s="58">
        <f>SUMIF($D$10:$D244,D246,$G$10:$G244)</f>
        <v>0</v>
      </c>
      <c r="G246" s="61">
        <f>SUMIF($D$10:$D244,D246,$K$10:$K244)</f>
        <v>0</v>
      </c>
      <c r="H246" s="58">
        <f>SUM(F246:F250)</f>
        <v>0</v>
      </c>
      <c r="I246" s="61">
        <f>SUMIF($D$10:$D243,D246,$O$10:$O243)</f>
        <v>0</v>
      </c>
      <c r="J246" s="325"/>
      <c r="K246" s="44"/>
      <c r="L246" s="50"/>
      <c r="M246" s="61"/>
      <c r="N246" s="11"/>
      <c r="O246" s="49"/>
      <c r="P246" s="49"/>
      <c r="Q246" s="49"/>
      <c r="R246" s="321"/>
    </row>
    <row r="247" spans="1:18" s="41" customFormat="1" ht="17.100000000000001" customHeight="1">
      <c r="A247" s="8"/>
      <c r="B247" s="8"/>
      <c r="C247" s="8"/>
      <c r="D247" s="306" t="s">
        <v>155</v>
      </c>
      <c r="E247" s="58">
        <f t="shared" si="0"/>
        <v>0</v>
      </c>
      <c r="F247" s="58">
        <f>SUMIF($D$10:$D245,D247,$G$10:$G245)</f>
        <v>0</v>
      </c>
      <c r="G247" s="61">
        <f>SUMIF($D$10:$D245,D247,$K$10:$K245)</f>
        <v>0</v>
      </c>
      <c r="H247" s="58">
        <f>SUM(F247:F251)</f>
        <v>0</v>
      </c>
      <c r="I247" s="61">
        <f>SUMIF($D$10:$D244,D247,$O$10:$O244)</f>
        <v>0</v>
      </c>
      <c r="J247" s="325"/>
      <c r="K247" s="44"/>
      <c r="L247" s="50"/>
      <c r="M247" s="61"/>
      <c r="N247" s="11"/>
      <c r="O247" s="49"/>
      <c r="P247" s="49"/>
      <c r="Q247" s="49"/>
      <c r="R247" s="321"/>
    </row>
    <row r="248" spans="1:18" s="41" customFormat="1" ht="17.100000000000001" customHeight="1">
      <c r="A248" s="8"/>
      <c r="B248" s="8"/>
      <c r="C248" s="8"/>
      <c r="D248" s="306" t="s">
        <v>156</v>
      </c>
      <c r="E248" s="58">
        <f t="shared" si="0"/>
        <v>0</v>
      </c>
      <c r="F248" s="58">
        <f>SUMIF($D$10:$D246,D248,$G$10:$G246)</f>
        <v>0</v>
      </c>
      <c r="G248" s="61">
        <f>SUMIF($D$10:$D246,D248,$K$10:$K246)</f>
        <v>0</v>
      </c>
      <c r="H248" s="58">
        <f>SUM(F248:F252)</f>
        <v>0</v>
      </c>
      <c r="I248" s="61">
        <f>SUMIF($D$10:$D245,D248,$O$10:$O245)</f>
        <v>0</v>
      </c>
      <c r="J248" s="325"/>
      <c r="K248" s="44"/>
      <c r="L248" s="50"/>
      <c r="M248" s="61"/>
      <c r="N248" s="11"/>
      <c r="O248" s="49"/>
      <c r="P248" s="49"/>
      <c r="Q248" s="49"/>
      <c r="R248" s="321"/>
    </row>
    <row r="249" spans="1:18" s="41" customFormat="1" ht="17.100000000000001" customHeight="1">
      <c r="A249" s="8"/>
      <c r="B249" s="8"/>
      <c r="C249" s="8"/>
      <c r="D249" s="306" t="s">
        <v>162</v>
      </c>
      <c r="E249" s="58"/>
      <c r="F249" s="58">
        <f>SUMIF($D$10:$D247,D249,$G$10:$G247)</f>
        <v>0</v>
      </c>
      <c r="G249" s="61">
        <f>SUMIF($D$10:$D247,D249,$K$10:$K247)</f>
        <v>0</v>
      </c>
      <c r="H249" s="58"/>
      <c r="I249" s="61">
        <f>SUMIF($D$10:$D246,D249,$O$10:$O246)</f>
        <v>0</v>
      </c>
      <c r="J249" s="325"/>
      <c r="K249" s="44"/>
      <c r="L249" s="50"/>
      <c r="M249" s="61"/>
      <c r="N249" s="11"/>
      <c r="O249" s="49"/>
      <c r="P249" s="49"/>
      <c r="Q249" s="49"/>
      <c r="R249" s="321"/>
    </row>
    <row r="250" spans="1:18" s="41" customFormat="1" ht="17.100000000000001" customHeight="1">
      <c r="A250" s="8"/>
      <c r="B250" s="8"/>
      <c r="C250" s="8"/>
      <c r="D250" s="313" t="s">
        <v>157</v>
      </c>
      <c r="E250" s="58">
        <f t="shared" ref="E250:E281" si="1">SUMIF($D$10:$D$231,D250,$E$10:$E$231)</f>
        <v>0</v>
      </c>
      <c r="F250" s="58">
        <f>SUMIF($D$10:$D248,D250,$G$10:$G248)</f>
        <v>0</v>
      </c>
      <c r="G250" s="61">
        <f>SUMIF($D$10:$D248,D250,$K$10:$K248)</f>
        <v>0</v>
      </c>
      <c r="H250" s="58">
        <f>SUM(F250:F253)</f>
        <v>0</v>
      </c>
      <c r="I250" s="61">
        <f>SUMIF($D$10:$D247,D250,$O$10:$O247)</f>
        <v>0</v>
      </c>
      <c r="J250" s="325"/>
      <c r="K250" s="44"/>
      <c r="L250" s="50"/>
      <c r="M250" s="61"/>
      <c r="N250" s="11"/>
      <c r="O250" s="49"/>
      <c r="P250" s="49"/>
      <c r="Q250" s="49"/>
      <c r="R250" s="321"/>
    </row>
    <row r="251" spans="1:18" s="41" customFormat="1" ht="17.100000000000001" customHeight="1">
      <c r="A251" s="8"/>
      <c r="B251" s="8"/>
      <c r="C251" s="8"/>
      <c r="D251" s="324" t="s">
        <v>124</v>
      </c>
      <c r="E251" s="58">
        <f t="shared" si="1"/>
        <v>0</v>
      </c>
      <c r="F251" s="58">
        <f>SUMIF($D$10:$D249,D251,$G$10:$G249)</f>
        <v>0</v>
      </c>
      <c r="G251" s="61">
        <f>SUMIF($D$10:$D248,D251,$K$10:$K248)</f>
        <v>0</v>
      </c>
      <c r="H251" s="58">
        <f>SUM(F251:F254)</f>
        <v>0</v>
      </c>
      <c r="I251" s="61">
        <f>SUMIF($D$10:$D247,D251,$O$10:$O247)</f>
        <v>0</v>
      </c>
      <c r="J251" s="325"/>
      <c r="K251" s="44"/>
      <c r="L251" s="50"/>
      <c r="M251" s="61"/>
      <c r="N251" s="11"/>
      <c r="O251" s="49"/>
      <c r="P251" s="49"/>
      <c r="Q251" s="49"/>
      <c r="R251" s="321"/>
    </row>
    <row r="252" spans="1:18" s="41" customFormat="1" ht="17.100000000000001" customHeight="1">
      <c r="A252" s="8"/>
      <c r="B252" s="8"/>
      <c r="C252" s="8"/>
      <c r="D252" s="324" t="s">
        <v>125</v>
      </c>
      <c r="E252" s="58">
        <f t="shared" si="1"/>
        <v>0</v>
      </c>
      <c r="F252" s="58">
        <f>SUMIF($D$10:$D250,D252,$G$10:$G250)</f>
        <v>0</v>
      </c>
      <c r="G252" s="61">
        <f>SUMIF($D$10:$D250,D252,$K$10:$K250)</f>
        <v>0</v>
      </c>
      <c r="H252" s="58">
        <f>SUM(F252:F255)</f>
        <v>0</v>
      </c>
      <c r="I252" s="61">
        <f>SUMIF($D$10:$D248,D252,$O$10:$O248)</f>
        <v>0</v>
      </c>
      <c r="J252" s="325" t="s">
        <v>135</v>
      </c>
      <c r="K252" s="44"/>
      <c r="L252" s="49"/>
      <c r="M252" s="61"/>
      <c r="N252" s="11"/>
      <c r="O252" s="35"/>
      <c r="P252" s="35"/>
      <c r="Q252" s="35"/>
      <c r="R252" s="11"/>
    </row>
    <row r="253" spans="1:18" s="41" customFormat="1" ht="17.100000000000001" customHeight="1">
      <c r="A253" s="8"/>
      <c r="B253" s="8"/>
      <c r="C253" s="8"/>
      <c r="D253" s="324" t="s">
        <v>130</v>
      </c>
      <c r="E253" s="58">
        <f t="shared" si="1"/>
        <v>0</v>
      </c>
      <c r="F253" s="58">
        <f>SUMIF($D$10:$D251,D253,$G$10:$G251)</f>
        <v>0</v>
      </c>
      <c r="G253" s="61">
        <f>SUMIF($D$10:$D251,D253,$K$10:$K251)</f>
        <v>0</v>
      </c>
      <c r="H253" s="58">
        <f>SUM(F253:F256)</f>
        <v>0</v>
      </c>
      <c r="I253" s="61">
        <f>SUMIF($D$10:$D250,D253,$O$10:$O250)</f>
        <v>0</v>
      </c>
      <c r="J253" s="58" t="s">
        <v>135</v>
      </c>
      <c r="K253" s="44"/>
      <c r="L253" s="49"/>
      <c r="M253" s="61"/>
      <c r="N253" s="11"/>
      <c r="O253" s="35"/>
      <c r="P253" s="35"/>
      <c r="Q253" s="35"/>
      <c r="R253" s="11"/>
    </row>
    <row r="254" spans="1:18" s="41" customFormat="1" ht="17.100000000000001" customHeight="1">
      <c r="A254" s="8"/>
      <c r="B254" s="8"/>
      <c r="C254" s="8"/>
      <c r="D254" s="324" t="s">
        <v>126</v>
      </c>
      <c r="E254" s="58">
        <f t="shared" si="1"/>
        <v>0</v>
      </c>
      <c r="F254" s="58">
        <f>SUMIF($D$10:$D252,D254,$G$10:$G252)</f>
        <v>0</v>
      </c>
      <c r="G254" s="61">
        <f>SUMIF($D$10:$D252,D254,$K$10:$K252)</f>
        <v>0</v>
      </c>
      <c r="H254" s="58"/>
      <c r="I254" s="61">
        <f>SUMIF($D$10:$D252,D254,$O$10:$O252)</f>
        <v>0</v>
      </c>
      <c r="J254" s="325" t="s">
        <v>135</v>
      </c>
      <c r="K254" s="275"/>
      <c r="L254" s="49"/>
      <c r="M254" s="61"/>
      <c r="N254" s="11"/>
      <c r="O254" s="35"/>
      <c r="P254" s="35"/>
      <c r="Q254" s="35"/>
      <c r="R254" s="11"/>
    </row>
    <row r="255" spans="1:18" s="41" customFormat="1" ht="17.100000000000001" customHeight="1">
      <c r="A255" s="8"/>
      <c r="B255" s="8"/>
      <c r="C255" s="8"/>
      <c r="D255" s="324" t="s">
        <v>128</v>
      </c>
      <c r="E255" s="58">
        <f t="shared" si="1"/>
        <v>0</v>
      </c>
      <c r="F255" s="58">
        <f>SUMIF($D$10:$D253,D255,$G$10:$G253)</f>
        <v>0</v>
      </c>
      <c r="G255" s="61">
        <f>SUMIF($D$10:$D253,D255,$K$10:$K253)</f>
        <v>0</v>
      </c>
      <c r="H255" s="58"/>
      <c r="I255" s="61">
        <f>SUMIF($D$10:$D253,D255,$O$10:$O253)</f>
        <v>0</v>
      </c>
      <c r="J255" s="325" t="s">
        <v>135</v>
      </c>
      <c r="K255" s="44"/>
      <c r="L255" s="49"/>
      <c r="M255" s="61"/>
      <c r="N255" s="11"/>
      <c r="O255" s="35"/>
      <c r="P255" s="35"/>
      <c r="Q255" s="35"/>
      <c r="R255" s="11"/>
    </row>
    <row r="256" spans="1:18" s="41" customFormat="1" ht="17.100000000000001" customHeight="1">
      <c r="A256" s="8"/>
      <c r="B256" s="8"/>
      <c r="C256" s="8"/>
      <c r="D256" s="324" t="s">
        <v>163</v>
      </c>
      <c r="E256" s="58">
        <f t="shared" si="1"/>
        <v>0</v>
      </c>
      <c r="F256" s="58">
        <f>SUMIF($D$10:$D254,D256,$G$10:$G254)</f>
        <v>0</v>
      </c>
      <c r="G256" s="61">
        <f>SUMIF($D$10:$D254,D256,$K$10:$K254)</f>
        <v>0</v>
      </c>
      <c r="H256" s="58"/>
      <c r="I256" s="61">
        <f>SUMIF($D$10:$D254,D256,$O$10:$O254)</f>
        <v>0</v>
      </c>
      <c r="J256" s="325"/>
      <c r="K256" s="44"/>
      <c r="L256" s="49"/>
      <c r="M256" s="61"/>
      <c r="N256" s="11"/>
      <c r="O256" s="35"/>
      <c r="P256" s="35"/>
      <c r="Q256" s="35"/>
      <c r="R256" s="11"/>
    </row>
    <row r="257" spans="1:18" s="41" customFormat="1" ht="17.100000000000001" customHeight="1">
      <c r="A257" s="8"/>
      <c r="B257" s="8"/>
      <c r="C257" s="8"/>
      <c r="D257" s="324" t="s">
        <v>131</v>
      </c>
      <c r="E257" s="58">
        <f t="shared" si="1"/>
        <v>0</v>
      </c>
      <c r="F257" s="58">
        <f>SUMIF($D$10:$D255,D257,$G$10:$G255)</f>
        <v>0</v>
      </c>
      <c r="G257" s="61">
        <f>SUMIF($D$10:$D255,D257,$K$10:$K255)</f>
        <v>0</v>
      </c>
      <c r="H257" s="58"/>
      <c r="I257" s="61">
        <f>SUMIF($D$10:$D255,D257,$O$10:$O255)</f>
        <v>0</v>
      </c>
      <c r="J257" s="325" t="s">
        <v>135</v>
      </c>
      <c r="K257" s="44"/>
      <c r="L257" s="49"/>
      <c r="M257" s="61"/>
      <c r="N257" s="11"/>
      <c r="O257" s="35"/>
      <c r="P257" s="35"/>
      <c r="Q257" s="35"/>
      <c r="R257" s="11"/>
    </row>
    <row r="258" spans="1:18" s="41" customFormat="1" ht="17.100000000000001" customHeight="1">
      <c r="A258" s="8"/>
      <c r="B258" s="8"/>
      <c r="C258" s="8"/>
      <c r="D258" s="324" t="s">
        <v>129</v>
      </c>
      <c r="E258" s="58">
        <f t="shared" si="1"/>
        <v>0</v>
      </c>
      <c r="F258" s="58">
        <f>SUMIF($D$10:$D256,D258,$G$10:$G256)</f>
        <v>0</v>
      </c>
      <c r="G258" s="61">
        <f>SUMIF($D$10:$D256,D258,$K$10:$K256)</f>
        <v>0</v>
      </c>
      <c r="H258" s="58"/>
      <c r="I258" s="61">
        <f>SUMIF($D$10:$D255,D258,$O$10:$O255)</f>
        <v>0</v>
      </c>
      <c r="J258" s="325" t="s">
        <v>135</v>
      </c>
      <c r="K258" s="44"/>
      <c r="L258" s="49"/>
      <c r="M258" s="61"/>
      <c r="N258" s="11"/>
      <c r="O258" s="35"/>
      <c r="P258" s="35"/>
      <c r="Q258" s="35"/>
      <c r="R258" s="11"/>
    </row>
    <row r="259" spans="1:18" s="41" customFormat="1" ht="17.100000000000001" customHeight="1">
      <c r="A259" s="8"/>
      <c r="B259" s="8"/>
      <c r="C259" s="8"/>
      <c r="D259" s="324" t="s">
        <v>132</v>
      </c>
      <c r="E259" s="58">
        <f t="shared" si="1"/>
        <v>0</v>
      </c>
      <c r="F259" s="58">
        <f>SUMIF($D$10:$D257,D259,$G$10:$G257)</f>
        <v>0</v>
      </c>
      <c r="G259" s="61">
        <f>SUMIF($D$10:$D257,D259,$K$10:$K257)</f>
        <v>0</v>
      </c>
      <c r="H259" s="58"/>
      <c r="I259" s="61">
        <f>SUMIF($D$10:$D257,D259,$O$10:$O257)</f>
        <v>0</v>
      </c>
      <c r="J259" s="325" t="s">
        <v>135</v>
      </c>
      <c r="K259" s="44"/>
      <c r="L259" s="49"/>
      <c r="M259" s="61"/>
      <c r="N259" s="11"/>
      <c r="O259" s="35"/>
      <c r="P259" s="35"/>
      <c r="Q259" s="35"/>
      <c r="R259" s="11"/>
    </row>
    <row r="260" spans="1:18" s="41" customFormat="1" ht="17.100000000000001" customHeight="1">
      <c r="A260" s="8"/>
      <c r="B260" s="8"/>
      <c r="C260" s="8"/>
      <c r="D260" s="324" t="s">
        <v>133</v>
      </c>
      <c r="E260" s="58">
        <f t="shared" si="1"/>
        <v>0</v>
      </c>
      <c r="F260" s="58">
        <f>SUMIF($D$10:$D258,D260,$G$10:$G258)</f>
        <v>0</v>
      </c>
      <c r="G260" s="61">
        <f>SUMIF($D$10:$D258,D260,$K$10:$K258)</f>
        <v>0</v>
      </c>
      <c r="H260" s="58"/>
      <c r="I260" s="61">
        <f>SUMIF($D$10:$D258,D260,$O$10:$O258)</f>
        <v>0</v>
      </c>
      <c r="J260" s="325" t="s">
        <v>135</v>
      </c>
      <c r="K260" s="44"/>
      <c r="L260" s="49"/>
      <c r="M260" s="61"/>
      <c r="N260" s="11"/>
      <c r="O260" s="35"/>
      <c r="P260" s="35"/>
      <c r="Q260" s="35"/>
      <c r="R260" s="11"/>
    </row>
    <row r="261" spans="1:18" s="41" customFormat="1" ht="17.100000000000001" customHeight="1">
      <c r="A261" s="8"/>
      <c r="B261" s="8"/>
      <c r="C261" s="8"/>
      <c r="D261" s="324" t="s">
        <v>118</v>
      </c>
      <c r="E261" s="58">
        <f t="shared" si="1"/>
        <v>0</v>
      </c>
      <c r="F261" s="58">
        <f>SUMIF($D$10:$D259,D261,$G$10:$G259)</f>
        <v>0</v>
      </c>
      <c r="G261" s="61">
        <f>SUMIF($D$10:$D259,D261,$K$10:$K259)</f>
        <v>0</v>
      </c>
      <c r="H261" s="58">
        <f>SUM(F261:F270)</f>
        <v>0</v>
      </c>
      <c r="I261" s="61">
        <f>SUMIF($D$10:$D259,D261,$O$10:$O259)</f>
        <v>0</v>
      </c>
      <c r="J261" s="325" t="s">
        <v>135</v>
      </c>
      <c r="K261" s="44"/>
      <c r="L261" s="50"/>
      <c r="M261" s="61"/>
      <c r="N261" s="11"/>
      <c r="O261" s="35"/>
      <c r="P261" s="35"/>
      <c r="Q261" s="35"/>
      <c r="R261" s="11"/>
    </row>
    <row r="262" spans="1:18" s="41" customFormat="1" ht="17.100000000000001" customHeight="1">
      <c r="A262" s="8"/>
      <c r="B262" s="8"/>
      <c r="C262" s="8"/>
      <c r="D262" s="324" t="s">
        <v>120</v>
      </c>
      <c r="E262" s="58">
        <f t="shared" si="1"/>
        <v>0</v>
      </c>
      <c r="F262" s="58">
        <f>SUMIF($D$10:$D260,D262,$G$10:$G260)</f>
        <v>0</v>
      </c>
      <c r="G262" s="61">
        <f>SUMIF($D$10:$D260,D262,$K$10:$K260)</f>
        <v>0</v>
      </c>
      <c r="H262" s="58"/>
      <c r="I262" s="61">
        <f>SUMIF($D$10:$D260,D262,$O$10:$O260)</f>
        <v>0</v>
      </c>
      <c r="J262" s="325" t="s">
        <v>135</v>
      </c>
      <c r="K262" s="44"/>
      <c r="L262" s="49"/>
      <c r="M262" s="61"/>
      <c r="N262" s="11"/>
      <c r="O262" s="35"/>
      <c r="P262" s="35"/>
      <c r="Q262" s="35"/>
      <c r="R262" s="11"/>
    </row>
    <row r="263" spans="1:18" s="41" customFormat="1" ht="17.100000000000001" customHeight="1">
      <c r="A263" s="8"/>
      <c r="B263" s="8"/>
      <c r="C263" s="8"/>
      <c r="D263" s="324" t="s">
        <v>119</v>
      </c>
      <c r="E263" s="58">
        <f t="shared" si="1"/>
        <v>0</v>
      </c>
      <c r="F263" s="58">
        <f>SUMIF($D$10:$D261,D263,$G$10:$G261)</f>
        <v>0</v>
      </c>
      <c r="G263" s="61">
        <f>SUMIF($D$10:$D261,D263,$K$10:$K261)</f>
        <v>0</v>
      </c>
      <c r="H263" s="58"/>
      <c r="I263" s="61">
        <f>SUMIF($D$10:$D261,D263,$O$10:$O261)</f>
        <v>0</v>
      </c>
      <c r="J263" s="58" t="s">
        <v>135</v>
      </c>
      <c r="K263" s="274"/>
      <c r="L263" s="49"/>
      <c r="M263" s="61"/>
      <c r="N263" s="11"/>
      <c r="O263" s="35"/>
      <c r="P263" s="35"/>
      <c r="Q263" s="35"/>
      <c r="R263" s="11"/>
    </row>
    <row r="264" spans="1:18" s="41" customFormat="1" ht="17.100000000000001" customHeight="1">
      <c r="A264" s="8"/>
      <c r="B264" s="8"/>
      <c r="C264" s="8"/>
      <c r="D264" s="324" t="s">
        <v>121</v>
      </c>
      <c r="E264" s="58">
        <f t="shared" si="1"/>
        <v>0</v>
      </c>
      <c r="F264" s="58">
        <f>SUMIF($D$10:$D262,D264,$G$10:$G262)</f>
        <v>0</v>
      </c>
      <c r="G264" s="61">
        <f>SUMIF($D$10:$D262,D264,$K$10:$K262)</f>
        <v>0</v>
      </c>
      <c r="H264" s="58"/>
      <c r="I264" s="61">
        <f>SUMIF($D$10:$D262,D264,$O$10:$O262)</f>
        <v>0</v>
      </c>
      <c r="J264" s="58" t="s">
        <v>135</v>
      </c>
      <c r="K264" s="274"/>
      <c r="L264" s="49"/>
      <c r="M264" s="61"/>
      <c r="N264" s="11"/>
      <c r="O264" s="35"/>
      <c r="P264" s="35"/>
      <c r="Q264" s="35"/>
      <c r="R264" s="11"/>
    </row>
    <row r="265" spans="1:18" s="41" customFormat="1" ht="17.100000000000001" customHeight="1">
      <c r="A265" s="8"/>
      <c r="B265" s="8"/>
      <c r="C265" s="8"/>
      <c r="D265" s="324" t="s">
        <v>142</v>
      </c>
      <c r="E265" s="58">
        <f t="shared" si="1"/>
        <v>0</v>
      </c>
      <c r="F265" s="58">
        <f>SUMIF($D$10:$D263,D265,$G$10:$G263)</f>
        <v>0</v>
      </c>
      <c r="G265" s="61">
        <f>SUMIF($D$10:$D263,D265,$K$10:$K263)</f>
        <v>0</v>
      </c>
      <c r="H265" s="58"/>
      <c r="I265" s="61">
        <f>SUMIF($D$10:$D263,D265,$O$10:$O263)</f>
        <v>0</v>
      </c>
      <c r="J265" s="58"/>
      <c r="K265" s="274"/>
      <c r="L265" s="49"/>
      <c r="M265" s="61"/>
      <c r="N265" s="11"/>
      <c r="O265" s="35"/>
      <c r="P265" s="35"/>
      <c r="Q265" s="35"/>
      <c r="R265" s="11"/>
    </row>
    <row r="266" spans="1:18" s="41" customFormat="1" ht="17.100000000000001" customHeight="1">
      <c r="A266" s="8"/>
      <c r="B266" s="8"/>
      <c r="C266" s="8"/>
      <c r="D266" s="324" t="s">
        <v>122</v>
      </c>
      <c r="E266" s="58">
        <f t="shared" si="1"/>
        <v>0</v>
      </c>
      <c r="F266" s="58">
        <f>SUMIF($D$10:$D264,D266,$G$10:$G264)</f>
        <v>0</v>
      </c>
      <c r="G266" s="61">
        <f>SUMIF($D$10:$D264,D266,$K$10:$K264)</f>
        <v>0</v>
      </c>
      <c r="H266" s="58"/>
      <c r="I266" s="61">
        <f>SUMIF($D$10:$D264,D266,$O$10:$O264)</f>
        <v>0</v>
      </c>
      <c r="J266" s="325" t="s">
        <v>135</v>
      </c>
      <c r="K266" s="44"/>
      <c r="L266" s="49"/>
      <c r="M266" s="61"/>
      <c r="N266" s="11"/>
      <c r="O266" s="35"/>
      <c r="P266" s="35"/>
      <c r="Q266" s="35"/>
      <c r="R266" s="11"/>
    </row>
    <row r="267" spans="1:18" s="41" customFormat="1" ht="17.100000000000001" customHeight="1">
      <c r="A267" s="8"/>
      <c r="B267" s="8"/>
      <c r="C267" s="8"/>
      <c r="D267" s="324" t="s">
        <v>123</v>
      </c>
      <c r="E267" s="58">
        <f t="shared" si="1"/>
        <v>0</v>
      </c>
      <c r="F267" s="58">
        <f>SUMIF($D$10:$D265,D267,$G$10:$G265)</f>
        <v>0</v>
      </c>
      <c r="G267" s="61">
        <f>SUMIF($D$10:$D265,D267,$K$10:$K265)</f>
        <v>0</v>
      </c>
      <c r="H267" s="58"/>
      <c r="I267" s="61">
        <f>SUMIF($D$10:$D265,D267,$O$10:$O265)</f>
        <v>0</v>
      </c>
      <c r="J267" s="325" t="s">
        <v>135</v>
      </c>
      <c r="K267" s="44"/>
      <c r="L267" s="49"/>
      <c r="M267" s="61"/>
      <c r="N267" s="11"/>
      <c r="O267" s="35"/>
      <c r="P267" s="35"/>
      <c r="Q267" s="35"/>
      <c r="R267" s="11"/>
    </row>
    <row r="268" spans="1:18" s="41" customFormat="1" ht="17.100000000000001" customHeight="1">
      <c r="A268" s="8"/>
      <c r="B268" s="8"/>
      <c r="C268" s="8"/>
      <c r="D268" s="324" t="s">
        <v>143</v>
      </c>
      <c r="E268" s="58">
        <f t="shared" si="1"/>
        <v>0</v>
      </c>
      <c r="F268" s="58">
        <f>SUMIF($D$10:$D266,D268,$G$10:$G266)</f>
        <v>0</v>
      </c>
      <c r="G268" s="61">
        <f>SUMIF($D$10:$D266,D268,$K$10:$K266)</f>
        <v>0</v>
      </c>
      <c r="H268" s="58"/>
      <c r="I268" s="61">
        <f>SUMIF($D$10:$D266,D268,$O$10:$O266)</f>
        <v>0</v>
      </c>
      <c r="J268" s="325"/>
      <c r="K268" s="44"/>
      <c r="L268" s="49"/>
      <c r="M268" s="61"/>
      <c r="N268" s="11"/>
      <c r="O268" s="35"/>
      <c r="P268" s="35"/>
      <c r="Q268" s="35"/>
      <c r="R268" s="11"/>
    </row>
    <row r="269" spans="1:18" s="41" customFormat="1" ht="17.100000000000001" customHeight="1">
      <c r="A269" s="8"/>
      <c r="B269" s="8"/>
      <c r="C269" s="8"/>
      <c r="D269" s="324" t="s">
        <v>144</v>
      </c>
      <c r="E269" s="58">
        <f t="shared" si="1"/>
        <v>0</v>
      </c>
      <c r="F269" s="58">
        <f>SUMIF($D$10:$D267,D269,$G$10:$G267)</f>
        <v>0</v>
      </c>
      <c r="G269" s="61">
        <f>SUMIF($D$10:$D267,D269,$K$10:$K267)</f>
        <v>0</v>
      </c>
      <c r="H269" s="58"/>
      <c r="I269" s="61">
        <f>SUMIF($D$10:$D267,D269,$O$10:$O267)</f>
        <v>0</v>
      </c>
      <c r="J269" s="325"/>
      <c r="K269" s="44"/>
      <c r="L269" s="49"/>
      <c r="M269" s="61"/>
      <c r="N269" s="11"/>
      <c r="O269" s="35"/>
      <c r="P269" s="35"/>
      <c r="Q269" s="35"/>
      <c r="R269" s="11"/>
    </row>
    <row r="270" spans="1:18" s="41" customFormat="1" ht="17.100000000000001" customHeight="1">
      <c r="A270" s="8"/>
      <c r="B270" s="8"/>
      <c r="C270" s="8"/>
      <c r="D270" s="324" t="s">
        <v>145</v>
      </c>
      <c r="E270" s="58">
        <f t="shared" si="1"/>
        <v>0</v>
      </c>
      <c r="F270" s="58">
        <f>SUMIF($D$10:$D268,D270,$G$10:$G268)</f>
        <v>0</v>
      </c>
      <c r="G270" s="61">
        <f>SUMIF($D$10:$D268,D270,$K$10:$K268)</f>
        <v>0</v>
      </c>
      <c r="H270" s="58"/>
      <c r="I270" s="61">
        <f>SUMIF($D$10:$D268,D270,$O$10:$O268)</f>
        <v>0</v>
      </c>
      <c r="J270" s="325"/>
      <c r="K270" s="44"/>
      <c r="L270" s="49"/>
      <c r="M270" s="61"/>
      <c r="N270" s="11"/>
      <c r="O270" s="35"/>
      <c r="P270" s="35"/>
      <c r="Q270" s="35"/>
      <c r="R270" s="11"/>
    </row>
    <row r="271" spans="1:18" s="41" customFormat="1" ht="17.100000000000001" customHeight="1">
      <c r="A271" s="8"/>
      <c r="B271" s="8"/>
      <c r="C271" s="8"/>
      <c r="D271" s="324" t="s">
        <v>114</v>
      </c>
      <c r="E271" s="58">
        <f t="shared" si="1"/>
        <v>0</v>
      </c>
      <c r="F271" s="58">
        <f>SUMIF($D$10:$D269,D271,$G$10:$G269)</f>
        <v>0</v>
      </c>
      <c r="G271" s="61">
        <f>SUMIF($D$10:$D269,D271,$K$10:$K269)</f>
        <v>0</v>
      </c>
      <c r="H271" s="58">
        <f>SUM(F271:F278)</f>
        <v>0</v>
      </c>
      <c r="I271" s="61">
        <f>SUMIF($D$10:$D270,D271,$O$10:$O270)</f>
        <v>0</v>
      </c>
      <c r="J271" s="325" t="s">
        <v>135</v>
      </c>
      <c r="K271" s="44"/>
      <c r="L271" s="49"/>
      <c r="M271" s="61"/>
      <c r="N271" s="11"/>
      <c r="O271" s="35"/>
      <c r="P271" s="35"/>
      <c r="Q271" s="35"/>
      <c r="R271" s="11"/>
    </row>
    <row r="272" spans="1:18" s="41" customFormat="1" ht="17.100000000000001" customHeight="1">
      <c r="A272" s="8"/>
      <c r="B272" s="8"/>
      <c r="C272" s="8"/>
      <c r="D272" s="324" t="s">
        <v>115</v>
      </c>
      <c r="E272" s="58">
        <f t="shared" si="1"/>
        <v>0</v>
      </c>
      <c r="F272" s="58">
        <f>SUMIF($D$10:$D270,D272,$G$10:$G270)</f>
        <v>0</v>
      </c>
      <c r="G272" s="61">
        <f>SUMIF($D$10:$D270,D272,$K$10:$K270)</f>
        <v>0</v>
      </c>
      <c r="H272" s="58"/>
      <c r="I272" s="61">
        <f>SUMIF($D$10:$D270,D272,$O$10:$O270)</f>
        <v>0</v>
      </c>
      <c r="J272" s="325" t="s">
        <v>135</v>
      </c>
      <c r="K272" s="44"/>
      <c r="L272" s="49"/>
      <c r="M272" s="61"/>
      <c r="N272" s="11"/>
      <c r="O272" s="35"/>
      <c r="P272" s="35"/>
      <c r="Q272" s="35"/>
      <c r="R272" s="11"/>
    </row>
    <row r="273" spans="1:18" s="41" customFormat="1" ht="17.100000000000001" customHeight="1">
      <c r="A273" s="8"/>
      <c r="B273" s="8"/>
      <c r="C273" s="8"/>
      <c r="D273" s="324" t="s">
        <v>116</v>
      </c>
      <c r="E273" s="58">
        <f t="shared" si="1"/>
        <v>0</v>
      </c>
      <c r="F273" s="58">
        <f>SUMIF($D$10:$D271,D273,$G$10:$G271)</f>
        <v>0</v>
      </c>
      <c r="G273" s="61">
        <f>SUMIF($D$10:$D271,D273,$K$10:$K271)</f>
        <v>0</v>
      </c>
      <c r="H273" s="58"/>
      <c r="I273" s="61">
        <f>SUMIF($D$10:$D271,D273,$O$10:$O271)</f>
        <v>0</v>
      </c>
      <c r="J273" s="58">
        <v>0</v>
      </c>
      <c r="K273" s="275"/>
      <c r="L273" s="49"/>
      <c r="M273" s="61"/>
      <c r="N273" s="11"/>
      <c r="O273" s="35"/>
      <c r="P273" s="35"/>
      <c r="Q273" s="35"/>
      <c r="R273" s="11"/>
    </row>
    <row r="274" spans="1:18" s="41" customFormat="1" ht="17.100000000000001" customHeight="1">
      <c r="A274" s="8"/>
      <c r="B274" s="8"/>
      <c r="C274" s="8"/>
      <c r="D274" s="324" t="s">
        <v>117</v>
      </c>
      <c r="E274" s="58">
        <f t="shared" si="1"/>
        <v>0</v>
      </c>
      <c r="F274" s="58">
        <f>SUMIF($D$10:$D272,D274,$G$10:$G272)</f>
        <v>0</v>
      </c>
      <c r="G274" s="61">
        <f>SUMIF($D$10:$D272,D274,$K$10:$K272)</f>
        <v>0</v>
      </c>
      <c r="H274" s="58"/>
      <c r="I274" s="61">
        <f>SUMIF($D$10:$D272,D274,$O$10:$O272)</f>
        <v>0</v>
      </c>
      <c r="J274" s="58" t="s">
        <v>135</v>
      </c>
      <c r="K274" s="275"/>
      <c r="L274" s="49"/>
      <c r="M274" s="61"/>
      <c r="N274" s="11"/>
      <c r="O274" s="35"/>
      <c r="P274" s="35"/>
      <c r="Q274" s="35"/>
      <c r="R274" s="11"/>
    </row>
    <row r="275" spans="1:18" s="41" customFormat="1" ht="17.100000000000001" customHeight="1">
      <c r="A275" s="8"/>
      <c r="B275" s="8"/>
      <c r="C275" s="8"/>
      <c r="D275" s="324" t="s">
        <v>40</v>
      </c>
      <c r="E275" s="58">
        <f t="shared" si="1"/>
        <v>0</v>
      </c>
      <c r="F275" s="58">
        <f>SUMIF($D$10:$D273,D275,$G$10:$G273)</f>
        <v>0</v>
      </c>
      <c r="G275" s="61">
        <f>SUMIF($D$10:$D273,D275,$K$10:$K273)</f>
        <v>0</v>
      </c>
      <c r="H275" s="58"/>
      <c r="I275" s="61">
        <f>SUMIF($D$10:$D273,D275,$O$10:$O273)</f>
        <v>0</v>
      </c>
      <c r="J275" s="325" t="s">
        <v>135</v>
      </c>
      <c r="K275" s="44"/>
      <c r="L275" s="49"/>
      <c r="M275" s="61"/>
      <c r="N275" s="11"/>
      <c r="O275" s="35"/>
      <c r="P275" s="35"/>
      <c r="Q275" s="35"/>
      <c r="R275" s="11"/>
    </row>
    <row r="276" spans="1:18" s="41" customFormat="1" ht="17.100000000000001" customHeight="1">
      <c r="A276" s="8"/>
      <c r="B276" s="8"/>
      <c r="C276" s="8"/>
      <c r="D276" s="324" t="s">
        <v>141</v>
      </c>
      <c r="E276" s="58">
        <f t="shared" si="1"/>
        <v>0</v>
      </c>
      <c r="F276" s="58">
        <f>SUMIF($D$10:$D274,D276,$G$10:$G274)</f>
        <v>0</v>
      </c>
      <c r="G276" s="61">
        <f>SUMIF($D$10:$D274,D276,$K$10:$K274)</f>
        <v>0</v>
      </c>
      <c r="H276" s="58"/>
      <c r="I276" s="61">
        <f>SUMIF($D$10:$D274,D276,$O$10:$O274)</f>
        <v>0</v>
      </c>
      <c r="J276" s="325"/>
      <c r="K276" s="44"/>
      <c r="L276" s="49"/>
      <c r="M276" s="61"/>
      <c r="N276" s="11"/>
      <c r="O276" s="35"/>
      <c r="P276" s="35"/>
      <c r="Q276" s="35"/>
      <c r="R276" s="11"/>
    </row>
    <row r="277" spans="1:18" s="41" customFormat="1" ht="17.100000000000001" customHeight="1">
      <c r="A277" s="8"/>
      <c r="B277" s="8"/>
      <c r="C277" s="8"/>
      <c r="D277" s="324" t="s">
        <v>140</v>
      </c>
      <c r="E277" s="58">
        <f t="shared" si="1"/>
        <v>0</v>
      </c>
      <c r="F277" s="58">
        <f>SUMIF($D$10:$D275,D277,$G$10:$G275)</f>
        <v>0</v>
      </c>
      <c r="G277" s="61">
        <f>SUMIF($D$10:$D275,D277,$K$10:$K275)</f>
        <v>0</v>
      </c>
      <c r="H277" s="58"/>
      <c r="I277" s="61">
        <f>SUMIF($D$10:$D275,D277,$O$10:$O275)</f>
        <v>0</v>
      </c>
      <c r="J277" s="325"/>
      <c r="K277" s="44"/>
      <c r="L277" s="49"/>
      <c r="M277" s="61"/>
      <c r="N277" s="11"/>
      <c r="O277" s="35"/>
      <c r="P277" s="35"/>
      <c r="Q277" s="35"/>
      <c r="R277" s="11"/>
    </row>
    <row r="278" spans="1:18" s="41" customFormat="1" ht="17.100000000000001" customHeight="1">
      <c r="A278" s="8"/>
      <c r="B278" s="8"/>
      <c r="C278" s="8"/>
      <c r="D278" s="324"/>
      <c r="E278" s="58">
        <f t="shared" si="1"/>
        <v>0</v>
      </c>
      <c r="F278" s="58">
        <f>SUMIF($D$10:$D276,D278,$G$10:$G276)</f>
        <v>0</v>
      </c>
      <c r="G278" s="61">
        <f>SUMIF($D$10:$D276,D278,$K$10:$K276)</f>
        <v>0</v>
      </c>
      <c r="H278" s="58"/>
      <c r="I278" s="61">
        <f>SUMIF($D$10:$D276,D278,$O$10:$O276)</f>
        <v>0</v>
      </c>
      <c r="J278" s="325"/>
      <c r="K278" s="44"/>
      <c r="L278" s="49"/>
      <c r="M278" s="61"/>
      <c r="N278" s="11"/>
      <c r="O278" s="35"/>
      <c r="P278" s="35"/>
      <c r="Q278" s="35"/>
      <c r="R278" s="11"/>
    </row>
    <row r="279" spans="1:18" s="41" customFormat="1" ht="17.100000000000001" customHeight="1">
      <c r="A279" s="8"/>
      <c r="B279" s="8"/>
      <c r="C279" s="8"/>
      <c r="D279" s="324" t="s">
        <v>45</v>
      </c>
      <c r="E279" s="58">
        <f t="shared" si="1"/>
        <v>0</v>
      </c>
      <c r="F279" s="58">
        <f>SUMIF($D$10:$D277,D279,$G$10:$G277)</f>
        <v>0</v>
      </c>
      <c r="G279" s="61">
        <f>SUMIF($D$10:$D277,D279,$K$10:$K277)</f>
        <v>0</v>
      </c>
      <c r="H279" s="58">
        <f>SUM(G279)</f>
        <v>0</v>
      </c>
      <c r="I279" s="61">
        <f>SUMIF($D$10:$D277,D279,$O$10:$O277)</f>
        <v>0</v>
      </c>
      <c r="J279" s="325" t="s">
        <v>135</v>
      </c>
      <c r="K279" s="44"/>
      <c r="L279" s="49"/>
      <c r="M279" s="61"/>
      <c r="N279" s="11"/>
      <c r="O279" s="35"/>
      <c r="P279" s="35"/>
      <c r="Q279" s="35"/>
      <c r="R279" s="11"/>
    </row>
    <row r="280" spans="1:18" s="41" customFormat="1" ht="17.100000000000001" customHeight="1">
      <c r="A280" s="8"/>
      <c r="B280" s="8"/>
      <c r="C280" s="8"/>
      <c r="D280" s="324" t="s">
        <v>46</v>
      </c>
      <c r="E280" s="58">
        <f t="shared" si="1"/>
        <v>0</v>
      </c>
      <c r="F280" s="58">
        <f>SUMIF($D$10:$D278,D280,$G$10:$G278)</f>
        <v>0</v>
      </c>
      <c r="G280" s="61">
        <f>SUMIF($D$10:$D278,D280,$K$10:$K278)</f>
        <v>0</v>
      </c>
      <c r="H280" s="58"/>
      <c r="I280" s="61">
        <f>SUMIF($D$10:$D278,D280,$O$10:$O278)</f>
        <v>0</v>
      </c>
      <c r="J280" s="325"/>
      <c r="K280" s="44"/>
      <c r="L280" s="49"/>
      <c r="M280" s="61"/>
      <c r="N280" s="11"/>
      <c r="O280" s="35"/>
      <c r="P280" s="35"/>
      <c r="Q280" s="35"/>
      <c r="R280" s="11"/>
    </row>
    <row r="281" spans="1:18" s="41" customFormat="1" ht="17.100000000000001" customHeight="1">
      <c r="A281" s="8"/>
      <c r="B281" s="8"/>
      <c r="C281" s="8"/>
      <c r="D281" s="324" t="s">
        <v>48</v>
      </c>
      <c r="E281" s="58">
        <f t="shared" si="1"/>
        <v>0</v>
      </c>
      <c r="F281" s="58">
        <f>SUMIF($D$10:$D279,D281,$G$10:$G279)</f>
        <v>0</v>
      </c>
      <c r="G281" s="61">
        <f>SUMIF($D$10:$D279,D281,$K$10:$K279)</f>
        <v>0</v>
      </c>
      <c r="H281" s="58"/>
      <c r="I281" s="61">
        <f>SUMIF($D$10:$D279,D281,$O$10:$O279)</f>
        <v>0</v>
      </c>
      <c r="J281" s="325" t="s">
        <v>135</v>
      </c>
      <c r="K281" s="44"/>
      <c r="L281" s="49"/>
      <c r="M281" s="61"/>
      <c r="N281" s="11"/>
      <c r="O281" s="35"/>
      <c r="P281" s="35"/>
      <c r="Q281" s="35"/>
      <c r="R281" s="11"/>
    </row>
    <row r="282" spans="1:18" s="41" customFormat="1" ht="17.100000000000001" customHeight="1">
      <c r="A282" s="8"/>
      <c r="B282" s="8"/>
      <c r="C282" s="8"/>
      <c r="D282" s="324" t="s">
        <v>134</v>
      </c>
      <c r="E282" s="58">
        <f t="shared" ref="E282:E300" si="2">SUMIF($D$10:$D$231,D282,$E$10:$E$231)</f>
        <v>0</v>
      </c>
      <c r="F282" s="58">
        <f>SUMIF($D$10:$D280,D282,$G$10:$G280)</f>
        <v>0</v>
      </c>
      <c r="G282" s="61">
        <f>SUMIF($D$10:$D280,D282,$K$10:$K280)</f>
        <v>0</v>
      </c>
      <c r="H282" s="58"/>
      <c r="I282" s="61">
        <f>SUMIF($D$10:$D280,D282,$O$10:$O280)</f>
        <v>0</v>
      </c>
      <c r="J282" s="325" t="s">
        <v>135</v>
      </c>
      <c r="K282" s="44"/>
      <c r="L282" s="49"/>
      <c r="M282" s="61"/>
      <c r="N282" s="11"/>
      <c r="O282" s="35"/>
      <c r="P282" s="35"/>
      <c r="Q282" s="35"/>
      <c r="R282" s="11"/>
    </row>
    <row r="283" spans="1:18" s="41" customFormat="1" ht="17.100000000000001" customHeight="1">
      <c r="A283" s="8"/>
      <c r="B283" s="8"/>
      <c r="C283" s="8"/>
      <c r="D283" s="324" t="s">
        <v>136</v>
      </c>
      <c r="E283" s="58">
        <f t="shared" si="2"/>
        <v>0</v>
      </c>
      <c r="F283" s="58">
        <f>SUMIF($D$10:$D281,D283,$G$10:$G281)</f>
        <v>0</v>
      </c>
      <c r="G283" s="61">
        <f>SUMIF($D$10:$D281,D283,$K$10:$K281)</f>
        <v>0</v>
      </c>
      <c r="H283" s="58"/>
      <c r="I283" s="61">
        <f>SUMIF($D$10:$D281,D283,$O$10:$O281)</f>
        <v>0</v>
      </c>
      <c r="J283" s="325" t="s">
        <v>135</v>
      </c>
      <c r="K283" s="44"/>
      <c r="L283" s="49"/>
      <c r="M283" s="61"/>
      <c r="N283" s="11"/>
      <c r="O283" s="35"/>
      <c r="P283" s="35"/>
      <c r="Q283" s="35"/>
      <c r="R283" s="11"/>
    </row>
    <row r="284" spans="1:18" s="41" customFormat="1" ht="17.100000000000001" customHeight="1">
      <c r="A284" s="8"/>
      <c r="B284" s="8"/>
      <c r="C284" s="8"/>
      <c r="D284" s="324" t="s">
        <v>108</v>
      </c>
      <c r="E284" s="58">
        <f t="shared" si="2"/>
        <v>0</v>
      </c>
      <c r="F284" s="58">
        <f>SUMIF($D$10:$D282,D284,$G$10:$G282)</f>
        <v>0</v>
      </c>
      <c r="G284" s="61">
        <f>SUMIF($D$10:$D282,D284,$K$10:$K282)</f>
        <v>0</v>
      </c>
      <c r="H284" s="58"/>
      <c r="I284" s="61">
        <f>SUMIF($D$10:$D282,D284,$O$10:$O282)</f>
        <v>0</v>
      </c>
      <c r="J284" s="325" t="s">
        <v>135</v>
      </c>
      <c r="K284" s="44"/>
      <c r="L284" s="49"/>
      <c r="M284" s="61"/>
      <c r="N284" s="11"/>
      <c r="O284" s="35"/>
      <c r="P284" s="35"/>
      <c r="Q284" s="35"/>
      <c r="R284" s="11"/>
    </row>
    <row r="285" spans="1:18" s="41" customFormat="1" ht="17.100000000000001" customHeight="1">
      <c r="A285" s="8"/>
      <c r="B285" s="8"/>
      <c r="C285" s="8"/>
      <c r="D285" s="324" t="s">
        <v>109</v>
      </c>
      <c r="E285" s="58">
        <f t="shared" si="2"/>
        <v>0</v>
      </c>
      <c r="F285" s="58">
        <f>SUMIF($D$10:$D283,D285,$G$10:$G283)</f>
        <v>0</v>
      </c>
      <c r="G285" s="61">
        <f>SUMIF($D$10:$D283,D285,$K$10:$K283)</f>
        <v>0</v>
      </c>
      <c r="H285" s="58"/>
      <c r="I285" s="61">
        <f>SUMIF($D$10:$D283,D285,$O$10:$O283)</f>
        <v>0</v>
      </c>
      <c r="J285" s="325" t="s">
        <v>135</v>
      </c>
      <c r="K285" s="44"/>
      <c r="L285" s="49"/>
      <c r="M285" s="61"/>
      <c r="N285" s="11"/>
      <c r="O285" s="35"/>
      <c r="P285" s="35"/>
      <c r="Q285" s="35"/>
      <c r="R285" s="11"/>
    </row>
    <row r="286" spans="1:18" s="41" customFormat="1" ht="17.100000000000001" customHeight="1">
      <c r="A286" s="8"/>
      <c r="B286" s="8"/>
      <c r="C286" s="8"/>
      <c r="D286" s="324" t="s">
        <v>110</v>
      </c>
      <c r="E286" s="58">
        <f t="shared" si="2"/>
        <v>0</v>
      </c>
      <c r="F286" s="58">
        <f>SUMIF($D$10:$D284,D286,$G$10:$G284)</f>
        <v>0</v>
      </c>
      <c r="G286" s="61">
        <f>SUMIF($D$10:$D284,D286,$K$10:$K284)</f>
        <v>0</v>
      </c>
      <c r="H286" s="58"/>
      <c r="I286" s="61">
        <f>SUMIF($D$10:$D284,D286,$O$10:$O284)</f>
        <v>0</v>
      </c>
      <c r="J286" s="325" t="s">
        <v>135</v>
      </c>
      <c r="K286" s="44"/>
      <c r="L286" s="49"/>
      <c r="M286" s="61"/>
      <c r="N286" s="11"/>
      <c r="O286" s="35"/>
      <c r="P286" s="35"/>
      <c r="Q286" s="35"/>
      <c r="R286" s="11"/>
    </row>
    <row r="287" spans="1:18" s="41" customFormat="1" ht="17.100000000000001" customHeight="1">
      <c r="A287" s="8"/>
      <c r="B287" s="8"/>
      <c r="C287" s="8"/>
      <c r="D287" s="324" t="s">
        <v>112</v>
      </c>
      <c r="E287" s="58">
        <f t="shared" si="2"/>
        <v>0</v>
      </c>
      <c r="F287" s="58">
        <f>SUMIF($D$10:$D285,D287,$G$10:$G285)</f>
        <v>0</v>
      </c>
      <c r="G287" s="61">
        <f>SUMIF($D$10:$D285,D287,$K$10:$K285)</f>
        <v>0</v>
      </c>
      <c r="H287" s="58"/>
      <c r="I287" s="61">
        <f>SUMIF($D$10:$D285,D287,$O$10:$O285)</f>
        <v>0</v>
      </c>
      <c r="J287" s="325" t="s">
        <v>135</v>
      </c>
      <c r="K287" s="44"/>
      <c r="L287" s="49"/>
      <c r="M287" s="61"/>
      <c r="N287" s="11"/>
      <c r="O287" s="35"/>
      <c r="P287" s="35"/>
      <c r="Q287" s="35"/>
      <c r="R287" s="11"/>
    </row>
    <row r="288" spans="1:18" s="41" customFormat="1" ht="17.100000000000001" customHeight="1">
      <c r="A288" s="8"/>
      <c r="B288" s="8"/>
      <c r="C288" s="8"/>
      <c r="D288" s="324" t="s">
        <v>113</v>
      </c>
      <c r="E288" s="58">
        <f t="shared" si="2"/>
        <v>0</v>
      </c>
      <c r="F288" s="58">
        <f>SUMIF($D$10:$D286,D288,$G$10:$G286)</f>
        <v>0</v>
      </c>
      <c r="G288" s="61">
        <f>SUMIF($D$10:$D286,D288,$K$10:$K286)</f>
        <v>0</v>
      </c>
      <c r="H288" s="58"/>
      <c r="I288" s="61">
        <f>SUMIF($D$10:$D286,D288,$O$10:$O286)</f>
        <v>0</v>
      </c>
      <c r="J288" s="325" t="s">
        <v>135</v>
      </c>
      <c r="K288" s="44"/>
      <c r="L288" s="49"/>
      <c r="M288" s="61"/>
      <c r="N288" s="11"/>
      <c r="O288" s="35"/>
      <c r="P288" s="35"/>
      <c r="Q288" s="35"/>
      <c r="R288" s="11"/>
    </row>
    <row r="289" spans="1:18" s="41" customFormat="1" ht="17.100000000000001" customHeight="1">
      <c r="A289" s="8"/>
      <c r="B289" s="8"/>
      <c r="C289" s="8"/>
      <c r="D289" s="324"/>
      <c r="E289" s="58">
        <f t="shared" si="2"/>
        <v>0</v>
      </c>
      <c r="F289" s="58">
        <f>SUMIF($D$10:$D287,D289,$G$10:$G287)</f>
        <v>0</v>
      </c>
      <c r="G289" s="61">
        <f>SUMIF($D$10:$D287,D289,$K$10:$K287)</f>
        <v>0</v>
      </c>
      <c r="H289" s="58"/>
      <c r="I289" s="61">
        <f>SUMIF($D$10:$D287,D289,$O$10:$O287)</f>
        <v>0</v>
      </c>
      <c r="J289" s="325"/>
      <c r="K289" s="44"/>
      <c r="L289" s="49"/>
      <c r="M289" s="61"/>
      <c r="N289" s="11"/>
      <c r="O289" s="35"/>
      <c r="P289" s="35"/>
      <c r="Q289" s="35"/>
      <c r="R289" s="11"/>
    </row>
    <row r="290" spans="1:18" s="41" customFormat="1" ht="17.100000000000001" customHeight="1">
      <c r="A290" s="8"/>
      <c r="B290" s="8"/>
      <c r="C290" s="8"/>
      <c r="D290" s="324" t="s">
        <v>104</v>
      </c>
      <c r="E290" s="58">
        <f t="shared" si="2"/>
        <v>776.99691300000006</v>
      </c>
      <c r="F290" s="429">
        <f>SUMIF($D$10:$D288,D290,$G$10:$G288)</f>
        <v>631.39599999999996</v>
      </c>
      <c r="G290" s="61">
        <f>SUMIF($D$10:$D288,D290,$K$10:$K288)</f>
        <v>39439</v>
      </c>
      <c r="H290" s="58"/>
      <c r="I290" s="61">
        <f>SUMIF($D$10:$D288,D290,$O$10:$O288)</f>
        <v>120979</v>
      </c>
      <c r="J290" s="325" t="s">
        <v>135</v>
      </c>
      <c r="K290" s="44"/>
      <c r="L290" s="49"/>
      <c r="M290" s="61"/>
      <c r="N290" s="11"/>
      <c r="O290" s="35"/>
      <c r="P290" s="35"/>
      <c r="Q290" s="35"/>
      <c r="R290" s="11"/>
    </row>
    <row r="291" spans="1:18" s="41" customFormat="1" ht="17.100000000000001" customHeight="1">
      <c r="A291" s="8"/>
      <c r="B291" s="8"/>
      <c r="C291" s="8"/>
      <c r="D291" s="324" t="s">
        <v>105</v>
      </c>
      <c r="E291" s="58">
        <f t="shared" si="2"/>
        <v>0</v>
      </c>
      <c r="F291" s="429">
        <f>SUMIF($D$10:$D289,D291,$G$10:$G289)</f>
        <v>0.39300000000000002</v>
      </c>
      <c r="G291" s="61">
        <f>SUMIF($D$10:$D289,D291,$K$10:$K289)</f>
        <v>0</v>
      </c>
      <c r="H291" s="58"/>
      <c r="I291" s="61">
        <f>SUMIF($D$10:$D289,D291,$O$10:$O289)</f>
        <v>0</v>
      </c>
      <c r="J291" s="325" t="s">
        <v>135</v>
      </c>
      <c r="K291" s="44"/>
      <c r="L291" s="49"/>
      <c r="M291" s="61"/>
      <c r="N291" s="11"/>
      <c r="O291" s="35"/>
      <c r="P291" s="35"/>
      <c r="Q291" s="35"/>
      <c r="R291" s="11"/>
    </row>
    <row r="292" spans="1:18" s="41" customFormat="1" ht="17.100000000000001" customHeight="1">
      <c r="A292" s="8"/>
      <c r="B292" s="8"/>
      <c r="C292" s="8"/>
      <c r="D292" s="324" t="s">
        <v>111</v>
      </c>
      <c r="E292" s="58">
        <f t="shared" si="2"/>
        <v>129.9863</v>
      </c>
      <c r="F292" s="429">
        <f>SUMIF($D$10:$D290,D292,$G$10:$G290)</f>
        <v>162.767</v>
      </c>
      <c r="G292" s="61">
        <f>SUMIF($D$10:$D290,D292,$K$10:$K290)</f>
        <v>12007</v>
      </c>
      <c r="H292" s="58"/>
      <c r="I292" s="61">
        <f>SUMIF($D$10:$D290,D292,$O$10:$O290)</f>
        <v>30353</v>
      </c>
      <c r="J292" s="325" t="s">
        <v>135</v>
      </c>
      <c r="K292" s="44"/>
      <c r="L292" s="49"/>
      <c r="M292" s="61"/>
      <c r="N292" s="11"/>
      <c r="O292" s="35"/>
      <c r="P292" s="35"/>
      <c r="Q292" s="35"/>
      <c r="R292" s="11"/>
    </row>
    <row r="293" spans="1:18" s="41" customFormat="1" ht="17.100000000000001" customHeight="1">
      <c r="A293" s="8"/>
      <c r="B293" s="8"/>
      <c r="C293" s="8"/>
      <c r="D293" s="324" t="s">
        <v>139</v>
      </c>
      <c r="E293" s="58">
        <f t="shared" si="2"/>
        <v>0</v>
      </c>
      <c r="F293" s="429">
        <f>SUMIF($D$10:$D291,D293,$G$10:$G291)</f>
        <v>0</v>
      </c>
      <c r="G293" s="61">
        <f>SUMIF($D$10:$D291,D293,$K$10:$K291)</f>
        <v>0</v>
      </c>
      <c r="H293" s="58"/>
      <c r="I293" s="61">
        <f>SUMIF($D$10:$D291,D293,$O$10:$O291)</f>
        <v>0</v>
      </c>
      <c r="J293" s="325"/>
      <c r="K293" s="44"/>
      <c r="L293" s="49"/>
      <c r="M293" s="61"/>
      <c r="N293" s="11"/>
      <c r="O293" s="35"/>
      <c r="P293" s="35"/>
      <c r="Q293" s="35"/>
      <c r="R293" s="11"/>
    </row>
    <row r="294" spans="1:18" s="41" customFormat="1" ht="17.100000000000001" customHeight="1">
      <c r="A294" s="8"/>
      <c r="B294" s="8"/>
      <c r="C294" s="8"/>
      <c r="D294" s="217" t="s">
        <v>172</v>
      </c>
      <c r="E294" s="58">
        <f t="shared" si="2"/>
        <v>0</v>
      </c>
      <c r="F294" s="429">
        <f>SUMIF($D$10:$D292,D294,$G$10:$G292)</f>
        <v>48.673999999999999</v>
      </c>
      <c r="G294" s="61">
        <f>SUMIF($D$10:$D292,D294,$K$10:$K292)</f>
        <v>0</v>
      </c>
      <c r="H294" s="58"/>
      <c r="I294" s="61">
        <f>SUMIF($D$10:$D292,D294,$O$10:$O292)</f>
        <v>0</v>
      </c>
      <c r="J294" s="325"/>
      <c r="K294" s="44"/>
      <c r="L294" s="49"/>
      <c r="M294" s="61"/>
      <c r="N294" s="11"/>
      <c r="O294" s="35"/>
      <c r="P294" s="35"/>
      <c r="Q294" s="35"/>
      <c r="R294" s="11"/>
    </row>
    <row r="295" spans="1:18" s="41" customFormat="1" ht="17.100000000000001" customHeight="1">
      <c r="A295" s="8"/>
      <c r="B295" s="8"/>
      <c r="C295" s="8"/>
      <c r="D295" s="401" t="s">
        <v>180</v>
      </c>
      <c r="E295" s="58">
        <f t="shared" si="2"/>
        <v>1278.3777499999999</v>
      </c>
      <c r="F295" s="429">
        <f>SUMIF($D$10:$D293,D295,$G$10:$G293)</f>
        <v>1223.3960000000002</v>
      </c>
      <c r="G295" s="61">
        <f>SUMIF($D$10:$D293,D295,$K$10:$K293)</f>
        <v>43447</v>
      </c>
      <c r="H295" s="58"/>
      <c r="I295" s="61">
        <f>SUMIF($D$10:$D293,D295,$O$10:$O293)</f>
        <v>172660</v>
      </c>
      <c r="J295" s="325" t="s">
        <v>135</v>
      </c>
      <c r="K295" s="44"/>
      <c r="L295" s="49"/>
      <c r="M295" s="61"/>
      <c r="N295" s="11"/>
      <c r="O295" s="35"/>
      <c r="P295" s="35"/>
      <c r="Q295" s="35"/>
      <c r="R295" s="11"/>
    </row>
    <row r="296" spans="1:18" s="41" customFormat="1" ht="17.100000000000001" customHeight="1">
      <c r="A296" s="8"/>
      <c r="B296" s="8"/>
      <c r="C296" s="8"/>
      <c r="D296" s="401" t="s">
        <v>181</v>
      </c>
      <c r="E296" s="58">
        <f t="shared" si="2"/>
        <v>0</v>
      </c>
      <c r="F296" s="429">
        <f>SUMIF($D$10:$D294,D296,$G$10:$G294)</f>
        <v>6.8414999999999999</v>
      </c>
      <c r="G296" s="61">
        <f>SUMIF($D$10:$D294,D296,$K$10:$K294)</f>
        <v>0</v>
      </c>
      <c r="H296" s="58"/>
      <c r="I296" s="61">
        <f>SUMIF($D$10:$D294,D296,$O$10:$O294)</f>
        <v>0</v>
      </c>
      <c r="J296" s="325" t="s">
        <v>135</v>
      </c>
      <c r="K296" s="44"/>
      <c r="L296" s="49"/>
      <c r="M296" s="61"/>
      <c r="N296" s="11"/>
      <c r="O296" s="35"/>
      <c r="P296" s="35"/>
      <c r="Q296" s="35"/>
      <c r="R296" s="11"/>
    </row>
    <row r="297" spans="1:18" s="41" customFormat="1" ht="17.100000000000001" customHeight="1">
      <c r="A297" s="8"/>
      <c r="B297" s="8"/>
      <c r="C297" s="8"/>
      <c r="D297" s="401" t="s">
        <v>182</v>
      </c>
      <c r="E297" s="58">
        <f t="shared" si="2"/>
        <v>238.22024999999999</v>
      </c>
      <c r="F297" s="429">
        <f>SUMIF($D$10:$D295,D297,$G$10:$G295)</f>
        <v>224.511</v>
      </c>
      <c r="G297" s="61">
        <f>SUMIF($D$10:$D295,D297,$K$10:$K295)</f>
        <v>9292</v>
      </c>
      <c r="H297" s="58"/>
      <c r="I297" s="61">
        <f>SUMIF($D$10:$D295,D297,$O$10:$O295)</f>
        <v>32155</v>
      </c>
      <c r="J297" s="325" t="s">
        <v>135</v>
      </c>
      <c r="K297" s="44"/>
      <c r="L297" s="49"/>
      <c r="M297" s="61"/>
      <c r="N297" s="11"/>
      <c r="O297" s="35"/>
      <c r="P297" s="35"/>
      <c r="Q297" s="35"/>
      <c r="R297" s="11"/>
    </row>
    <row r="298" spans="1:18" s="41" customFormat="1" ht="17.100000000000001" customHeight="1">
      <c r="A298" s="8"/>
      <c r="B298" s="8"/>
      <c r="C298" s="8"/>
      <c r="D298" s="401" t="s">
        <v>183</v>
      </c>
      <c r="E298" s="58">
        <f t="shared" si="2"/>
        <v>0</v>
      </c>
      <c r="F298" s="429">
        <f>SUMIF($D$10:$D296,D298,$G$10:$G296)</f>
        <v>2.2605</v>
      </c>
      <c r="G298" s="61">
        <f>SUMIF($D$10:$D296,D298,$K$10:$K296)</f>
        <v>0</v>
      </c>
      <c r="H298" s="58"/>
      <c r="I298" s="61">
        <f>SUMIF($D$10:$D296,D298,$O$10:$O296)</f>
        <v>0</v>
      </c>
      <c r="J298" s="325"/>
      <c r="K298" s="44"/>
      <c r="L298" s="49"/>
      <c r="M298" s="61"/>
      <c r="N298" s="11"/>
      <c r="O298" s="35"/>
      <c r="P298" s="35"/>
      <c r="Q298" s="35"/>
      <c r="R298" s="11"/>
    </row>
    <row r="299" spans="1:18" s="41" customFormat="1" ht="17.100000000000001" customHeight="1">
      <c r="A299" s="8"/>
      <c r="B299" s="8"/>
      <c r="C299" s="8"/>
      <c r="D299" s="326" t="s">
        <v>100</v>
      </c>
      <c r="E299" s="58">
        <f t="shared" si="2"/>
        <v>0</v>
      </c>
      <c r="F299" s="429">
        <f>SUMIF($D$10:$D297,D299,$G$10:$G297)</f>
        <v>0</v>
      </c>
      <c r="G299" s="61">
        <f>SUMIF($D$10:$D297,D299,$K$10:$K297)</f>
        <v>0</v>
      </c>
      <c r="H299" s="58"/>
      <c r="I299" s="61">
        <f>SUMIF($D$10:$D297,D299,$O$10:$O297)</f>
        <v>0</v>
      </c>
      <c r="J299" s="58" t="s">
        <v>135</v>
      </c>
      <c r="K299" s="44"/>
      <c r="L299" s="49"/>
      <c r="M299" s="61"/>
      <c r="N299" s="11"/>
      <c r="O299" s="35"/>
      <c r="P299" s="35"/>
      <c r="Q299" s="35"/>
      <c r="R299" s="11"/>
    </row>
    <row r="300" spans="1:18" s="41" customFormat="1" ht="17.100000000000001" customHeight="1">
      <c r="A300" s="8"/>
      <c r="B300" s="8"/>
      <c r="C300" s="8"/>
      <c r="D300" s="326" t="s">
        <v>64</v>
      </c>
      <c r="E300" s="58">
        <f t="shared" si="2"/>
        <v>0</v>
      </c>
      <c r="F300" s="429">
        <f>SUMIF($D$10:$D298,D300,$G$10:$G298)</f>
        <v>0</v>
      </c>
      <c r="G300" s="61">
        <f>SUMIF($D$10:$D298,D300,$K$10:$K298)</f>
        <v>0</v>
      </c>
      <c r="H300" s="58"/>
      <c r="I300" s="61">
        <f>SUMIF($D$10:$D298,D300,$O$10:$O298)</f>
        <v>0</v>
      </c>
      <c r="J300" s="58" t="s">
        <v>135</v>
      </c>
      <c r="K300" s="44"/>
      <c r="L300" s="49"/>
      <c r="M300" s="61"/>
      <c r="N300" s="11"/>
      <c r="O300" s="35"/>
      <c r="P300" s="35"/>
      <c r="Q300" s="35"/>
      <c r="R300" s="11"/>
    </row>
    <row r="301" spans="1:18" s="41" customFormat="1" ht="17.100000000000001" customHeight="1">
      <c r="A301" s="8"/>
      <c r="B301" s="8"/>
      <c r="C301" s="8"/>
      <c r="D301" s="327"/>
      <c r="E301" s="328">
        <f>SUM(E233:E300)</f>
        <v>2423.5812129999999</v>
      </c>
      <c r="F301" s="430">
        <f>SUM(F233:F300)</f>
        <v>2300.239</v>
      </c>
      <c r="G301" s="658">
        <f>SUM(G233:G300)</f>
        <v>104185</v>
      </c>
      <c r="H301" s="658"/>
      <c r="I301" s="658">
        <f>SUM(I233:I300)</f>
        <v>356147</v>
      </c>
      <c r="J301" s="658"/>
      <c r="K301" s="44"/>
      <c r="L301" s="49"/>
      <c r="M301" s="61"/>
      <c r="N301" s="11"/>
      <c r="O301" s="35"/>
      <c r="P301" s="35"/>
      <c r="Q301" s="35"/>
      <c r="R301" s="11"/>
    </row>
    <row r="302" spans="1:18" s="41" customFormat="1" ht="17.100000000000001" customHeight="1">
      <c r="A302" s="8"/>
      <c r="B302" s="8"/>
      <c r="C302" s="8"/>
      <c r="D302" s="327"/>
      <c r="E302" s="329"/>
      <c r="F302" s="58">
        <f>SUMIF($D$10:$D300,D302,$G$10:$G300)</f>
        <v>0</v>
      </c>
      <c r="G302" s="58"/>
      <c r="H302" s="58"/>
      <c r="I302" s="61"/>
      <c r="J302" s="325"/>
      <c r="K302" s="44"/>
      <c r="L302" s="49"/>
      <c r="M302" s="61"/>
      <c r="N302" s="11"/>
      <c r="O302" s="35"/>
      <c r="P302" s="35"/>
      <c r="Q302" s="35"/>
      <c r="R302" s="11"/>
    </row>
    <row r="303" spans="1:18" s="41" customFormat="1" ht="17.100000000000001" customHeight="1">
      <c r="A303" s="8"/>
      <c r="B303" s="8"/>
      <c r="C303" s="8"/>
      <c r="D303" s="327"/>
      <c r="E303" s="331"/>
      <c r="F303" s="333"/>
      <c r="G303" s="58"/>
      <c r="H303" s="58"/>
      <c r="I303" s="61"/>
      <c r="J303" s="325"/>
      <c r="K303" s="44"/>
      <c r="L303" s="49"/>
      <c r="M303" s="61"/>
      <c r="N303" s="11"/>
      <c r="O303" s="35"/>
      <c r="P303" s="35"/>
      <c r="Q303" s="35"/>
      <c r="R303" s="11"/>
    </row>
    <row r="304" spans="1:18" s="41" customFormat="1" ht="17.100000000000001" customHeight="1">
      <c r="A304" s="8"/>
      <c r="B304" s="8"/>
      <c r="C304" s="8"/>
      <c r="D304" s="327" t="s">
        <v>98</v>
      </c>
      <c r="E304" s="331"/>
      <c r="F304" s="89"/>
      <c r="G304" s="58"/>
      <c r="H304" s="61"/>
      <c r="I304" s="58"/>
      <c r="J304" s="58"/>
      <c r="K304" s="44"/>
      <c r="L304" s="49"/>
      <c r="M304" s="61"/>
      <c r="N304" s="11"/>
      <c r="O304" s="35"/>
      <c r="P304" s="35"/>
      <c r="Q304" s="35"/>
      <c r="R304" s="11"/>
    </row>
    <row r="305" spans="1:19" s="41" customFormat="1" ht="17.100000000000001" customHeight="1">
      <c r="A305" s="8"/>
      <c r="B305" s="8"/>
      <c r="C305" s="8"/>
      <c r="D305" s="327"/>
      <c r="E305" s="331"/>
      <c r="F305" s="330"/>
      <c r="G305" s="58"/>
      <c r="H305" s="61"/>
      <c r="I305" s="58"/>
      <c r="J305" s="58"/>
      <c r="K305" s="44"/>
      <c r="L305" s="63"/>
      <c r="M305" s="87"/>
      <c r="N305" s="45"/>
      <c r="O305" s="46"/>
      <c r="P305" s="46"/>
      <c r="Q305" s="40"/>
      <c r="R305" s="44"/>
    </row>
    <row r="306" spans="1:19" s="41" customFormat="1" ht="17.100000000000001" customHeight="1">
      <c r="A306" s="8"/>
      <c r="B306" s="8"/>
      <c r="C306" s="8"/>
      <c r="D306" s="327"/>
      <c r="E306" s="331"/>
      <c r="F306" s="327"/>
      <c r="G306" s="58"/>
      <c r="H306" s="61"/>
      <c r="I306" s="58"/>
      <c r="J306" s="58"/>
      <c r="K306" s="44"/>
      <c r="L306" s="63"/>
      <c r="M306" s="61"/>
      <c r="N306" s="45"/>
      <c r="O306" s="46"/>
      <c r="P306" s="46"/>
      <c r="Q306" s="40"/>
      <c r="R306" s="44"/>
    </row>
    <row r="307" spans="1:19" s="41" customFormat="1" ht="20.100000000000001" customHeight="1">
      <c r="A307" s="8"/>
      <c r="B307" s="8"/>
      <c r="C307" s="8"/>
      <c r="D307" s="11"/>
      <c r="E307" s="42"/>
      <c r="F307" s="11"/>
      <c r="G307" s="50"/>
      <c r="H307" s="49"/>
      <c r="I307" s="50"/>
      <c r="J307" s="50"/>
      <c r="K307" s="44"/>
      <c r="L307" s="63"/>
      <c r="M307" s="87"/>
      <c r="N307" s="45"/>
      <c r="O307" s="46"/>
      <c r="P307" s="46"/>
      <c r="Q307" s="40"/>
      <c r="R307" s="44"/>
    </row>
    <row r="308" spans="1:19" s="41" customFormat="1" ht="20.100000000000001" customHeight="1">
      <c r="A308" s="8"/>
      <c r="B308" s="8"/>
      <c r="C308" s="8"/>
      <c r="D308" s="11"/>
      <c r="E308" s="42"/>
      <c r="F308" s="11"/>
      <c r="G308" s="50"/>
      <c r="H308" s="63"/>
      <c r="I308" s="50"/>
      <c r="J308" s="50"/>
      <c r="K308" s="44"/>
      <c r="L308" s="63"/>
      <c r="M308" s="61"/>
      <c r="N308" s="45"/>
      <c r="O308" s="46"/>
      <c r="P308" s="46"/>
      <c r="Q308" s="40"/>
      <c r="R308" s="44"/>
    </row>
    <row r="309" spans="1:19" s="41" customFormat="1" ht="20.100000000000001" customHeight="1">
      <c r="A309" s="8"/>
      <c r="B309" s="8"/>
      <c r="C309" s="8"/>
      <c r="D309" s="11"/>
      <c r="E309" s="42"/>
      <c r="F309" s="11"/>
      <c r="G309" s="50"/>
      <c r="H309" s="49"/>
      <c r="I309" s="50"/>
      <c r="J309" s="50"/>
      <c r="K309" s="44"/>
      <c r="L309" s="63"/>
      <c r="M309" s="87"/>
      <c r="N309" s="45"/>
      <c r="O309" s="46"/>
      <c r="P309" s="46"/>
      <c r="Q309" s="40"/>
      <c r="R309" s="44"/>
    </row>
    <row r="310" spans="1:19" s="41" customFormat="1" ht="20.100000000000001" customHeight="1">
      <c r="A310" s="8"/>
      <c r="B310" s="8"/>
      <c r="C310" s="8"/>
      <c r="D310" s="11"/>
      <c r="E310" s="42"/>
      <c r="F310" s="11"/>
      <c r="G310" s="50"/>
      <c r="H310" s="63"/>
      <c r="I310" s="50"/>
      <c r="J310" s="50"/>
      <c r="K310" s="44"/>
      <c r="L310" s="63"/>
      <c r="M310" s="87"/>
      <c r="N310" s="106"/>
      <c r="O310" s="46"/>
      <c r="P310" s="46"/>
      <c r="Q310" s="40"/>
      <c r="R310" s="44"/>
    </row>
    <row r="311" spans="1:19" s="41" customFormat="1" ht="20.100000000000001" customHeight="1">
      <c r="A311" s="8"/>
      <c r="B311" s="8"/>
      <c r="C311" s="8"/>
      <c r="D311" s="11"/>
      <c r="E311" s="42"/>
      <c r="F311" s="11"/>
      <c r="G311" s="50"/>
      <c r="H311" s="49"/>
      <c r="I311" s="50"/>
      <c r="J311" s="50"/>
      <c r="K311" s="44"/>
      <c r="L311" s="63"/>
      <c r="M311" s="87"/>
      <c r="N311" s="45"/>
      <c r="O311" s="46"/>
      <c r="P311" s="46"/>
      <c r="Q311" s="40"/>
      <c r="R311" s="44"/>
    </row>
    <row r="312" spans="1:19" s="41" customFormat="1" ht="20.100000000000001" customHeight="1">
      <c r="A312" s="8"/>
      <c r="B312" s="8"/>
      <c r="C312" s="8"/>
      <c r="D312" s="11"/>
      <c r="E312" s="42"/>
      <c r="F312" s="11"/>
      <c r="G312" s="50"/>
      <c r="H312" s="63"/>
      <c r="I312" s="50"/>
      <c r="J312" s="50"/>
      <c r="K312" s="44"/>
      <c r="L312" s="63"/>
      <c r="M312" s="87"/>
      <c r="N312" s="45"/>
      <c r="O312" s="46"/>
      <c r="P312" s="46"/>
      <c r="Q312" s="40"/>
      <c r="R312" s="44"/>
    </row>
    <row r="313" spans="1:19" s="41" customFormat="1" ht="20.100000000000001" customHeight="1">
      <c r="A313" s="8"/>
      <c r="B313" s="8"/>
      <c r="C313" s="8"/>
      <c r="D313" s="11"/>
      <c r="E313" s="42"/>
      <c r="F313" s="11"/>
      <c r="G313" s="50"/>
      <c r="H313" s="49"/>
      <c r="I313" s="50"/>
      <c r="J313" s="50"/>
      <c r="K313" s="44"/>
      <c r="L313" s="63"/>
      <c r="M313" s="87"/>
      <c r="N313" s="106"/>
      <c r="O313" s="46"/>
      <c r="P313" s="46"/>
      <c r="Q313" s="40"/>
      <c r="R313" s="44"/>
    </row>
    <row r="314" spans="1:19" s="41" customFormat="1" ht="20.100000000000001" customHeight="1">
      <c r="A314" s="8"/>
      <c r="B314" s="8"/>
      <c r="C314" s="8"/>
      <c r="D314" s="11"/>
      <c r="E314" s="42"/>
      <c r="F314" s="11"/>
      <c r="G314" s="50"/>
      <c r="H314" s="63"/>
      <c r="I314" s="50"/>
      <c r="J314" s="50"/>
      <c r="K314" s="44"/>
      <c r="L314" s="63"/>
      <c r="M314" s="87"/>
      <c r="N314" s="45"/>
      <c r="O314" s="46"/>
      <c r="P314" s="46"/>
      <c r="Q314" s="40"/>
      <c r="R314" s="44"/>
    </row>
    <row r="315" spans="1:19" s="41" customFormat="1" ht="20.100000000000001" customHeight="1">
      <c r="A315" s="8"/>
      <c r="B315" s="8"/>
      <c r="C315" s="8"/>
      <c r="D315" s="11"/>
      <c r="E315" s="42"/>
      <c r="F315" s="11"/>
      <c r="G315" s="50"/>
      <c r="H315" s="49"/>
      <c r="I315" s="50"/>
      <c r="J315" s="50"/>
      <c r="K315" s="44"/>
      <c r="L315" s="63"/>
      <c r="M315" s="87"/>
      <c r="N315" s="106"/>
      <c r="O315" s="46"/>
      <c r="P315" s="46"/>
      <c r="Q315" s="40"/>
      <c r="R315" s="44"/>
    </row>
    <row r="316" spans="1:19" s="41" customFormat="1" ht="20.100000000000001" customHeight="1">
      <c r="A316" s="8"/>
      <c r="B316" s="8"/>
      <c r="C316" s="8"/>
      <c r="D316" s="11"/>
      <c r="E316" s="42"/>
      <c r="F316" s="11"/>
      <c r="G316" s="50"/>
      <c r="H316" s="50"/>
      <c r="I316" s="50"/>
      <c r="J316" s="50"/>
      <c r="K316" s="44"/>
      <c r="L316" s="63"/>
      <c r="M316" s="87"/>
      <c r="N316" s="45"/>
      <c r="O316" s="46"/>
      <c r="P316" s="46"/>
      <c r="Q316" s="40"/>
      <c r="R316" s="44"/>
    </row>
    <row r="317" spans="1:19" s="41" customFormat="1" ht="48" customHeight="1">
      <c r="A317" s="8"/>
      <c r="B317" s="8"/>
      <c r="C317" s="660" t="s">
        <v>79</v>
      </c>
      <c r="D317" s="660"/>
      <c r="E317" s="660"/>
      <c r="F317" s="660"/>
      <c r="G317" s="660"/>
      <c r="H317" s="660"/>
      <c r="I317" s="660"/>
      <c r="J317" s="660"/>
      <c r="K317" s="660"/>
      <c r="L317" s="60"/>
      <c r="M317" s="88"/>
      <c r="N317" s="50"/>
      <c r="O317" s="49"/>
      <c r="P317" s="49"/>
      <c r="Q317" s="40"/>
      <c r="R317" s="44"/>
    </row>
    <row r="318" spans="1:19" s="41" customFormat="1" ht="27" customHeight="1" thickBot="1">
      <c r="A318" s="656" t="s">
        <v>67</v>
      </c>
      <c r="B318" s="656"/>
      <c r="C318" s="656"/>
      <c r="D318" s="656"/>
      <c r="E318" s="656"/>
      <c r="F318" s="656"/>
      <c r="G318" s="656"/>
      <c r="H318" s="656"/>
      <c r="I318" s="656"/>
      <c r="J318" s="656"/>
      <c r="K318" s="656"/>
      <c r="L318" s="62"/>
      <c r="M318" s="88"/>
      <c r="N318" s="45"/>
      <c r="O318" s="46"/>
      <c r="P318" s="46"/>
      <c r="Q318" s="40"/>
      <c r="R318" s="44"/>
    </row>
    <row r="319" spans="1:19" s="41" customFormat="1" ht="20.100000000000001" customHeight="1" thickTop="1" thickBot="1">
      <c r="A319" s="67"/>
      <c r="B319" s="134"/>
      <c r="C319" s="70" t="s">
        <v>55</v>
      </c>
      <c r="D319" s="70" t="s">
        <v>51</v>
      </c>
      <c r="E319" s="71" t="s">
        <v>31</v>
      </c>
      <c r="F319" s="72" t="s">
        <v>29</v>
      </c>
      <c r="G319" s="81" t="s">
        <v>62</v>
      </c>
      <c r="H319" s="81" t="s">
        <v>30</v>
      </c>
      <c r="I319" s="81" t="s">
        <v>62</v>
      </c>
      <c r="J319" s="75"/>
      <c r="K319" s="110" t="s">
        <v>101</v>
      </c>
      <c r="L319" s="110" t="s">
        <v>159</v>
      </c>
      <c r="M319" s="90" t="s">
        <v>160</v>
      </c>
      <c r="N319" s="92"/>
      <c r="O319" s="94"/>
      <c r="P319" s="93"/>
      <c r="Q319" s="94" t="s">
        <v>29</v>
      </c>
      <c r="R319" s="95" t="s">
        <v>30</v>
      </c>
      <c r="S319" s="41" t="s">
        <v>63</v>
      </c>
    </row>
    <row r="320" spans="1:19" s="41" customFormat="1" ht="20.100000000000001" customHeight="1" thickTop="1">
      <c r="A320" s="68"/>
      <c r="B320" s="135"/>
      <c r="C320" s="73"/>
      <c r="D320" s="73"/>
      <c r="E320" s="74"/>
      <c r="F320" s="73" t="s">
        <v>57</v>
      </c>
      <c r="G320" s="82" t="s">
        <v>8</v>
      </c>
      <c r="H320" s="82" t="s">
        <v>57</v>
      </c>
      <c r="I320" s="266" t="s">
        <v>8</v>
      </c>
      <c r="J320" s="267"/>
      <c r="K320" s="110" t="s">
        <v>158</v>
      </c>
      <c r="L320" s="111"/>
      <c r="M320" s="91"/>
      <c r="N320" s="96"/>
      <c r="O320" s="94"/>
      <c r="P320" s="112"/>
      <c r="Q320" s="94"/>
      <c r="R320" s="97"/>
    </row>
    <row r="321" spans="1:19" s="41" customFormat="1" ht="20.100000000000001" customHeight="1">
      <c r="A321" s="68"/>
      <c r="B321" s="55"/>
      <c r="C321" s="69">
        <v>1</v>
      </c>
      <c r="D321" s="260" t="s">
        <v>75</v>
      </c>
      <c r="E321" s="228" t="s">
        <v>70</v>
      </c>
      <c r="F321" s="265">
        <f>SUMIF($F$50:$F263,E321,$G$50:$G263)</f>
        <v>119</v>
      </c>
      <c r="G321" s="83">
        <f>SUMIF($F$50:$F263,E321,$H$50:$H263)</f>
        <v>186.36590000000001</v>
      </c>
      <c r="H321" s="108">
        <f>SUMIF($M$50:$M263,E321,$N$50:$N263)</f>
        <v>117</v>
      </c>
      <c r="I321" s="284">
        <f>SUMIF($M$50:$M263,E321,$O$50:$O263)</f>
        <v>183.2337</v>
      </c>
      <c r="J321" s="279"/>
      <c r="K321" s="125">
        <v>132</v>
      </c>
      <c r="L321" s="124"/>
      <c r="M321" s="78">
        <f t="shared" ref="M321:M332" si="3">K321+F321-H321</f>
        <v>134</v>
      </c>
      <c r="N321" s="83"/>
      <c r="O321" s="127"/>
      <c r="P321" s="98"/>
      <c r="Q321" s="99"/>
      <c r="R321" s="100"/>
      <c r="S321" s="104" t="e">
        <f>SUM(G321+I321)/SUM(F321+H321)*#REF!</f>
        <v>#REF!</v>
      </c>
    </row>
    <row r="322" spans="1:19" s="41" customFormat="1" ht="20.100000000000001" customHeight="1">
      <c r="A322" s="68"/>
      <c r="B322" s="136"/>
      <c r="C322" s="7">
        <v>2</v>
      </c>
      <c r="D322" s="254" t="s">
        <v>71</v>
      </c>
      <c r="E322" s="233" t="s">
        <v>94</v>
      </c>
      <c r="F322" s="265">
        <f>SUMIF($F$50:$F264,E322,$G$50:$G264)</f>
        <v>0</v>
      </c>
      <c r="G322" s="83">
        <f>SUMIF($F$50:$F264,E322,$H$50:$H264)</f>
        <v>0</v>
      </c>
      <c r="H322" s="108">
        <f>SUMIF($M$50:$M264,E322,$N$50:$N264)</f>
        <v>0</v>
      </c>
      <c r="I322" s="284">
        <f>SUMIF($M$50:$M264,E322,$O$50:$O264)</f>
        <v>0</v>
      </c>
      <c r="J322" s="279"/>
      <c r="K322" s="124">
        <v>8</v>
      </c>
      <c r="L322" s="124"/>
      <c r="M322" s="78">
        <f t="shared" si="3"/>
        <v>8</v>
      </c>
      <c r="N322" s="83"/>
      <c r="O322" s="127"/>
      <c r="P322" s="98"/>
      <c r="Q322" s="99"/>
      <c r="R322" s="100"/>
      <c r="S322" s="104" t="e">
        <f>SUM(G322+I322)/SUM(F322+H322)*#REF!</f>
        <v>#DIV/0!</v>
      </c>
    </row>
    <row r="323" spans="1:19" s="41" customFormat="1" ht="20.100000000000001" customHeight="1">
      <c r="A323" s="68"/>
      <c r="B323" s="136"/>
      <c r="C323" s="7">
        <v>3</v>
      </c>
      <c r="D323" s="254" t="s">
        <v>60</v>
      </c>
      <c r="E323" s="263" t="s">
        <v>42</v>
      </c>
      <c r="F323" s="265">
        <f>SUMIF($F$50:$F266,E323,$G$50:$G266)</f>
        <v>0</v>
      </c>
      <c r="G323" s="83">
        <f>SUMIF($F$50:$F266,E323,$H$50:$H266)</f>
        <v>0</v>
      </c>
      <c r="H323" s="108">
        <f>SUMIF($M$50:$M266,E323,$N$50:$N266)</f>
        <v>0</v>
      </c>
      <c r="I323" s="284">
        <f>SUMIF($M$50:$M266,E323,$O$50:$O266)</f>
        <v>0</v>
      </c>
      <c r="J323" s="279"/>
      <c r="K323" s="124"/>
      <c r="L323" s="124"/>
      <c r="M323" s="78">
        <f t="shared" si="3"/>
        <v>0</v>
      </c>
      <c r="N323" s="83"/>
      <c r="O323" s="127"/>
      <c r="P323" s="98"/>
      <c r="Q323" s="99"/>
      <c r="R323" s="100"/>
      <c r="S323" s="104" t="e">
        <f>SUM(G323+I323)/SUM(F323+H323)*#REF!</f>
        <v>#DIV/0!</v>
      </c>
    </row>
    <row r="324" spans="1:19" s="41" customFormat="1" ht="20.100000000000001" customHeight="1">
      <c r="A324" s="68"/>
      <c r="B324" s="55"/>
      <c r="C324" s="69">
        <v>4</v>
      </c>
      <c r="D324" s="261" t="s">
        <v>95</v>
      </c>
      <c r="E324" s="255" t="s">
        <v>96</v>
      </c>
      <c r="F324" s="265">
        <f>SUMIF($F$50:$F267,E324,$G$50:$G267)</f>
        <v>0</v>
      </c>
      <c r="G324" s="83">
        <f>SUMIF($F$50:$F267,E324,$H$50:$H267)</f>
        <v>0</v>
      </c>
      <c r="H324" s="108">
        <f>SUMIF($M$50:$M267,E324,$N$50:$N267)</f>
        <v>0</v>
      </c>
      <c r="I324" s="284">
        <f>SUMIF($M$50:$M267,E324,$O$50:$O267)</f>
        <v>0</v>
      </c>
      <c r="J324" s="279"/>
      <c r="K324" s="124">
        <v>8.5</v>
      </c>
      <c r="L324" s="124"/>
      <c r="M324" s="78">
        <f t="shared" si="3"/>
        <v>8.5</v>
      </c>
      <c r="N324" s="83"/>
      <c r="O324" s="127"/>
      <c r="P324" s="98"/>
      <c r="Q324" s="99"/>
      <c r="R324" s="100"/>
      <c r="S324" s="104" t="e">
        <f>SUM(G324+I324)/SUM(F324+H324)*#REF!</f>
        <v>#DIV/0!</v>
      </c>
    </row>
    <row r="325" spans="1:19" s="41" customFormat="1" ht="20.100000000000001" customHeight="1">
      <c r="A325" s="68"/>
      <c r="B325" s="55"/>
      <c r="C325" s="69"/>
      <c r="D325" s="261" t="s">
        <v>127</v>
      </c>
      <c r="E325" s="255" t="s">
        <v>44</v>
      </c>
      <c r="F325" s="265">
        <f>SUMIF($F$50:$F271,E325,$G$50:$G271)</f>
        <v>0</v>
      </c>
      <c r="G325" s="83">
        <f>SUMIF($F$50:$F271,E325,$H$50:$H271)</f>
        <v>0</v>
      </c>
      <c r="H325" s="108">
        <f>SUMIF($M$50:$M271,E325,$N$50:$N271)</f>
        <v>0</v>
      </c>
      <c r="I325" s="284">
        <f>SUMIF($M$50:$M271,E325,$O$50:$O271)</f>
        <v>0</v>
      </c>
      <c r="J325" s="279"/>
      <c r="K325" s="124">
        <v>1</v>
      </c>
      <c r="L325" s="124"/>
      <c r="M325" s="78">
        <f t="shared" si="3"/>
        <v>1</v>
      </c>
      <c r="N325" s="83"/>
      <c r="O325" s="127"/>
      <c r="P325" s="98"/>
      <c r="Q325" s="99"/>
      <c r="R325" s="100"/>
      <c r="S325" s="104"/>
    </row>
    <row r="326" spans="1:19" s="41" customFormat="1" ht="20.100000000000001" customHeight="1">
      <c r="A326" s="68"/>
      <c r="B326" s="55"/>
      <c r="C326" s="69"/>
      <c r="D326" s="261" t="s">
        <v>71</v>
      </c>
      <c r="E326" s="255" t="s">
        <v>72</v>
      </c>
      <c r="F326" s="265">
        <f>SUMIF($F$50:$F272,E326,$G$50:$G272)</f>
        <v>0</v>
      </c>
      <c r="G326" s="83">
        <f>SUMIF($F$50:$F272,E326,$H$50:$H272)</f>
        <v>0</v>
      </c>
      <c r="H326" s="108">
        <f>SUMIF($M$50:$M272,E326,$N$50:$N272)</f>
        <v>0</v>
      </c>
      <c r="I326" s="284">
        <f>SUMIF($M$50:$M272,E326,$O$50:$O272)</f>
        <v>0</v>
      </c>
      <c r="J326" s="279"/>
      <c r="K326" s="124"/>
      <c r="L326" s="124"/>
      <c r="M326" s="78">
        <f t="shared" si="3"/>
        <v>0</v>
      </c>
      <c r="N326" s="83"/>
      <c r="O326" s="127"/>
      <c r="P326" s="98"/>
      <c r="Q326" s="99"/>
      <c r="R326" s="100"/>
      <c r="S326" s="104"/>
    </row>
    <row r="327" spans="1:19" s="41" customFormat="1" ht="20.100000000000001" customHeight="1">
      <c r="A327" s="68"/>
      <c r="B327" s="55"/>
      <c r="C327" s="69"/>
      <c r="D327" s="264" t="s">
        <v>137</v>
      </c>
      <c r="E327" s="255" t="s">
        <v>138</v>
      </c>
      <c r="F327" s="265">
        <f>SUMIF($F$50:$F273,E327,$G$50:$G273)</f>
        <v>0</v>
      </c>
      <c r="G327" s="83">
        <f>SUMIF($F$50:$F273,E327,$H$50:$H273)</f>
        <v>0</v>
      </c>
      <c r="H327" s="108">
        <f>SUMIF($M$50:$M273,E327,$N$50:$N273)</f>
        <v>0</v>
      </c>
      <c r="I327" s="284">
        <f>SUMIF($M$50:$M273,E327,$O$50:$O273)</f>
        <v>0</v>
      </c>
      <c r="J327" s="279"/>
      <c r="K327" s="124"/>
      <c r="L327" s="124"/>
      <c r="M327" s="78">
        <f t="shared" si="3"/>
        <v>0</v>
      </c>
      <c r="N327" s="83"/>
      <c r="O327" s="127"/>
      <c r="P327" s="98"/>
      <c r="Q327" s="99"/>
      <c r="R327" s="100"/>
      <c r="S327" s="104"/>
    </row>
    <row r="328" spans="1:19" s="41" customFormat="1" ht="20.100000000000001" customHeight="1">
      <c r="A328" s="68"/>
      <c r="B328" s="55"/>
      <c r="C328" s="69"/>
      <c r="D328" s="289" t="s">
        <v>54</v>
      </c>
      <c r="E328" s="256" t="s">
        <v>152</v>
      </c>
      <c r="F328" s="265">
        <f>SUMIF($F$50:$F274,E328,$G$50:$G274)</f>
        <v>0</v>
      </c>
      <c r="G328" s="83">
        <f>SUMIF($F$50:$F274,E328,$H$50:$H274)</f>
        <v>0</v>
      </c>
      <c r="H328" s="108">
        <f>SUMIF($M$50:$M274,E328,$N$50:$N274)</f>
        <v>0</v>
      </c>
      <c r="I328" s="284">
        <f>SUMIF($M$50:$M274,E328,$O$50:$O274)</f>
        <v>0</v>
      </c>
      <c r="J328" s="279"/>
      <c r="K328" s="124">
        <v>3</v>
      </c>
      <c r="L328" s="124"/>
      <c r="M328" s="78">
        <f t="shared" si="3"/>
        <v>3</v>
      </c>
      <c r="N328" s="83"/>
      <c r="O328" s="127"/>
      <c r="P328" s="98"/>
      <c r="Q328" s="99"/>
      <c r="R328" s="100"/>
      <c r="S328" s="104"/>
    </row>
    <row r="329" spans="1:19" s="41" customFormat="1" ht="20.100000000000001" customHeight="1">
      <c r="A329" s="68"/>
      <c r="B329" s="55"/>
      <c r="C329" s="69"/>
      <c r="D329" s="264" t="s">
        <v>150</v>
      </c>
      <c r="E329" s="255" t="s">
        <v>151</v>
      </c>
      <c r="F329" s="265">
        <f>SUMIF($F$50:$F275,E329,$G$50:$G275)</f>
        <v>150</v>
      </c>
      <c r="G329" s="83">
        <f>SUMIF($F$50:$F275,E329,$H$50:$H275)</f>
        <v>211.33545000000001</v>
      </c>
      <c r="H329" s="108">
        <f>SUMIF($M$50:$M275,E329,$N$50:$N275)</f>
        <v>171</v>
      </c>
      <c r="I329" s="654">
        <f>SUMIF($M$50:$M275,E329,$O$50:$O275)</f>
        <v>240.92241300000001</v>
      </c>
      <c r="J329" s="655"/>
      <c r="K329" s="124"/>
      <c r="L329" s="124"/>
      <c r="M329" s="78">
        <f t="shared" si="3"/>
        <v>-21</v>
      </c>
      <c r="N329" s="83"/>
      <c r="O329" s="127"/>
      <c r="P329" s="98"/>
      <c r="Q329" s="99"/>
      <c r="R329" s="100"/>
      <c r="S329" s="104"/>
    </row>
    <row r="330" spans="1:19" s="41" customFormat="1" ht="20.100000000000001" customHeight="1">
      <c r="A330" s="68"/>
      <c r="B330" s="55"/>
      <c r="C330" s="69"/>
      <c r="D330" s="344" t="s">
        <v>167</v>
      </c>
      <c r="E330" s="346" t="s">
        <v>168</v>
      </c>
      <c r="F330" s="265">
        <f>SUMIF($F$50:$F276,E330,$G$50:$G276)</f>
        <v>1354</v>
      </c>
      <c r="G330" s="83">
        <f>SUMIF($F$50:$F279,E330,$H$50:$H279)</f>
        <v>2115.0834</v>
      </c>
      <c r="H330" s="108">
        <f>SUMIF($M$50:$M279,E330,$N$50:$N279)</f>
        <v>1256</v>
      </c>
      <c r="I330" s="654">
        <f>SUMIF($M$50:$M279,E330,$O$50:$O279)</f>
        <v>1961.9975999999999</v>
      </c>
      <c r="J330" s="655"/>
      <c r="K330" s="124"/>
      <c r="L330" s="124"/>
      <c r="M330" s="78">
        <f t="shared" si="3"/>
        <v>98</v>
      </c>
      <c r="N330" s="83"/>
      <c r="O330" s="127"/>
      <c r="P330" s="98"/>
      <c r="Q330" s="99"/>
      <c r="R330" s="100"/>
      <c r="S330" s="104"/>
    </row>
    <row r="331" spans="1:19" s="41" customFormat="1" ht="20.100000000000001" customHeight="1">
      <c r="A331" s="68"/>
      <c r="B331" s="55"/>
      <c r="C331" s="69"/>
      <c r="D331" s="234" t="s">
        <v>54</v>
      </c>
      <c r="E331" s="255" t="s">
        <v>165</v>
      </c>
      <c r="F331" s="265">
        <f>SUMIF($F$50:$F281,E331,$G$50:$G281)</f>
        <v>1771</v>
      </c>
      <c r="G331" s="381">
        <f>SUMIF($F$50:$F281,E331,$H$50:$H281)</f>
        <v>1141.2807</v>
      </c>
      <c r="H331" s="108">
        <f>SUMIF($M$50:$M273,E331,$N$50:$N273)</f>
        <v>0</v>
      </c>
      <c r="I331" s="284">
        <f>SUMIF($M$50:$M281,E331,$O$50:$O281)</f>
        <v>0</v>
      </c>
      <c r="J331" s="279"/>
      <c r="K331" s="124"/>
      <c r="L331" s="124"/>
      <c r="M331" s="78">
        <f t="shared" si="3"/>
        <v>1771</v>
      </c>
      <c r="N331" s="83"/>
      <c r="O331" s="127"/>
      <c r="P331" s="98"/>
      <c r="Q331" s="99"/>
      <c r="R331" s="100"/>
      <c r="S331" s="104"/>
    </row>
    <row r="332" spans="1:19" s="41" customFormat="1" ht="20.100000000000001" customHeight="1">
      <c r="A332" s="68"/>
      <c r="B332" s="136"/>
      <c r="C332" s="7">
        <v>5</v>
      </c>
      <c r="D332" s="261" t="s">
        <v>60</v>
      </c>
      <c r="E332" s="255" t="s">
        <v>103</v>
      </c>
      <c r="F332" s="265">
        <f>SUMIF($F$50:$F273,E332,$G$50:$G273)</f>
        <v>0</v>
      </c>
      <c r="G332" s="83">
        <f>SUMIF($F$50:$F272,E332,$H$50:$H272)</f>
        <v>0</v>
      </c>
      <c r="H332" s="108">
        <f>SUMIF($M$50:$M272,E332,$N$50:$N272)</f>
        <v>55</v>
      </c>
      <c r="I332" s="284">
        <f>SUMIF($M$50:$M282,E332,$O$50:$O282)</f>
        <v>37.427499999999995</v>
      </c>
      <c r="J332" s="279"/>
      <c r="K332" s="124"/>
      <c r="L332" s="124"/>
      <c r="M332" s="78">
        <f t="shared" si="3"/>
        <v>-55</v>
      </c>
      <c r="N332" s="83"/>
      <c r="O332" s="127"/>
      <c r="P332" s="98"/>
      <c r="Q332" s="99"/>
      <c r="R332" s="100"/>
      <c r="S332" s="104" t="e">
        <f>SUM(G332+I332)/SUM(F332+H332)*#REF!</f>
        <v>#REF!</v>
      </c>
    </row>
    <row r="333" spans="1:19" s="41" customFormat="1" ht="20.100000000000001" customHeight="1" thickBot="1">
      <c r="A333" s="84"/>
      <c r="B333" s="137"/>
      <c r="C333" s="76"/>
      <c r="D333" s="76"/>
      <c r="E333" s="76"/>
      <c r="F333" s="130">
        <f>SUM(F321:F332)</f>
        <v>3394</v>
      </c>
      <c r="G333" s="131">
        <f>SUM(G321:G332)</f>
        <v>3654.0654500000001</v>
      </c>
      <c r="H333" s="33">
        <f>SUM(H321:H332)</f>
        <v>1599</v>
      </c>
      <c r="I333" s="693">
        <f>SUM(I321:I332)</f>
        <v>2423.5812129999995</v>
      </c>
      <c r="J333" s="694"/>
      <c r="K333" s="132"/>
      <c r="L333" s="132"/>
      <c r="M333" s="133"/>
      <c r="N333" s="131"/>
      <c r="O333" s="131"/>
      <c r="P333" s="131">
        <f>SUM(P321:P332)</f>
        <v>0</v>
      </c>
      <c r="Q333" s="131">
        <f>SUM(Q321:Q332)</f>
        <v>0</v>
      </c>
      <c r="R333" s="131">
        <f>SUM(R321:R332)</f>
        <v>0</v>
      </c>
      <c r="S333" s="105" t="e">
        <f>SUM(S320:S332)</f>
        <v>#REF!</v>
      </c>
    </row>
    <row r="334" spans="1:19" ht="20.100000000000001" customHeight="1" thickTop="1">
      <c r="A334" s="5"/>
      <c r="B334" s="5"/>
      <c r="C334" s="39"/>
      <c r="D334" s="12" t="s">
        <v>77</v>
      </c>
      <c r="E334" s="12"/>
      <c r="F334" s="12"/>
      <c r="G334" s="51"/>
      <c r="H334" s="51"/>
      <c r="I334" s="268"/>
      <c r="J334" s="39"/>
      <c r="K334" s="12"/>
      <c r="L334" s="38"/>
      <c r="M334" s="48"/>
      <c r="N334" s="128"/>
      <c r="O334" s="129"/>
      <c r="P334" s="129"/>
      <c r="Q334" s="129"/>
      <c r="R334" s="54"/>
      <c r="S334" s="104"/>
    </row>
    <row r="335" spans="1:19" ht="20.100000000000001" customHeight="1">
      <c r="A335" s="5"/>
      <c r="B335" s="5"/>
      <c r="C335" s="39"/>
      <c r="D335" s="12" t="s">
        <v>78</v>
      </c>
      <c r="E335" s="34"/>
      <c r="F335" s="265">
        <f>SUMIF($F$50:$F281,E321,$G$50:$G281)</f>
        <v>119</v>
      </c>
      <c r="G335" s="59"/>
      <c r="H335" s="50"/>
      <c r="I335" s="103"/>
      <c r="J335" s="64"/>
      <c r="K335" s="12"/>
      <c r="L335" s="38"/>
      <c r="M335" s="48"/>
      <c r="N335" s="12"/>
      <c r="O335" s="12"/>
      <c r="P335" s="12"/>
      <c r="Q335" s="12"/>
      <c r="R335" s="5"/>
    </row>
    <row r="336" spans="1:19" ht="20.100000000000001" customHeight="1">
      <c r="A336" s="5"/>
      <c r="B336" s="5"/>
      <c r="C336" s="39"/>
      <c r="D336" s="12"/>
      <c r="E336" s="12"/>
      <c r="F336" s="12"/>
      <c r="G336" s="51"/>
      <c r="H336" s="48"/>
      <c r="I336" s="109"/>
      <c r="J336" s="39"/>
      <c r="K336" s="12"/>
      <c r="L336" s="107"/>
      <c r="M336" s="48"/>
      <c r="N336" s="12"/>
      <c r="O336" s="12"/>
      <c r="P336" s="12"/>
      <c r="Q336" s="12"/>
      <c r="R336" s="5"/>
    </row>
    <row r="337" spans="1:18" ht="20.100000000000001" customHeight="1">
      <c r="A337" s="5"/>
      <c r="B337" s="5"/>
      <c r="C337" s="35"/>
      <c r="D337" s="11"/>
      <c r="E337" s="11"/>
      <c r="F337" s="11"/>
      <c r="G337" s="695"/>
      <c r="H337" s="695"/>
      <c r="I337" s="696"/>
      <c r="J337" s="696"/>
      <c r="K337" s="12"/>
      <c r="L337" s="38"/>
      <c r="M337" s="48"/>
      <c r="N337" s="12"/>
      <c r="O337" s="12"/>
      <c r="P337" s="12"/>
      <c r="Q337" s="12"/>
      <c r="R337" s="5"/>
    </row>
    <row r="338" spans="1:18" ht="20.100000000000001" customHeight="1">
      <c r="A338" s="5"/>
      <c r="B338" s="5"/>
      <c r="C338" s="35"/>
      <c r="D338" s="11"/>
      <c r="E338" s="11"/>
      <c r="F338" s="8"/>
      <c r="G338" s="50"/>
      <c r="H338" s="50"/>
      <c r="I338" s="79"/>
      <c r="J338" s="80"/>
      <c r="K338" s="12"/>
      <c r="L338" s="38"/>
      <c r="M338" s="48"/>
      <c r="N338" s="12"/>
      <c r="O338" s="12"/>
      <c r="P338" s="12"/>
      <c r="Q338" s="12"/>
      <c r="R338" s="5"/>
    </row>
    <row r="339" spans="1:18" ht="20.100000000000001" customHeight="1">
      <c r="A339" s="5"/>
      <c r="B339" s="5"/>
      <c r="C339" s="35"/>
      <c r="D339" s="11"/>
      <c r="E339" s="11"/>
      <c r="F339" s="8"/>
      <c r="G339" s="50"/>
      <c r="H339" s="50"/>
      <c r="I339" s="79"/>
      <c r="J339" s="80"/>
      <c r="K339" s="12"/>
      <c r="L339" s="38">
        <f>L337-L338</f>
        <v>0</v>
      </c>
      <c r="M339" s="48"/>
      <c r="N339" s="12"/>
      <c r="O339" s="12"/>
      <c r="P339" s="12"/>
      <c r="Q339" s="12"/>
      <c r="R339" s="5"/>
    </row>
    <row r="340" spans="1:18" ht="20.100000000000001" customHeight="1">
      <c r="A340" s="5"/>
      <c r="B340" s="5"/>
      <c r="C340" s="35"/>
      <c r="D340" s="11"/>
      <c r="E340" s="11"/>
      <c r="F340" s="8"/>
      <c r="G340" s="50"/>
      <c r="H340" s="50"/>
      <c r="I340" s="79"/>
      <c r="J340" s="80"/>
      <c r="K340" s="12"/>
      <c r="L340" s="38"/>
      <c r="M340" s="48"/>
      <c r="N340" s="12"/>
      <c r="O340" s="12"/>
      <c r="P340" s="12"/>
      <c r="Q340" s="12"/>
      <c r="R340" s="5"/>
    </row>
    <row r="341" spans="1:18" ht="20.100000000000001" customHeight="1">
      <c r="A341" s="5"/>
      <c r="B341" s="5"/>
      <c r="C341" s="11"/>
      <c r="D341" s="11"/>
      <c r="E341" s="11"/>
      <c r="F341" s="8"/>
      <c r="G341" s="50"/>
      <c r="H341" s="50"/>
      <c r="I341" s="79"/>
      <c r="J341" s="80"/>
      <c r="K341" s="12"/>
      <c r="L341" s="38"/>
      <c r="M341" s="48"/>
      <c r="N341" s="12"/>
      <c r="O341" s="12"/>
      <c r="P341" s="12"/>
      <c r="Q341" s="12"/>
      <c r="R341" s="5"/>
    </row>
    <row r="342" spans="1:18" ht="20.100000000000001" customHeight="1">
      <c r="A342" s="5"/>
      <c r="B342" s="5"/>
      <c r="C342" s="35"/>
      <c r="D342" s="77" t="s">
        <v>58</v>
      </c>
      <c r="E342" s="697" t="s">
        <v>59</v>
      </c>
      <c r="F342" s="697"/>
      <c r="G342" s="697"/>
      <c r="H342" s="697"/>
      <c r="I342" s="698" t="s">
        <v>28</v>
      </c>
      <c r="J342" s="698"/>
      <c r="K342" s="12"/>
      <c r="L342" s="38"/>
      <c r="M342" s="48"/>
      <c r="N342" s="12"/>
      <c r="O342" s="12"/>
      <c r="P342" s="12"/>
      <c r="Q342" s="12"/>
      <c r="R342" s="5"/>
    </row>
    <row r="343" spans="1:18" ht="20.100000000000001" customHeight="1">
      <c r="A343" s="5"/>
      <c r="B343" s="5"/>
      <c r="C343" s="39"/>
      <c r="D343" s="12"/>
      <c r="E343" s="12"/>
      <c r="F343" s="5"/>
      <c r="G343" s="51"/>
      <c r="H343" s="51"/>
      <c r="I343" s="5"/>
      <c r="J343" s="39"/>
      <c r="K343" s="12"/>
      <c r="L343" s="38"/>
      <c r="M343" s="48"/>
      <c r="N343" s="12"/>
      <c r="O343" s="12"/>
      <c r="P343" s="12"/>
      <c r="Q343" s="12"/>
      <c r="R343" s="5"/>
    </row>
    <row r="344" spans="1:18" ht="20.100000000000001" customHeight="1">
      <c r="A344" s="5"/>
      <c r="B344" s="5"/>
      <c r="C344" s="39"/>
      <c r="D344" s="12"/>
      <c r="E344" s="12"/>
      <c r="F344" s="5"/>
      <c r="G344" s="51"/>
      <c r="H344" s="51"/>
      <c r="I344" s="5"/>
      <c r="J344" s="39"/>
      <c r="K344" s="12"/>
      <c r="L344" s="38"/>
      <c r="M344" s="48"/>
      <c r="N344" s="12"/>
      <c r="O344" s="12"/>
      <c r="P344" s="12"/>
      <c r="Q344" s="12"/>
      <c r="R344" s="5"/>
    </row>
    <row r="345" spans="1:18" ht="20.100000000000001" customHeight="1">
      <c r="A345" s="5"/>
      <c r="B345" s="5"/>
      <c r="C345" s="39"/>
      <c r="D345" s="12"/>
      <c r="E345" s="12"/>
      <c r="F345" s="5"/>
      <c r="G345" s="51"/>
      <c r="H345" s="51"/>
      <c r="I345" s="5"/>
      <c r="J345" s="39"/>
      <c r="K345" s="12"/>
      <c r="L345" s="38"/>
      <c r="M345" s="48"/>
      <c r="N345" s="12"/>
      <c r="O345" s="12"/>
      <c r="P345" s="12"/>
      <c r="Q345" s="12"/>
      <c r="R345" s="5"/>
    </row>
    <row r="346" spans="1:18" ht="20.100000000000001" customHeight="1">
      <c r="A346" s="5"/>
      <c r="B346" s="5"/>
      <c r="C346" s="39"/>
      <c r="D346" s="12"/>
      <c r="E346" s="12"/>
      <c r="F346" s="5"/>
      <c r="G346" s="51"/>
      <c r="H346" s="51"/>
      <c r="I346" s="5"/>
      <c r="J346" s="39"/>
      <c r="K346" s="12"/>
      <c r="L346" s="38"/>
      <c r="M346" s="48"/>
      <c r="N346" s="12"/>
      <c r="O346" s="12"/>
      <c r="P346" s="12"/>
      <c r="Q346" s="12"/>
      <c r="R346" s="5"/>
    </row>
    <row r="347" spans="1:18" ht="20.100000000000001" customHeight="1">
      <c r="A347" s="5"/>
      <c r="B347" s="5"/>
      <c r="C347" s="39"/>
      <c r="D347" s="12"/>
      <c r="E347" s="12"/>
      <c r="F347" s="5"/>
      <c r="G347" s="51"/>
      <c r="H347" s="51"/>
      <c r="I347" s="5"/>
      <c r="J347" s="39"/>
      <c r="K347" s="12"/>
      <c r="L347" s="38"/>
      <c r="M347" s="48"/>
      <c r="N347" s="12"/>
      <c r="O347" s="12"/>
      <c r="P347" s="12"/>
      <c r="Q347" s="12"/>
      <c r="R347" s="5"/>
    </row>
    <row r="348" spans="1:18" ht="20.100000000000001" customHeight="1">
      <c r="A348" s="5"/>
      <c r="B348" s="5"/>
      <c r="C348" s="39"/>
      <c r="D348" s="12"/>
      <c r="E348" s="12"/>
      <c r="F348" s="5"/>
      <c r="G348" s="51"/>
      <c r="H348" s="51"/>
      <c r="I348" s="5"/>
      <c r="J348" s="39"/>
      <c r="K348" s="12"/>
      <c r="L348" s="38"/>
      <c r="M348" s="48"/>
      <c r="N348" s="12"/>
      <c r="O348" s="12"/>
      <c r="P348" s="12"/>
      <c r="Q348" s="12"/>
      <c r="R348" s="5"/>
    </row>
    <row r="349" spans="1:18" ht="19.5" customHeight="1">
      <c r="A349" s="5"/>
      <c r="B349" s="5"/>
      <c r="C349" s="5"/>
      <c r="D349" s="12"/>
      <c r="E349" s="12"/>
      <c r="F349" s="12"/>
      <c r="G349" s="51"/>
      <c r="H349" s="51"/>
      <c r="I349" s="12"/>
      <c r="J349" s="12"/>
      <c r="K349" s="12"/>
      <c r="L349" s="48"/>
      <c r="M349" s="48"/>
      <c r="N349" s="12"/>
      <c r="O349" s="12"/>
      <c r="P349" s="12"/>
      <c r="Q349" s="12"/>
      <c r="R349" s="5"/>
    </row>
    <row r="350" spans="1:18" ht="15" customHeight="1">
      <c r="A350" s="36"/>
      <c r="B350" s="36"/>
      <c r="O350" s="692"/>
      <c r="P350" s="692"/>
      <c r="Q350" s="692"/>
      <c r="R350" s="692"/>
    </row>
    <row r="351" spans="1:18" ht="15" customHeight="1">
      <c r="A351" s="36"/>
      <c r="B351" s="36"/>
      <c r="Q351" s="37"/>
      <c r="R351" s="37"/>
    </row>
    <row r="352" spans="1:18" ht="15" customHeight="1">
      <c r="A352" s="36"/>
      <c r="B352" s="36"/>
      <c r="Q352" s="37"/>
      <c r="R352" s="37"/>
    </row>
    <row r="353" spans="1:18" ht="15" customHeight="1">
      <c r="A353" s="36"/>
      <c r="B353" s="36"/>
      <c r="Q353" s="37"/>
      <c r="R353" s="37"/>
    </row>
    <row r="354" spans="1:18" ht="15" customHeight="1">
      <c r="A354" s="36"/>
      <c r="B354" s="36"/>
      <c r="O354" s="692"/>
      <c r="P354" s="692"/>
      <c r="Q354" s="692"/>
      <c r="R354" s="692"/>
    </row>
    <row r="355" spans="1:18" ht="15" customHeight="1">
      <c r="A355" s="36"/>
      <c r="B355" s="36"/>
    </row>
    <row r="356" spans="1:18" ht="15" customHeight="1">
      <c r="A356" s="36"/>
      <c r="B356" s="36"/>
    </row>
    <row r="357" spans="1:18" ht="15" customHeight="1">
      <c r="A357" s="36"/>
      <c r="B357" s="36"/>
    </row>
    <row r="358" spans="1:18" ht="15" customHeight="1">
      <c r="A358" s="36"/>
      <c r="B358" s="36"/>
    </row>
    <row r="359" spans="1:18" ht="15" customHeight="1">
      <c r="A359" s="36"/>
      <c r="B359" s="36"/>
    </row>
    <row r="360" spans="1:18" ht="20.100000000000001" customHeight="1">
      <c r="A360" s="36"/>
      <c r="B360" s="36"/>
    </row>
    <row r="361" spans="1:18" ht="20.100000000000001" customHeight="1">
      <c r="A361" s="36"/>
      <c r="B361" s="36"/>
    </row>
    <row r="362" spans="1:18" ht="20.100000000000001" customHeight="1">
      <c r="A362" s="36"/>
      <c r="B362" s="36"/>
    </row>
    <row r="363" spans="1:18" ht="20.100000000000001" customHeight="1">
      <c r="A363" s="36"/>
      <c r="B363" s="36"/>
    </row>
    <row r="364" spans="1:18" ht="20.100000000000001" customHeight="1">
      <c r="A364" s="36"/>
      <c r="B364" s="36"/>
    </row>
    <row r="365" spans="1:18" ht="20.100000000000001" customHeight="1">
      <c r="A365" s="36"/>
      <c r="B365" s="36"/>
    </row>
    <row r="366" spans="1:18" ht="20.100000000000001" customHeight="1">
      <c r="A366" s="36"/>
      <c r="B366" s="36"/>
    </row>
    <row r="367" spans="1:18" ht="20.100000000000001" customHeight="1">
      <c r="A367" s="36"/>
      <c r="B367" s="36"/>
    </row>
    <row r="368" spans="1:18" ht="20.100000000000001" customHeight="1">
      <c r="A368" s="36"/>
      <c r="B368" s="36"/>
    </row>
    <row r="369" spans="1:2" ht="20.100000000000001" customHeight="1">
      <c r="A369" s="36"/>
      <c r="B369" s="36"/>
    </row>
    <row r="370" spans="1:2" ht="20.100000000000001" customHeight="1">
      <c r="A370" s="36"/>
      <c r="B370" s="36"/>
    </row>
    <row r="371" spans="1:2" ht="20.100000000000001" customHeight="1">
      <c r="A371" s="36"/>
      <c r="B371" s="36"/>
    </row>
    <row r="372" spans="1:2" ht="20.100000000000001" customHeight="1">
      <c r="A372" s="36"/>
      <c r="B372" s="36"/>
    </row>
    <row r="373" spans="1:2" ht="20.100000000000001" customHeight="1">
      <c r="A373" s="36"/>
      <c r="B373" s="36"/>
    </row>
    <row r="374" spans="1:2" ht="20.100000000000001" customHeight="1">
      <c r="A374" s="36"/>
      <c r="B374" s="36"/>
    </row>
    <row r="375" spans="1:2" ht="20.100000000000001" customHeight="1">
      <c r="A375" s="36"/>
      <c r="B375" s="36"/>
    </row>
    <row r="376" spans="1:2" ht="20.100000000000001" customHeight="1">
      <c r="A376" s="36"/>
      <c r="B376" s="36"/>
    </row>
    <row r="377" spans="1:2" ht="20.100000000000001" customHeight="1">
      <c r="A377" s="36"/>
      <c r="B377" s="36"/>
    </row>
    <row r="378" spans="1:2" ht="20.100000000000001" customHeight="1">
      <c r="A378" s="36"/>
      <c r="B378" s="36"/>
    </row>
    <row r="379" spans="1:2" ht="20.100000000000001" customHeight="1">
      <c r="A379" s="36"/>
      <c r="B379" s="36"/>
    </row>
    <row r="380" spans="1:2" ht="20.100000000000001" customHeight="1">
      <c r="A380" s="36"/>
      <c r="B380" s="36"/>
    </row>
    <row r="381" spans="1:2" ht="20.100000000000001" customHeight="1">
      <c r="A381" s="36"/>
      <c r="B381" s="36"/>
    </row>
  </sheetData>
  <mergeCells count="134">
    <mergeCell ref="E34:E36"/>
    <mergeCell ref="I34:I36"/>
    <mergeCell ref="K34:K36"/>
    <mergeCell ref="M34:M36"/>
    <mergeCell ref="E31:E32"/>
    <mergeCell ref="I31:I32"/>
    <mergeCell ref="K31:K32"/>
    <mergeCell ref="M31:M32"/>
    <mergeCell ref="E42:E43"/>
    <mergeCell ref="I42:I43"/>
    <mergeCell ref="K42:K43"/>
    <mergeCell ref="M42:M43"/>
    <mergeCell ref="K40:K41"/>
    <mergeCell ref="M40:M41"/>
    <mergeCell ref="E37:E38"/>
    <mergeCell ref="I37:I38"/>
    <mergeCell ref="K37:K38"/>
    <mergeCell ref="M37:M38"/>
    <mergeCell ref="E40:E41"/>
    <mergeCell ref="I40:I41"/>
    <mergeCell ref="O26:O27"/>
    <mergeCell ref="Q26:Q27"/>
    <mergeCell ref="O29:O30"/>
    <mergeCell ref="I72:J72"/>
    <mergeCell ref="P72:Q72"/>
    <mergeCell ref="I74:J74"/>
    <mergeCell ref="P63:Q63"/>
    <mergeCell ref="P59:Q59"/>
    <mergeCell ref="Q29:Q30"/>
    <mergeCell ref="O31:O32"/>
    <mergeCell ref="Q31:Q32"/>
    <mergeCell ref="I29:I30"/>
    <mergeCell ref="K29:K30"/>
    <mergeCell ref="M29:M30"/>
    <mergeCell ref="O34:O36"/>
    <mergeCell ref="Q34:Q36"/>
    <mergeCell ref="O37:O38"/>
    <mergeCell ref="Q37:Q38"/>
    <mergeCell ref="O42:O43"/>
    <mergeCell ref="Q42:Q43"/>
    <mergeCell ref="O40:O41"/>
    <mergeCell ref="Q40:Q41"/>
    <mergeCell ref="O350:R350"/>
    <mergeCell ref="I48:J48"/>
    <mergeCell ref="K48:L48"/>
    <mergeCell ref="O18:O19"/>
    <mergeCell ref="Q18:Q19"/>
    <mergeCell ref="E20:E21"/>
    <mergeCell ref="I20:I21"/>
    <mergeCell ref="K20:K21"/>
    <mergeCell ref="M20:M21"/>
    <mergeCell ref="O20:O21"/>
    <mergeCell ref="Q20:Q21"/>
    <mergeCell ref="E18:E19"/>
    <mergeCell ref="I18:I19"/>
    <mergeCell ref="K18:K19"/>
    <mergeCell ref="M18:M19"/>
    <mergeCell ref="I76:J76"/>
    <mergeCell ref="P76:Q76"/>
    <mergeCell ref="I65:J65"/>
    <mergeCell ref="I68:J68"/>
    <mergeCell ref="P68:Q68"/>
    <mergeCell ref="I70:J70"/>
    <mergeCell ref="O23:O25"/>
    <mergeCell ref="Q23:Q25"/>
    <mergeCell ref="E26:E27"/>
    <mergeCell ref="O354:R354"/>
    <mergeCell ref="I333:J333"/>
    <mergeCell ref="G337:H337"/>
    <mergeCell ref="I337:J337"/>
    <mergeCell ref="E342:H342"/>
    <mergeCell ref="I342:J342"/>
    <mergeCell ref="Q13:Q14"/>
    <mergeCell ref="O15:O16"/>
    <mergeCell ref="Q15:Q16"/>
    <mergeCell ref="P55:Q55"/>
    <mergeCell ref="F82:H82"/>
    <mergeCell ref="P82:R82"/>
    <mergeCell ref="I55:J55"/>
    <mergeCell ref="I51:J51"/>
    <mergeCell ref="I49:J49"/>
    <mergeCell ref="P48:R48"/>
    <mergeCell ref="P51:Q51"/>
    <mergeCell ref="I53:J53"/>
    <mergeCell ref="I57:J57"/>
    <mergeCell ref="I59:J59"/>
    <mergeCell ref="P78:R78"/>
    <mergeCell ref="D47:J47"/>
    <mergeCell ref="K47:R47"/>
    <mergeCell ref="D48:E48"/>
    <mergeCell ref="A5:R5"/>
    <mergeCell ref="E7:F7"/>
    <mergeCell ref="G7:H7"/>
    <mergeCell ref="I7:J7"/>
    <mergeCell ref="K7:L7"/>
    <mergeCell ref="M7:N7"/>
    <mergeCell ref="O7:P7"/>
    <mergeCell ref="Q7:R7"/>
    <mergeCell ref="E13:E14"/>
    <mergeCell ref="I13:I14"/>
    <mergeCell ref="M10:M11"/>
    <mergeCell ref="O10:O11"/>
    <mergeCell ref="Q10:Q11"/>
    <mergeCell ref="K13:K14"/>
    <mergeCell ref="M13:M14"/>
    <mergeCell ref="O13:O14"/>
    <mergeCell ref="D8:D9"/>
    <mergeCell ref="E10:E11"/>
    <mergeCell ref="I10:I11"/>
    <mergeCell ref="K10:K11"/>
    <mergeCell ref="E15:E16"/>
    <mergeCell ref="I15:I16"/>
    <mergeCell ref="K15:K16"/>
    <mergeCell ref="M15:M16"/>
    <mergeCell ref="K78:L78"/>
    <mergeCell ref="K79:L79"/>
    <mergeCell ref="I329:J329"/>
    <mergeCell ref="I330:J330"/>
    <mergeCell ref="A318:K318"/>
    <mergeCell ref="D232:G232"/>
    <mergeCell ref="G301:H301"/>
    <mergeCell ref="I301:J301"/>
    <mergeCell ref="F78:H78"/>
    <mergeCell ref="C317:K317"/>
    <mergeCell ref="E23:E25"/>
    <mergeCell ref="I23:I25"/>
    <mergeCell ref="K23:K25"/>
    <mergeCell ref="M23:M25"/>
    <mergeCell ref="I61:J61"/>
    <mergeCell ref="I63:J63"/>
    <mergeCell ref="E29:E30"/>
    <mergeCell ref="I26:I27"/>
    <mergeCell ref="K26:K27"/>
    <mergeCell ref="M26:M27"/>
  </mergeCells>
  <phoneticPr fontId="0" type="noConversion"/>
  <pageMargins left="0.27" right="0.24" top="0.38" bottom="0.22" header="0.45" footer="0.17"/>
  <pageSetup orientation="landscape" r:id="rId1"/>
  <headerFooter alignWithMargins="0">
    <oddHeader xml:space="preserve">&amp;R&amp;".VnTime, Bold"BM 05.15&amp;".VnTime,Regular"
&amp;".VnTime,  Italic"Ngµy hiÖu lùc: 01/10/03  </oddHeader>
    <oddFooter xml:space="preserve">&amp;L&amp;".VnTime, Bold"&amp;UN¬i göi&amp;U:&amp;".VnTime,Regular"  &amp;10Ban G§
                    Phßng kÕ to¸n
                    L­u ph©n x­ëng c¸n&amp;12
</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workbookViewId="0"/>
  </sheetViews>
  <sheetFormatPr defaultColWidth="7" defaultRowHeight="12.75"/>
  <cols>
    <col min="1" max="1" width="23" style="1" customWidth="1"/>
    <col min="2" max="2" width="1" style="1" customWidth="1"/>
    <col min="3" max="3" width="24.75" style="1" customWidth="1"/>
    <col min="4" max="16384" width="7" style="1"/>
  </cols>
  <sheetData>
    <row r="1" spans="1:3" ht="15">
      <c r="A1"/>
      <c r="C1"/>
    </row>
    <row r="2" spans="1:3" ht="15.75" thickBot="1">
      <c r="A2"/>
    </row>
    <row r="3" spans="1:3" ht="15.75" thickBot="1">
      <c r="A3"/>
      <c r="C3"/>
    </row>
    <row r="4" spans="1:3" ht="15">
      <c r="A4"/>
      <c r="C4"/>
    </row>
    <row r="5" spans="1:3" ht="15">
      <c r="C5"/>
    </row>
    <row r="6" spans="1:3" ht="15.75" thickBot="1">
      <c r="C6"/>
    </row>
    <row r="7" spans="1:3" ht="15">
      <c r="A7"/>
      <c r="C7"/>
    </row>
    <row r="8" spans="1:3" ht="15">
      <c r="A8"/>
      <c r="C8"/>
    </row>
    <row r="9" spans="1:3" ht="15">
      <c r="A9"/>
      <c r="C9"/>
    </row>
    <row r="10" spans="1:3" ht="15">
      <c r="A10"/>
      <c r="C10"/>
    </row>
    <row r="11" spans="1:3" ht="15.75" thickBot="1">
      <c r="A11"/>
      <c r="C11"/>
    </row>
    <row r="12" spans="1:3" ht="15">
      <c r="C12"/>
    </row>
    <row r="13" spans="1:3" ht="15.75" thickBot="1">
      <c r="C13"/>
    </row>
    <row r="14" spans="1:3" ht="15.75" thickBot="1">
      <c r="A14"/>
      <c r="C14"/>
    </row>
    <row r="15" spans="1:3" ht="15">
      <c r="A15"/>
    </row>
    <row r="16" spans="1:3" ht="15.75" thickBot="1">
      <c r="A16"/>
    </row>
    <row r="17" spans="1:3" ht="15.75" thickBot="1">
      <c r="A17"/>
      <c r="C17"/>
    </row>
    <row r="18" spans="1:3" ht="15">
      <c r="C18"/>
    </row>
    <row r="19" spans="1:3" ht="15">
      <c r="C19"/>
    </row>
    <row r="20" spans="1:3" ht="15">
      <c r="A20"/>
      <c r="C20"/>
    </row>
    <row r="21" spans="1:3" ht="15">
      <c r="A21"/>
      <c r="C21"/>
    </row>
    <row r="22" spans="1:3" ht="15">
      <c r="A22"/>
      <c r="C22"/>
    </row>
    <row r="23" spans="1:3" ht="15">
      <c r="A23"/>
      <c r="C23"/>
    </row>
    <row r="24" spans="1:3" ht="15">
      <c r="A24"/>
    </row>
    <row r="25" spans="1:3" ht="15">
      <c r="A25"/>
    </row>
    <row r="26" spans="1:3" ht="15.75" thickBot="1">
      <c r="A26"/>
      <c r="C26"/>
    </row>
    <row r="27" spans="1:3" ht="15">
      <c r="A27"/>
      <c r="C27"/>
    </row>
    <row r="28" spans="1:3" ht="15">
      <c r="A28"/>
      <c r="C28"/>
    </row>
    <row r="29" spans="1:3" ht="15">
      <c r="A29"/>
      <c r="C29"/>
    </row>
    <row r="30" spans="1:3" ht="15">
      <c r="A30"/>
      <c r="C30"/>
    </row>
    <row r="31" spans="1:3" ht="15">
      <c r="A31"/>
      <c r="C31"/>
    </row>
    <row r="32" spans="1:3" ht="15">
      <c r="A32"/>
      <c r="C32"/>
    </row>
    <row r="33" spans="1:3" ht="15">
      <c r="A33"/>
      <c r="C33"/>
    </row>
    <row r="34" spans="1:3" ht="15">
      <c r="A34"/>
      <c r="C34"/>
    </row>
    <row r="35" spans="1:3" ht="15">
      <c r="A35"/>
      <c r="C35"/>
    </row>
    <row r="36" spans="1:3" ht="15">
      <c r="A36"/>
      <c r="C36"/>
    </row>
    <row r="37" spans="1:3" ht="15">
      <c r="A37"/>
    </row>
    <row r="38" spans="1:3" ht="15">
      <c r="A38"/>
    </row>
    <row r="39" spans="1:3" ht="15">
      <c r="A39"/>
      <c r="C39"/>
    </row>
    <row r="40" spans="1:3" ht="15">
      <c r="A40"/>
      <c r="C40"/>
    </row>
    <row r="41" spans="1:3" ht="15">
      <c r="A41"/>
      <c r="C41"/>
    </row>
  </sheetData>
  <sheetProtection password="8863" sheet="1" objects="1"/>
  <phoneticPr fontId="0" type="noConversion"/>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workbookViewId="0"/>
  </sheetViews>
  <sheetFormatPr defaultColWidth="7" defaultRowHeight="12.75"/>
  <cols>
    <col min="1" max="1" width="23" style="1" customWidth="1"/>
    <col min="2" max="2" width="1" style="1" customWidth="1"/>
    <col min="3" max="3" width="24.75" style="1" customWidth="1"/>
    <col min="4" max="16384" width="7" style="1"/>
  </cols>
  <sheetData>
    <row r="1" spans="1:3" ht="15">
      <c r="A1"/>
      <c r="C1"/>
    </row>
    <row r="2" spans="1:3" ht="15.75" thickBot="1">
      <c r="A2"/>
    </row>
    <row r="3" spans="1:3" ht="15.75" thickBot="1">
      <c r="A3"/>
      <c r="C3"/>
    </row>
    <row r="4" spans="1:3" ht="15">
      <c r="A4"/>
      <c r="C4" s="86"/>
    </row>
    <row r="5" spans="1:3" ht="15">
      <c r="C5" s="86"/>
    </row>
    <row r="6" spans="1:3" ht="15.75" thickBot="1">
      <c r="C6" s="86"/>
    </row>
    <row r="7" spans="1:3" ht="15">
      <c r="A7"/>
      <c r="C7" s="86"/>
    </row>
    <row r="8" spans="1:3" ht="15">
      <c r="A8"/>
      <c r="C8" s="86"/>
    </row>
    <row r="9" spans="1:3" ht="15">
      <c r="A9"/>
      <c r="C9" s="86"/>
    </row>
    <row r="10" spans="1:3" ht="15">
      <c r="A10"/>
      <c r="C10" s="86"/>
    </row>
    <row r="11" spans="1:3" ht="15.75" thickBot="1">
      <c r="A11"/>
      <c r="C11" s="86"/>
    </row>
    <row r="12" spans="1:3" ht="15">
      <c r="C12" s="86"/>
    </row>
    <row r="13" spans="1:3" ht="15.75" thickBot="1">
      <c r="C13" s="86"/>
    </row>
    <row r="14" spans="1:3" ht="15.75" thickBot="1">
      <c r="A14"/>
      <c r="C14" s="86"/>
    </row>
    <row r="15" spans="1:3" ht="15">
      <c r="A15" s="86"/>
    </row>
    <row r="16" spans="1:3" ht="15.75" thickBot="1">
      <c r="A16" s="86"/>
    </row>
    <row r="17" spans="1:3" ht="15.75" thickBot="1">
      <c r="A17" s="86"/>
      <c r="C17"/>
    </row>
    <row r="18" spans="1:3" ht="15">
      <c r="C18" s="86"/>
    </row>
    <row r="19" spans="1:3" ht="15">
      <c r="C19" s="86"/>
    </row>
    <row r="20" spans="1:3" ht="15">
      <c r="A20"/>
      <c r="C20" s="86"/>
    </row>
    <row r="21" spans="1:3" ht="15">
      <c r="A21" s="86"/>
      <c r="C21" s="86"/>
    </row>
    <row r="22" spans="1:3" ht="15">
      <c r="A22" s="86"/>
      <c r="C22" s="86"/>
    </row>
    <row r="23" spans="1:3" ht="15">
      <c r="A23" s="86"/>
      <c r="C23" s="86"/>
    </row>
    <row r="24" spans="1:3" ht="15">
      <c r="A24" s="86"/>
    </row>
    <row r="25" spans="1:3" ht="15">
      <c r="A25" s="86"/>
    </row>
    <row r="26" spans="1:3" ht="15.75" thickBot="1">
      <c r="A26" s="86"/>
      <c r="C26"/>
    </row>
    <row r="27" spans="1:3" ht="15">
      <c r="A27" s="86"/>
      <c r="C27" s="86"/>
    </row>
    <row r="28" spans="1:3" ht="15">
      <c r="A28" s="86"/>
      <c r="C28" s="86"/>
    </row>
    <row r="29" spans="1:3" ht="15">
      <c r="A29" s="86"/>
      <c r="C29" s="86"/>
    </row>
    <row r="30" spans="1:3" ht="15">
      <c r="A30" s="86"/>
      <c r="C30" s="86"/>
    </row>
    <row r="31" spans="1:3" ht="15">
      <c r="A31" s="86"/>
      <c r="C31" s="86"/>
    </row>
    <row r="32" spans="1:3" ht="15">
      <c r="A32" s="86"/>
      <c r="C32" s="86"/>
    </row>
    <row r="33" spans="1:3" ht="15">
      <c r="A33" s="86"/>
      <c r="C33" s="86"/>
    </row>
    <row r="34" spans="1:3" ht="15">
      <c r="A34" s="86"/>
      <c r="C34" s="86"/>
    </row>
    <row r="35" spans="1:3" ht="15">
      <c r="A35" s="86"/>
      <c r="C35" s="86"/>
    </row>
    <row r="36" spans="1:3" ht="15">
      <c r="A36" s="86"/>
      <c r="C36" s="86"/>
    </row>
    <row r="37" spans="1:3" ht="15">
      <c r="A37" s="86"/>
    </row>
    <row r="38" spans="1:3" ht="15">
      <c r="A38" s="86"/>
    </row>
    <row r="39" spans="1:3" ht="15">
      <c r="A39" s="86"/>
      <c r="C39" s="86"/>
    </row>
    <row r="40" spans="1:3" ht="15">
      <c r="A40" s="86"/>
      <c r="C40" s="86"/>
    </row>
    <row r="41" spans="1:3" ht="15">
      <c r="A41" s="86"/>
      <c r="C41" s="86"/>
    </row>
  </sheetData>
  <sheetProtection password="8863" sheet="1" objects="1"/>
  <phoneticPr fontId="0" type="noConversion"/>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workbookViewId="0"/>
  </sheetViews>
  <sheetFormatPr defaultColWidth="7" defaultRowHeight="12.75"/>
  <cols>
    <col min="1" max="1" width="23" style="1" customWidth="1"/>
    <col min="2" max="2" width="1" style="1" customWidth="1"/>
    <col min="3" max="3" width="24.75" style="1" customWidth="1"/>
    <col min="4" max="16384" width="7" style="1"/>
  </cols>
  <sheetData>
    <row r="1" spans="1:3" ht="15">
      <c r="A1"/>
      <c r="C1"/>
    </row>
    <row r="2" spans="1:3" ht="15.75" thickBot="1">
      <c r="A2"/>
    </row>
    <row r="3" spans="1:3" ht="15.75" thickBot="1">
      <c r="A3"/>
      <c r="C3"/>
    </row>
    <row r="4" spans="1:3" ht="15">
      <c r="A4"/>
      <c r="C4" s="66"/>
    </row>
    <row r="5" spans="1:3" ht="15">
      <c r="C5" s="66"/>
    </row>
    <row r="6" spans="1:3" ht="15.75" thickBot="1">
      <c r="C6" s="66"/>
    </row>
    <row r="7" spans="1:3" ht="15">
      <c r="A7"/>
      <c r="C7" s="66"/>
    </row>
    <row r="8" spans="1:3" ht="15">
      <c r="A8"/>
      <c r="C8" s="66"/>
    </row>
    <row r="9" spans="1:3" ht="15">
      <c r="A9"/>
      <c r="C9" s="66"/>
    </row>
    <row r="10" spans="1:3" ht="15">
      <c r="A10"/>
      <c r="C10" s="66"/>
    </row>
    <row r="11" spans="1:3" ht="15.75" thickBot="1">
      <c r="A11"/>
      <c r="C11" s="66"/>
    </row>
    <row r="12" spans="1:3" ht="15">
      <c r="C12" s="66"/>
    </row>
    <row r="13" spans="1:3" ht="15.75" thickBot="1">
      <c r="C13" s="66"/>
    </row>
    <row r="14" spans="1:3" ht="15.75" thickBot="1">
      <c r="A14"/>
      <c r="C14" s="66"/>
    </row>
    <row r="15" spans="1:3" ht="15">
      <c r="A15" s="66"/>
    </row>
    <row r="16" spans="1:3" ht="15.75" thickBot="1">
      <c r="A16" s="66"/>
    </row>
    <row r="17" spans="1:3" ht="15.75" thickBot="1">
      <c r="A17" s="66"/>
      <c r="C17"/>
    </row>
    <row r="18" spans="1:3" ht="15">
      <c r="C18" s="66"/>
    </row>
    <row r="19" spans="1:3" ht="15">
      <c r="C19" s="66"/>
    </row>
    <row r="20" spans="1:3" ht="15">
      <c r="A20"/>
      <c r="C20" s="66"/>
    </row>
    <row r="21" spans="1:3" ht="15">
      <c r="A21"/>
      <c r="C21" s="66"/>
    </row>
    <row r="22" spans="1:3" ht="15">
      <c r="A22" s="66"/>
      <c r="C22" s="66"/>
    </row>
    <row r="23" spans="1:3" ht="15">
      <c r="A23" s="66"/>
      <c r="C23" s="66"/>
    </row>
    <row r="24" spans="1:3" ht="15">
      <c r="A24" s="66"/>
    </row>
    <row r="25" spans="1:3" ht="15">
      <c r="A25" s="66"/>
    </row>
    <row r="26" spans="1:3" ht="15.75" thickBot="1">
      <c r="A26" s="66"/>
      <c r="C26"/>
    </row>
    <row r="27" spans="1:3" ht="15">
      <c r="A27" s="66"/>
      <c r="C27" s="66"/>
    </row>
    <row r="28" spans="1:3" ht="15">
      <c r="A28" s="66"/>
      <c r="C28" s="66"/>
    </row>
    <row r="29" spans="1:3" ht="15">
      <c r="A29" s="66"/>
      <c r="C29" s="66"/>
    </row>
    <row r="30" spans="1:3" ht="15">
      <c r="A30" s="66"/>
      <c r="C30" s="66"/>
    </row>
    <row r="31" spans="1:3" ht="15">
      <c r="A31" s="66"/>
      <c r="C31" s="66"/>
    </row>
    <row r="32" spans="1:3" ht="15">
      <c r="A32" s="66"/>
      <c r="C32" s="66"/>
    </row>
    <row r="33" spans="1:3" ht="15">
      <c r="A33" s="66"/>
      <c r="C33" s="66"/>
    </row>
    <row r="34" spans="1:3" ht="15">
      <c r="A34" s="66"/>
      <c r="C34" s="66"/>
    </row>
    <row r="35" spans="1:3" ht="15">
      <c r="A35" s="66"/>
      <c r="C35" s="66"/>
    </row>
    <row r="36" spans="1:3" ht="15">
      <c r="A36" s="66"/>
      <c r="C36" s="66"/>
    </row>
    <row r="37" spans="1:3" ht="15">
      <c r="A37" s="66"/>
    </row>
    <row r="38" spans="1:3" ht="15">
      <c r="A38" s="66"/>
    </row>
    <row r="39" spans="1:3" ht="15">
      <c r="A39" s="66"/>
      <c r="C39"/>
    </row>
    <row r="40" spans="1:3" ht="15">
      <c r="A40" s="66"/>
      <c r="C40" s="66"/>
    </row>
    <row r="41" spans="1:3" ht="15">
      <c r="A41" s="66"/>
      <c r="C41" s="66"/>
    </row>
  </sheetData>
  <sheetProtection password="8863" sheet="1" objects="1"/>
  <phoneticPr fontId="0" type="noConversion"/>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workbookViewId="0"/>
  </sheetViews>
  <sheetFormatPr defaultColWidth="7" defaultRowHeight="12.75"/>
  <cols>
    <col min="1" max="1" width="23" style="1" customWidth="1"/>
    <col min="2" max="2" width="1" style="1" customWidth="1"/>
    <col min="3" max="3" width="24.75" style="1" customWidth="1"/>
    <col min="4" max="16384" width="7" style="1"/>
  </cols>
  <sheetData>
    <row r="1" spans="1:3" ht="15">
      <c r="A1"/>
      <c r="C1"/>
    </row>
    <row r="2" spans="1:3" ht="15.75" thickBot="1">
      <c r="A2"/>
    </row>
    <row r="3" spans="1:3" ht="15.75" thickBot="1">
      <c r="A3"/>
      <c r="C3"/>
    </row>
    <row r="4" spans="1:3" ht="15">
      <c r="A4"/>
      <c r="C4"/>
    </row>
    <row r="5" spans="1:3" ht="15">
      <c r="C5"/>
    </row>
    <row r="6" spans="1:3" ht="15.75" thickBot="1">
      <c r="C6"/>
    </row>
    <row r="7" spans="1:3" ht="15">
      <c r="A7"/>
      <c r="C7"/>
    </row>
    <row r="8" spans="1:3" ht="15">
      <c r="A8"/>
      <c r="C8"/>
    </row>
    <row r="9" spans="1:3" ht="15">
      <c r="A9"/>
      <c r="C9"/>
    </row>
    <row r="10" spans="1:3" ht="15">
      <c r="A10"/>
      <c r="C10"/>
    </row>
    <row r="11" spans="1:3" ht="15.75" thickBot="1">
      <c r="A11"/>
      <c r="C11"/>
    </row>
    <row r="12" spans="1:3" ht="15">
      <c r="C12"/>
    </row>
    <row r="13" spans="1:3" ht="15.75" thickBot="1">
      <c r="C13"/>
    </row>
    <row r="14" spans="1:3" ht="15.75" thickBot="1">
      <c r="A14"/>
      <c r="C14"/>
    </row>
    <row r="15" spans="1:3" ht="15">
      <c r="A15"/>
    </row>
    <row r="16" spans="1:3" ht="15.75" thickBot="1">
      <c r="A16"/>
    </row>
    <row r="17" spans="1:3" ht="15.75" thickBot="1">
      <c r="A17"/>
      <c r="C17"/>
    </row>
    <row r="18" spans="1:3" ht="15">
      <c r="C18"/>
    </row>
    <row r="19" spans="1:3" ht="15">
      <c r="C19"/>
    </row>
    <row r="20" spans="1:3" ht="15">
      <c r="A20"/>
      <c r="C20"/>
    </row>
    <row r="21" spans="1:3" ht="15">
      <c r="A21"/>
      <c r="C21"/>
    </row>
    <row r="22" spans="1:3" ht="15">
      <c r="A22"/>
      <c r="C22"/>
    </row>
    <row r="23" spans="1:3" ht="15">
      <c r="A23"/>
      <c r="C23"/>
    </row>
    <row r="24" spans="1:3" ht="15">
      <c r="A24"/>
    </row>
    <row r="25" spans="1:3" ht="15">
      <c r="A25"/>
    </row>
    <row r="26" spans="1:3" ht="15.75" thickBot="1">
      <c r="A26"/>
      <c r="C26"/>
    </row>
    <row r="27" spans="1:3" ht="15">
      <c r="A27"/>
      <c r="C27"/>
    </row>
    <row r="28" spans="1:3" ht="15">
      <c r="A28"/>
      <c r="C28"/>
    </row>
    <row r="29" spans="1:3" ht="15">
      <c r="A29"/>
      <c r="C29"/>
    </row>
    <row r="30" spans="1:3" ht="15">
      <c r="A30"/>
      <c r="C30"/>
    </row>
    <row r="31" spans="1:3" ht="15">
      <c r="A31"/>
      <c r="C31"/>
    </row>
    <row r="32" spans="1:3" ht="15">
      <c r="A32"/>
      <c r="C32"/>
    </row>
    <row r="33" spans="1:3" ht="15">
      <c r="A33"/>
      <c r="C33"/>
    </row>
    <row r="34" spans="1:3" ht="15">
      <c r="A34"/>
      <c r="C34"/>
    </row>
    <row r="35" spans="1:3" ht="15">
      <c r="A35"/>
      <c r="C35"/>
    </row>
    <row r="36" spans="1:3" ht="15">
      <c r="A36"/>
      <c r="C36"/>
    </row>
    <row r="37" spans="1:3" ht="15">
      <c r="A37"/>
    </row>
    <row r="38" spans="1:3" ht="15">
      <c r="A38"/>
    </row>
    <row r="39" spans="1:3" ht="15">
      <c r="A39"/>
      <c r="C39"/>
    </row>
    <row r="40" spans="1:3" ht="15">
      <c r="A40"/>
      <c r="C40"/>
    </row>
    <row r="41" spans="1:3" ht="15">
      <c r="A41"/>
      <c r="C41"/>
    </row>
  </sheetData>
  <sheetProtection password="8863" sheet="1" objects="1"/>
  <phoneticPr fontId="0" type="noConversion"/>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workbookViewId="0"/>
  </sheetViews>
  <sheetFormatPr defaultColWidth="7" defaultRowHeight="12.75"/>
  <cols>
    <col min="1" max="1" width="23" style="1" customWidth="1"/>
    <col min="2" max="2" width="1" style="1" customWidth="1"/>
    <col min="3" max="3" width="24.75" style="1" customWidth="1"/>
    <col min="4" max="16384" width="7" style="1"/>
  </cols>
  <sheetData>
    <row r="1" spans="1:3" ht="15">
      <c r="A1"/>
      <c r="C1"/>
    </row>
    <row r="2" spans="1:3" ht="15.75" thickBot="1">
      <c r="A2"/>
    </row>
    <row r="3" spans="1:3" ht="15.75" thickBot="1">
      <c r="A3"/>
      <c r="C3"/>
    </row>
    <row r="4" spans="1:3" ht="15">
      <c r="A4"/>
      <c r="C4"/>
    </row>
    <row r="5" spans="1:3" ht="15">
      <c r="C5"/>
    </row>
    <row r="6" spans="1:3" ht="15.75" thickBot="1">
      <c r="C6"/>
    </row>
    <row r="7" spans="1:3" ht="15">
      <c r="A7"/>
      <c r="C7"/>
    </row>
    <row r="8" spans="1:3" ht="15">
      <c r="A8"/>
      <c r="C8"/>
    </row>
    <row r="9" spans="1:3" ht="15">
      <c r="A9"/>
      <c r="C9"/>
    </row>
    <row r="10" spans="1:3" ht="15">
      <c r="A10"/>
      <c r="C10"/>
    </row>
    <row r="11" spans="1:3" ht="15.75" thickBot="1">
      <c r="A11"/>
      <c r="C11"/>
    </row>
    <row r="12" spans="1:3" ht="15">
      <c r="C12"/>
    </row>
    <row r="13" spans="1:3" ht="15.75" thickBot="1">
      <c r="C13"/>
    </row>
    <row r="14" spans="1:3" ht="15.75" thickBot="1">
      <c r="A14"/>
      <c r="C14"/>
    </row>
    <row r="15" spans="1:3" ht="15">
      <c r="A15"/>
    </row>
    <row r="16" spans="1:3" ht="15.75" thickBot="1">
      <c r="A16"/>
    </row>
    <row r="17" spans="1:3" ht="15.75" thickBot="1">
      <c r="A17"/>
      <c r="C17"/>
    </row>
    <row r="18" spans="1:3" ht="15">
      <c r="C18"/>
    </row>
    <row r="19" spans="1:3" ht="15">
      <c r="C19"/>
    </row>
    <row r="20" spans="1:3" ht="15">
      <c r="A20"/>
      <c r="C20"/>
    </row>
    <row r="21" spans="1:3" ht="15">
      <c r="A21"/>
      <c r="C21"/>
    </row>
    <row r="22" spans="1:3" ht="15">
      <c r="A22"/>
      <c r="C22"/>
    </row>
    <row r="23" spans="1:3" ht="15">
      <c r="A23"/>
      <c r="C23"/>
    </row>
    <row r="24" spans="1:3" ht="15">
      <c r="A24"/>
    </row>
    <row r="25" spans="1:3" ht="15">
      <c r="A25"/>
    </row>
    <row r="26" spans="1:3" ht="15.75" thickBot="1">
      <c r="A26"/>
      <c r="C26"/>
    </row>
    <row r="27" spans="1:3" ht="15">
      <c r="A27"/>
      <c r="C27"/>
    </row>
    <row r="28" spans="1:3" ht="15">
      <c r="A28"/>
      <c r="C28"/>
    </row>
    <row r="29" spans="1:3" ht="15">
      <c r="A29"/>
      <c r="C29"/>
    </row>
    <row r="30" spans="1:3" ht="15">
      <c r="A30"/>
      <c r="C30"/>
    </row>
    <row r="31" spans="1:3" ht="15">
      <c r="A31"/>
      <c r="C31"/>
    </row>
    <row r="32" spans="1:3" ht="15">
      <c r="A32"/>
      <c r="C32"/>
    </row>
    <row r="33" spans="1:3" ht="15">
      <c r="A33"/>
      <c r="C33"/>
    </row>
    <row r="34" spans="1:3" ht="15">
      <c r="A34"/>
      <c r="C34"/>
    </row>
    <row r="35" spans="1:3" ht="15">
      <c r="A35"/>
      <c r="C35"/>
    </row>
    <row r="36" spans="1:3" ht="15">
      <c r="A36"/>
      <c r="C36"/>
    </row>
    <row r="37" spans="1:3" ht="15">
      <c r="A37"/>
    </row>
    <row r="38" spans="1:3" ht="15">
      <c r="A38"/>
    </row>
    <row r="39" spans="1:3" ht="15">
      <c r="A39"/>
      <c r="C39"/>
    </row>
    <row r="40" spans="1:3" ht="15">
      <c r="A40"/>
      <c r="C40"/>
    </row>
    <row r="41" spans="1:3" ht="15">
      <c r="A41"/>
      <c r="C41"/>
    </row>
  </sheetData>
  <sheetProtection password="8863" sheet="1" objects="1"/>
  <phoneticPr fontId="0" type="noConversion"/>
  <pageMargins left="0.75" right="0.75" top="1" bottom="1" header="0.5" footer="0.5"/>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workbookViewId="0"/>
  </sheetViews>
  <sheetFormatPr defaultColWidth="7" defaultRowHeight="12.75"/>
  <cols>
    <col min="1" max="1" width="23" style="1" customWidth="1"/>
    <col min="2" max="2" width="1" style="1" customWidth="1"/>
    <col min="3" max="3" width="24.75" style="1" customWidth="1"/>
    <col min="4" max="16384" width="7" style="1"/>
  </cols>
  <sheetData>
    <row r="1" spans="1:3" ht="15">
      <c r="A1"/>
      <c r="C1"/>
    </row>
    <row r="2" spans="1:3" ht="15.75" thickBot="1">
      <c r="A2"/>
    </row>
    <row r="3" spans="1:3" ht="15.75" thickBot="1">
      <c r="A3"/>
      <c r="C3"/>
    </row>
    <row r="4" spans="1:3" ht="15">
      <c r="A4"/>
      <c r="C4"/>
    </row>
    <row r="5" spans="1:3" ht="15">
      <c r="C5"/>
    </row>
    <row r="6" spans="1:3" ht="15.75" thickBot="1">
      <c r="C6"/>
    </row>
    <row r="7" spans="1:3" ht="15">
      <c r="A7"/>
      <c r="C7"/>
    </row>
    <row r="8" spans="1:3" ht="15">
      <c r="A8"/>
      <c r="C8"/>
    </row>
    <row r="9" spans="1:3" ht="15">
      <c r="A9"/>
      <c r="C9"/>
    </row>
    <row r="10" spans="1:3" ht="15">
      <c r="A10"/>
      <c r="C10"/>
    </row>
    <row r="11" spans="1:3" ht="15.75" thickBot="1">
      <c r="A11"/>
      <c r="C11"/>
    </row>
    <row r="12" spans="1:3" ht="15">
      <c r="C12"/>
    </row>
    <row r="13" spans="1:3" ht="15.75" thickBot="1">
      <c r="C13"/>
    </row>
    <row r="14" spans="1:3" ht="15.75" thickBot="1">
      <c r="A14"/>
      <c r="C14"/>
    </row>
    <row r="15" spans="1:3" ht="15">
      <c r="A15"/>
    </row>
    <row r="16" spans="1:3" ht="15.75" thickBot="1">
      <c r="A16"/>
    </row>
    <row r="17" spans="1:3" ht="15.75" thickBot="1">
      <c r="A17"/>
      <c r="C17"/>
    </row>
    <row r="18" spans="1:3" ht="15">
      <c r="C18"/>
    </row>
    <row r="19" spans="1:3" ht="15">
      <c r="C19"/>
    </row>
    <row r="20" spans="1:3" ht="15">
      <c r="A20"/>
      <c r="C20"/>
    </row>
    <row r="21" spans="1:3" ht="15">
      <c r="A21"/>
      <c r="C21"/>
    </row>
    <row r="22" spans="1:3" ht="15">
      <c r="A22"/>
      <c r="C22"/>
    </row>
    <row r="23" spans="1:3" ht="15">
      <c r="A23"/>
      <c r="C23"/>
    </row>
    <row r="24" spans="1:3" ht="15">
      <c r="A24"/>
    </row>
    <row r="25" spans="1:3" ht="15">
      <c r="A25"/>
    </row>
    <row r="26" spans="1:3" ht="15.75" thickBot="1">
      <c r="A26"/>
      <c r="C26"/>
    </row>
    <row r="27" spans="1:3" ht="15">
      <c r="A27"/>
      <c r="C27"/>
    </row>
    <row r="28" spans="1:3" ht="15">
      <c r="A28"/>
      <c r="C28"/>
    </row>
    <row r="29" spans="1:3" ht="15">
      <c r="A29"/>
      <c r="C29"/>
    </row>
    <row r="30" spans="1:3" ht="15">
      <c r="A30"/>
      <c r="C30"/>
    </row>
    <row r="31" spans="1:3" ht="15">
      <c r="A31"/>
      <c r="C31"/>
    </row>
    <row r="32" spans="1:3" ht="15">
      <c r="A32"/>
      <c r="C32"/>
    </row>
    <row r="33" spans="1:3" ht="15">
      <c r="A33"/>
      <c r="C33"/>
    </row>
    <row r="34" spans="1:3" ht="15">
      <c r="A34"/>
      <c r="C34"/>
    </row>
    <row r="35" spans="1:3" ht="15">
      <c r="A35"/>
      <c r="C35"/>
    </row>
    <row r="36" spans="1:3" ht="15">
      <c r="A36"/>
      <c r="C36"/>
    </row>
    <row r="37" spans="1:3" ht="15">
      <c r="A37"/>
    </row>
    <row r="38" spans="1:3" ht="15">
      <c r="A38"/>
    </row>
    <row r="39" spans="1:3" ht="15">
      <c r="A39"/>
      <c r="C39"/>
    </row>
    <row r="40" spans="1:3" ht="15">
      <c r="A40"/>
      <c r="C40"/>
    </row>
    <row r="41" spans="1:3" ht="15">
      <c r="A41"/>
      <c r="C41"/>
    </row>
  </sheetData>
  <sheetProtection password="8863" sheet="1" objects="1"/>
  <phoneticPr fontId="0" type="noConversion"/>
  <pageMargins left="0.75" right="0.75" top="1" bottom="1" header="0.5" footer="0.5"/>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workbookViewId="0"/>
  </sheetViews>
  <sheetFormatPr defaultColWidth="7" defaultRowHeight="12.75"/>
  <cols>
    <col min="1" max="1" width="23" style="1" customWidth="1"/>
    <col min="2" max="2" width="1" style="1" customWidth="1"/>
    <col min="3" max="3" width="24.75" style="1" customWidth="1"/>
    <col min="4" max="16384" width="7" style="1"/>
  </cols>
  <sheetData>
    <row r="1" spans="1:3" ht="15">
      <c r="A1"/>
      <c r="C1"/>
    </row>
    <row r="2" spans="1:3" ht="15.75" thickBot="1">
      <c r="A2"/>
    </row>
    <row r="3" spans="1:3" ht="15.75" thickBot="1">
      <c r="A3"/>
      <c r="C3"/>
    </row>
    <row r="4" spans="1:3" ht="15">
      <c r="A4"/>
      <c r="C4" s="101"/>
    </row>
    <row r="5" spans="1:3" ht="15">
      <c r="C5" s="101"/>
    </row>
    <row r="6" spans="1:3" ht="15.75" thickBot="1">
      <c r="C6" s="101"/>
    </row>
    <row r="7" spans="1:3" ht="15">
      <c r="A7"/>
      <c r="C7" s="101"/>
    </row>
    <row r="8" spans="1:3" ht="15">
      <c r="A8"/>
      <c r="C8" s="101"/>
    </row>
    <row r="9" spans="1:3" ht="15">
      <c r="A9"/>
      <c r="C9" s="101"/>
    </row>
    <row r="10" spans="1:3" ht="15">
      <c r="A10"/>
      <c r="C10" s="101"/>
    </row>
    <row r="11" spans="1:3" ht="15.75" thickBot="1">
      <c r="A11"/>
      <c r="C11" s="101"/>
    </row>
    <row r="12" spans="1:3" ht="15">
      <c r="C12" s="101"/>
    </row>
    <row r="13" spans="1:3" ht="15.75" thickBot="1">
      <c r="C13" s="101"/>
    </row>
    <row r="14" spans="1:3" ht="15.75" thickBot="1">
      <c r="A14"/>
      <c r="C14" s="101"/>
    </row>
    <row r="15" spans="1:3" ht="15">
      <c r="A15" s="101"/>
    </row>
    <row r="16" spans="1:3" ht="15.75" thickBot="1">
      <c r="A16" s="101"/>
    </row>
    <row r="17" spans="1:3" ht="15.75" thickBot="1">
      <c r="A17" s="101"/>
      <c r="C17"/>
    </row>
    <row r="18" spans="1:3" ht="15">
      <c r="C18" s="101"/>
    </row>
    <row r="19" spans="1:3" ht="15">
      <c r="C19" s="101"/>
    </row>
    <row r="20" spans="1:3" ht="15">
      <c r="A20"/>
      <c r="C20" s="101"/>
    </row>
    <row r="21" spans="1:3" ht="15">
      <c r="A21" s="101"/>
      <c r="C21" s="101"/>
    </row>
    <row r="22" spans="1:3" ht="15">
      <c r="A22" s="101"/>
      <c r="C22" s="101"/>
    </row>
    <row r="23" spans="1:3" ht="15">
      <c r="A23" s="101"/>
      <c r="C23" s="101"/>
    </row>
    <row r="24" spans="1:3" ht="15">
      <c r="A24" s="101"/>
    </row>
    <row r="25" spans="1:3" ht="15">
      <c r="A25" s="101"/>
    </row>
    <row r="26" spans="1:3" ht="15.75" thickBot="1">
      <c r="A26" s="101"/>
      <c r="C26"/>
    </row>
    <row r="27" spans="1:3" ht="15">
      <c r="A27" s="101"/>
      <c r="C27" s="101"/>
    </row>
    <row r="28" spans="1:3" ht="15">
      <c r="A28" s="101"/>
      <c r="C28" s="101"/>
    </row>
    <row r="29" spans="1:3" ht="15">
      <c r="A29" s="101"/>
      <c r="C29" s="101"/>
    </row>
    <row r="30" spans="1:3" ht="15">
      <c r="A30" s="101"/>
      <c r="C30" s="101"/>
    </row>
    <row r="31" spans="1:3" ht="15">
      <c r="A31" s="101"/>
      <c r="C31" s="101"/>
    </row>
    <row r="32" spans="1:3" ht="15">
      <c r="A32" s="101"/>
      <c r="C32" s="101"/>
    </row>
    <row r="33" spans="1:3" ht="15">
      <c r="A33" s="101"/>
      <c r="C33" s="101"/>
    </row>
    <row r="34" spans="1:3" ht="15">
      <c r="A34" s="101"/>
      <c r="C34" s="101"/>
    </row>
    <row r="35" spans="1:3" ht="15">
      <c r="A35" s="101"/>
      <c r="C35" s="101"/>
    </row>
    <row r="36" spans="1:3" ht="15">
      <c r="A36" s="101"/>
      <c r="C36" s="101"/>
    </row>
    <row r="37" spans="1:3" ht="15">
      <c r="A37" s="101"/>
    </row>
    <row r="38" spans="1:3" ht="15">
      <c r="A38" s="101"/>
    </row>
    <row r="39" spans="1:3" ht="15">
      <c r="A39" s="101"/>
      <c r="C39" s="101"/>
    </row>
    <row r="40" spans="1:3" ht="15">
      <c r="A40" s="101"/>
      <c r="C40" s="101"/>
    </row>
    <row r="41" spans="1:3" ht="15">
      <c r="A41" s="101"/>
      <c r="C41" s="101"/>
    </row>
  </sheetData>
  <sheetProtection password="8863" sheet="1" objects="1"/>
  <phoneticPr fontId="0" type="noConversion"/>
  <pageMargins left="0.75" right="0.75" top="1" bottom="1" header="0.5" footer="0.5"/>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workbookViewId="0"/>
  </sheetViews>
  <sheetFormatPr defaultColWidth="7" defaultRowHeight="12.75"/>
  <cols>
    <col min="1" max="1" width="23" style="1" customWidth="1"/>
    <col min="2" max="2" width="1" style="1" customWidth="1"/>
    <col min="3" max="3" width="24.75" style="1" customWidth="1"/>
    <col min="4" max="16384" width="7" style="1"/>
  </cols>
  <sheetData>
    <row r="1" spans="1:3" ht="15">
      <c r="A1" s="66"/>
      <c r="C1" s="66"/>
    </row>
    <row r="2" spans="1:3" ht="15.75" thickBot="1">
      <c r="A2" s="66"/>
    </row>
    <row r="3" spans="1:3" ht="15.75" thickBot="1">
      <c r="A3" s="66"/>
      <c r="C3" s="66"/>
    </row>
    <row r="4" spans="1:3" ht="15">
      <c r="A4" s="66"/>
      <c r="C4" s="101"/>
    </row>
    <row r="5" spans="1:3" ht="15">
      <c r="C5" s="101"/>
    </row>
    <row r="6" spans="1:3" ht="15.75" thickBot="1">
      <c r="C6" s="101"/>
    </row>
    <row r="7" spans="1:3" ht="15">
      <c r="A7" s="66"/>
      <c r="C7" s="101"/>
    </row>
    <row r="8" spans="1:3" ht="15">
      <c r="A8" s="66"/>
      <c r="C8" s="101"/>
    </row>
    <row r="9" spans="1:3" ht="15">
      <c r="A9" s="66"/>
      <c r="C9" s="101"/>
    </row>
    <row r="10" spans="1:3" ht="15">
      <c r="A10" s="66"/>
      <c r="C10" s="101"/>
    </row>
    <row r="11" spans="1:3" ht="15.75" thickBot="1">
      <c r="A11" s="66"/>
      <c r="C11" s="101"/>
    </row>
    <row r="12" spans="1:3" ht="15">
      <c r="C12" s="101"/>
    </row>
    <row r="13" spans="1:3" ht="15.75" thickBot="1">
      <c r="C13" s="101"/>
    </row>
    <row r="14" spans="1:3" ht="15.75" thickBot="1">
      <c r="A14" s="66"/>
      <c r="C14" s="101"/>
    </row>
    <row r="15" spans="1:3" ht="15">
      <c r="A15" s="101"/>
    </row>
    <row r="16" spans="1:3" ht="15.75" thickBot="1">
      <c r="A16" s="101"/>
    </row>
    <row r="17" spans="1:3" ht="15.75" thickBot="1">
      <c r="A17" s="101"/>
      <c r="C17" s="66"/>
    </row>
    <row r="18" spans="1:3" ht="15">
      <c r="C18" s="101"/>
    </row>
    <row r="19" spans="1:3" ht="15">
      <c r="C19" s="101"/>
    </row>
    <row r="20" spans="1:3" ht="15">
      <c r="A20" s="66"/>
      <c r="C20" s="101"/>
    </row>
    <row r="21" spans="1:3" ht="15">
      <c r="A21" s="101"/>
      <c r="C21" s="101"/>
    </row>
    <row r="22" spans="1:3" ht="15">
      <c r="A22" s="101"/>
      <c r="C22" s="101"/>
    </row>
    <row r="23" spans="1:3" ht="15">
      <c r="A23" s="101"/>
      <c r="C23" s="101"/>
    </row>
    <row r="24" spans="1:3" ht="15">
      <c r="A24" s="101"/>
    </row>
    <row r="25" spans="1:3" ht="15">
      <c r="A25" s="101"/>
    </row>
    <row r="26" spans="1:3" ht="15.75" thickBot="1">
      <c r="A26" s="101"/>
      <c r="C26" s="66"/>
    </row>
    <row r="27" spans="1:3" ht="15">
      <c r="A27" s="101"/>
      <c r="C27" s="101"/>
    </row>
    <row r="28" spans="1:3" ht="15">
      <c r="A28" s="101"/>
      <c r="C28" s="101"/>
    </row>
    <row r="29" spans="1:3" ht="15">
      <c r="A29" s="101"/>
      <c r="C29" s="101"/>
    </row>
    <row r="30" spans="1:3" ht="15">
      <c r="A30" s="101"/>
      <c r="C30" s="101"/>
    </row>
    <row r="31" spans="1:3" ht="15">
      <c r="A31" s="101"/>
      <c r="C31" s="101"/>
    </row>
    <row r="32" spans="1:3" ht="15">
      <c r="A32" s="101"/>
      <c r="C32" s="101"/>
    </row>
    <row r="33" spans="1:3" ht="15">
      <c r="A33" s="101"/>
      <c r="C33" s="101"/>
    </row>
    <row r="34" spans="1:3" ht="15">
      <c r="A34" s="101"/>
      <c r="C34" s="101"/>
    </row>
    <row r="35" spans="1:3" ht="15">
      <c r="A35" s="101"/>
      <c r="C35" s="101"/>
    </row>
    <row r="36" spans="1:3" ht="15">
      <c r="A36" s="101"/>
      <c r="C36" s="101"/>
    </row>
    <row r="37" spans="1:3" ht="15">
      <c r="A37" s="101"/>
    </row>
    <row r="38" spans="1:3" ht="15">
      <c r="A38" s="101"/>
    </row>
    <row r="39" spans="1:3" ht="15">
      <c r="A39" s="101"/>
      <c r="C39" s="101"/>
    </row>
    <row r="40" spans="1:3" ht="15">
      <c r="A40" s="101"/>
      <c r="C40" s="101"/>
    </row>
    <row r="41" spans="1:3" ht="15">
      <c r="A41" s="101"/>
      <c r="C41" s="101"/>
    </row>
  </sheetData>
  <sheetProtection password="8863" sheet="1" objects="1"/>
  <phoneticPr fontId="0" type="noConversion"/>
  <pageMargins left="0.75" right="0.75" top="1" bottom="1" header="0.5" footer="0.5"/>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workbookViewId="0"/>
  </sheetViews>
  <sheetFormatPr defaultColWidth="7" defaultRowHeight="12.75"/>
  <cols>
    <col min="1" max="1" width="23" style="1" customWidth="1"/>
    <col min="2" max="2" width="1" style="1" customWidth="1"/>
    <col min="3" max="3" width="24.75" style="1" customWidth="1"/>
    <col min="4" max="16384" width="7" style="1"/>
  </cols>
  <sheetData>
    <row r="1" spans="1:3" ht="15">
      <c r="A1"/>
      <c r="C1"/>
    </row>
    <row r="2" spans="1:3" ht="15.75" thickBot="1">
      <c r="A2"/>
    </row>
    <row r="3" spans="1:3" ht="15.75" thickBot="1">
      <c r="A3"/>
      <c r="C3"/>
    </row>
    <row r="4" spans="1:3" ht="15">
      <c r="A4"/>
      <c r="C4"/>
    </row>
    <row r="5" spans="1:3" ht="15">
      <c r="C5"/>
    </row>
    <row r="6" spans="1:3" ht="15.75" thickBot="1">
      <c r="C6"/>
    </row>
    <row r="7" spans="1:3" ht="15">
      <c r="A7"/>
      <c r="C7"/>
    </row>
    <row r="8" spans="1:3" ht="15">
      <c r="A8"/>
      <c r="C8"/>
    </row>
    <row r="9" spans="1:3" ht="15">
      <c r="A9"/>
      <c r="C9"/>
    </row>
    <row r="10" spans="1:3" ht="15">
      <c r="A10"/>
      <c r="C10"/>
    </row>
    <row r="11" spans="1:3" ht="15.75" thickBot="1">
      <c r="A11"/>
      <c r="C11"/>
    </row>
    <row r="12" spans="1:3" ht="15">
      <c r="C12"/>
    </row>
    <row r="13" spans="1:3" ht="15.75" thickBot="1">
      <c r="C13"/>
    </row>
    <row r="14" spans="1:3" ht="15.75" thickBot="1">
      <c r="A14"/>
      <c r="C14"/>
    </row>
    <row r="15" spans="1:3" ht="15">
      <c r="A15"/>
    </row>
    <row r="16" spans="1:3" ht="15.75" thickBot="1">
      <c r="A16"/>
    </row>
    <row r="17" spans="1:3" ht="15.75" thickBot="1">
      <c r="A17"/>
      <c r="C17"/>
    </row>
    <row r="18" spans="1:3" ht="15">
      <c r="C18"/>
    </row>
    <row r="19" spans="1:3" ht="15">
      <c r="C19"/>
    </row>
    <row r="20" spans="1:3" ht="15">
      <c r="A20"/>
      <c r="C20"/>
    </row>
    <row r="21" spans="1:3" ht="15">
      <c r="A21"/>
      <c r="C21"/>
    </row>
    <row r="22" spans="1:3" ht="15">
      <c r="A22"/>
      <c r="C22"/>
    </row>
    <row r="23" spans="1:3" ht="15">
      <c r="A23"/>
      <c r="C23"/>
    </row>
    <row r="24" spans="1:3" ht="15">
      <c r="A24"/>
    </row>
    <row r="25" spans="1:3" ht="15">
      <c r="A25"/>
    </row>
    <row r="26" spans="1:3" ht="15.75" thickBot="1">
      <c r="A26"/>
      <c r="C26"/>
    </row>
    <row r="27" spans="1:3" ht="15">
      <c r="A27"/>
      <c r="C27"/>
    </row>
    <row r="28" spans="1:3" ht="15">
      <c r="A28"/>
      <c r="C28"/>
    </row>
    <row r="29" spans="1:3" ht="15">
      <c r="A29"/>
      <c r="C29"/>
    </row>
    <row r="30" spans="1:3" ht="15">
      <c r="A30"/>
      <c r="C30"/>
    </row>
    <row r="31" spans="1:3" ht="15">
      <c r="A31"/>
      <c r="C31"/>
    </row>
    <row r="32" spans="1:3" ht="15">
      <c r="A32"/>
      <c r="C32"/>
    </row>
    <row r="33" spans="1:3" ht="15">
      <c r="A33"/>
      <c r="C33"/>
    </row>
    <row r="34" spans="1:3" ht="15">
      <c r="A34"/>
      <c r="C34"/>
    </row>
    <row r="35" spans="1:3" ht="15">
      <c r="A35"/>
      <c r="C35"/>
    </row>
    <row r="36" spans="1:3" ht="15">
      <c r="A36"/>
      <c r="C36"/>
    </row>
    <row r="37" spans="1:3" ht="15">
      <c r="A37"/>
    </row>
    <row r="38" spans="1:3" ht="15">
      <c r="A38"/>
    </row>
    <row r="39" spans="1:3" ht="15">
      <c r="A39"/>
      <c r="C39"/>
    </row>
    <row r="40" spans="1:3" ht="15">
      <c r="A40"/>
      <c r="C40"/>
    </row>
    <row r="41" spans="1:3" ht="15">
      <c r="A41"/>
      <c r="C41"/>
    </row>
  </sheetData>
  <sheetProtection password="8863" sheet="1" objects="1"/>
  <phoneticPr fontId="0" type="noConversion"/>
  <pageMargins left="0.75" right="0.75" top="1" bottom="1" header="0.5" footer="0.5"/>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workbookViewId="0"/>
  </sheetViews>
  <sheetFormatPr defaultColWidth="7" defaultRowHeight="12.75"/>
  <cols>
    <col min="1" max="1" width="23" style="1" customWidth="1"/>
    <col min="2" max="2" width="1" style="1" customWidth="1"/>
    <col min="3" max="3" width="24.75" style="1" customWidth="1"/>
    <col min="4" max="16384" width="7" style="1"/>
  </cols>
  <sheetData>
    <row r="1" spans="1:3" ht="15">
      <c r="A1"/>
      <c r="C1"/>
    </row>
    <row r="2" spans="1:3" ht="15.75" thickBot="1">
      <c r="A2"/>
    </row>
    <row r="3" spans="1:3" ht="15.75" thickBot="1">
      <c r="A3"/>
      <c r="C3"/>
    </row>
    <row r="4" spans="1:3" ht="15">
      <c r="A4"/>
      <c r="C4" s="86"/>
    </row>
    <row r="5" spans="1:3" ht="15">
      <c r="C5" s="86"/>
    </row>
    <row r="6" spans="1:3" ht="15.75" thickBot="1">
      <c r="C6" s="86"/>
    </row>
    <row r="7" spans="1:3" ht="15">
      <c r="A7"/>
      <c r="C7" s="86"/>
    </row>
    <row r="8" spans="1:3" ht="15">
      <c r="A8"/>
      <c r="C8" s="86"/>
    </row>
    <row r="9" spans="1:3" ht="15">
      <c r="A9"/>
      <c r="C9" s="86"/>
    </row>
    <row r="10" spans="1:3" ht="15">
      <c r="A10"/>
      <c r="C10" s="86"/>
    </row>
    <row r="11" spans="1:3" ht="15.75" thickBot="1">
      <c r="A11"/>
      <c r="C11" s="86"/>
    </row>
    <row r="12" spans="1:3" ht="15">
      <c r="C12" s="86"/>
    </row>
    <row r="13" spans="1:3" ht="15.75" thickBot="1">
      <c r="C13" s="86"/>
    </row>
    <row r="14" spans="1:3" ht="15.75" thickBot="1">
      <c r="A14"/>
      <c r="C14" s="86"/>
    </row>
    <row r="15" spans="1:3" ht="15">
      <c r="A15" s="86"/>
    </row>
    <row r="16" spans="1:3" ht="15.75" thickBot="1">
      <c r="A16" s="86"/>
    </row>
    <row r="17" spans="1:3" ht="15.75" thickBot="1">
      <c r="A17" s="86"/>
      <c r="C17"/>
    </row>
    <row r="18" spans="1:3" ht="15">
      <c r="C18" s="86"/>
    </row>
    <row r="19" spans="1:3" ht="15">
      <c r="C19" s="86"/>
    </row>
    <row r="20" spans="1:3" ht="15">
      <c r="A20"/>
      <c r="C20" s="86"/>
    </row>
    <row r="21" spans="1:3" ht="15">
      <c r="A21" s="86"/>
      <c r="C21" s="86"/>
    </row>
    <row r="22" spans="1:3" ht="15">
      <c r="A22" s="86"/>
      <c r="C22" s="86"/>
    </row>
    <row r="23" spans="1:3" ht="15">
      <c r="A23" s="86"/>
      <c r="C23" s="86"/>
    </row>
    <row r="24" spans="1:3" ht="15">
      <c r="A24" s="86"/>
    </row>
    <row r="25" spans="1:3" ht="15">
      <c r="A25" s="86"/>
    </row>
    <row r="26" spans="1:3" ht="15.75" thickBot="1">
      <c r="A26" s="86"/>
      <c r="C26"/>
    </row>
    <row r="27" spans="1:3" ht="15">
      <c r="A27" s="86"/>
      <c r="C27" s="86"/>
    </row>
    <row r="28" spans="1:3" ht="15">
      <c r="A28" s="86"/>
      <c r="C28" s="86"/>
    </row>
    <row r="29" spans="1:3" ht="15">
      <c r="A29" s="86"/>
      <c r="C29" s="86"/>
    </row>
    <row r="30" spans="1:3" ht="15">
      <c r="A30" s="86"/>
      <c r="C30" s="86"/>
    </row>
    <row r="31" spans="1:3" ht="15">
      <c r="A31" s="86"/>
      <c r="C31" s="86"/>
    </row>
    <row r="32" spans="1:3" ht="15">
      <c r="A32" s="86"/>
      <c r="C32" s="86"/>
    </row>
    <row r="33" spans="1:3" ht="15">
      <c r="A33" s="86"/>
      <c r="C33" s="86"/>
    </row>
    <row r="34" spans="1:3" ht="15">
      <c r="A34" s="86"/>
      <c r="C34" s="86"/>
    </row>
    <row r="35" spans="1:3" ht="15">
      <c r="A35" s="86"/>
      <c r="C35" s="86"/>
    </row>
    <row r="36" spans="1:3" ht="15">
      <c r="A36" s="86"/>
      <c r="C36" s="86"/>
    </row>
    <row r="37" spans="1:3" ht="15">
      <c r="A37" s="86"/>
    </row>
    <row r="38" spans="1:3" ht="15">
      <c r="A38" s="86"/>
    </row>
    <row r="39" spans="1:3" ht="15">
      <c r="A39" s="86"/>
      <c r="C39" s="86"/>
    </row>
    <row r="40" spans="1:3" ht="15">
      <c r="A40" s="86"/>
      <c r="C40" s="86"/>
    </row>
    <row r="41" spans="1:3" ht="15">
      <c r="A41" s="86"/>
      <c r="C41" s="86"/>
    </row>
  </sheetData>
  <sheetProtection password="8863" sheet="1" objects="1"/>
  <phoneticPr fontId="0"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25"/>
  <sheetViews>
    <sheetView workbookViewId="0"/>
  </sheetViews>
  <sheetFormatPr defaultRowHeight="15"/>
  <cols>
    <col min="1" max="1" width="5" customWidth="1"/>
    <col min="2" max="2" width="4.5" customWidth="1"/>
    <col min="3" max="3" width="9.125" customWidth="1"/>
    <col min="4" max="4" width="6.25" customWidth="1"/>
    <col min="5" max="5" width="6.375" style="121" customWidth="1"/>
    <col min="6" max="6" width="6.75" customWidth="1"/>
    <col min="7" max="7" width="6.375" style="16" customWidth="1"/>
    <col min="8" max="8" width="7.125" customWidth="1"/>
    <col min="9" max="9" width="5.75" style="121" customWidth="1"/>
    <col min="10" max="10" width="7.75" customWidth="1"/>
    <col min="11" max="11" width="6.125" customWidth="1"/>
    <col min="12" max="12" width="6.25" customWidth="1"/>
    <col min="13" max="13" width="5.75" style="121" customWidth="1"/>
    <col min="14" max="14" width="6.5" customWidth="1"/>
    <col min="15" max="15" width="5.875" customWidth="1"/>
    <col min="16" max="16" width="6.5" customWidth="1"/>
    <col min="17" max="17" width="7.75" style="121" customWidth="1"/>
    <col min="18" max="18" width="6.75" customWidth="1"/>
    <col min="19" max="19" width="7.125" customWidth="1"/>
  </cols>
  <sheetData>
    <row r="1" spans="1:20" s="7" customFormat="1" ht="18" customHeight="1">
      <c r="A1" s="4"/>
      <c r="B1" s="5"/>
      <c r="C1" s="5"/>
      <c r="D1" s="5"/>
      <c r="E1" s="113"/>
      <c r="F1" s="6"/>
      <c r="G1" s="12"/>
      <c r="H1" s="5"/>
      <c r="I1" s="113"/>
      <c r="J1" s="5"/>
      <c r="K1" s="5"/>
      <c r="L1" s="5"/>
      <c r="M1" s="5"/>
      <c r="N1" s="5"/>
      <c r="O1" s="5"/>
      <c r="P1" s="5"/>
      <c r="T1" s="10"/>
    </row>
    <row r="2" spans="1:20" s="7" customFormat="1" ht="18" customHeight="1">
      <c r="A2" s="4"/>
      <c r="B2" s="5"/>
      <c r="C2" s="5"/>
      <c r="D2" s="5"/>
      <c r="E2" s="113"/>
      <c r="F2" s="6"/>
      <c r="G2" s="12"/>
      <c r="H2" s="5"/>
      <c r="I2" s="113"/>
      <c r="J2" s="5"/>
      <c r="K2" s="5"/>
      <c r="L2" s="5"/>
      <c r="M2" s="5"/>
      <c r="N2" s="5"/>
      <c r="O2" s="5"/>
      <c r="P2" s="5"/>
      <c r="T2" s="10"/>
    </row>
    <row r="3" spans="1:20" s="7" customFormat="1" ht="26.25" customHeight="1">
      <c r="A3" s="203" t="s">
        <v>87</v>
      </c>
      <c r="B3" s="5"/>
      <c r="C3" s="5"/>
      <c r="D3" s="5"/>
      <c r="E3" s="113"/>
      <c r="F3" s="6"/>
      <c r="G3" s="12"/>
      <c r="H3" s="5"/>
      <c r="I3" s="113"/>
      <c r="J3" s="5"/>
      <c r="K3" s="5"/>
      <c r="L3" s="5"/>
      <c r="M3" s="5"/>
      <c r="N3" s="5"/>
      <c r="O3" s="5"/>
      <c r="P3" s="5"/>
      <c r="Q3" s="5"/>
      <c r="R3" s="5"/>
      <c r="S3" s="5"/>
      <c r="T3" s="10"/>
    </row>
    <row r="4" spans="1:20" s="7" customFormat="1" ht="25.5" customHeight="1">
      <c r="A4" s="720" t="s">
        <v>83</v>
      </c>
      <c r="B4" s="720"/>
      <c r="C4" s="720"/>
      <c r="D4" s="720"/>
      <c r="E4" s="720"/>
      <c r="F4" s="720"/>
      <c r="G4" s="720"/>
      <c r="H4" s="720"/>
      <c r="I4" s="720"/>
      <c r="J4" s="720"/>
      <c r="K4" s="720"/>
      <c r="L4" s="720"/>
      <c r="M4" s="720"/>
      <c r="N4" s="720"/>
      <c r="O4" s="720"/>
      <c r="P4" s="720"/>
      <c r="Q4" s="720"/>
      <c r="R4" s="720"/>
      <c r="S4" s="5"/>
      <c r="T4" s="10"/>
    </row>
    <row r="5" spans="1:20" s="7" customFormat="1" ht="18" customHeight="1">
      <c r="A5" s="721" t="s">
        <v>173</v>
      </c>
      <c r="B5" s="721"/>
      <c r="C5" s="721"/>
      <c r="D5" s="721"/>
      <c r="E5" s="721"/>
      <c r="F5" s="721"/>
      <c r="G5" s="721"/>
      <c r="H5" s="721"/>
      <c r="I5" s="721"/>
      <c r="J5" s="721"/>
      <c r="K5" s="721"/>
      <c r="L5" s="721"/>
      <c r="M5" s="721"/>
      <c r="N5" s="721"/>
      <c r="O5" s="721"/>
      <c r="P5" s="721"/>
      <c r="Q5" s="721"/>
      <c r="R5" s="721"/>
      <c r="S5" s="721"/>
      <c r="T5" s="10"/>
    </row>
    <row r="6" spans="1:20" s="7" customFormat="1" ht="18" customHeight="1">
      <c r="A6" s="139"/>
      <c r="B6" s="142"/>
      <c r="C6" s="142"/>
      <c r="D6" s="141"/>
      <c r="E6" s="140"/>
      <c r="F6" s="9"/>
      <c r="G6" s="9"/>
      <c r="H6" s="9"/>
      <c r="I6" s="140"/>
      <c r="J6" s="9"/>
      <c r="K6" s="9" t="s">
        <v>88</v>
      </c>
      <c r="L6" s="9"/>
      <c r="M6" s="140"/>
      <c r="N6" s="9"/>
      <c r="O6" s="9"/>
      <c r="P6" s="9"/>
      <c r="Q6" s="140"/>
      <c r="R6" s="9"/>
      <c r="S6" s="139"/>
      <c r="T6" s="10"/>
    </row>
    <row r="7" spans="1:20" s="7" customFormat="1" ht="17.100000000000001" customHeight="1">
      <c r="A7" s="144" t="s">
        <v>0</v>
      </c>
      <c r="B7" s="144" t="s">
        <v>1</v>
      </c>
      <c r="C7" s="145" t="s">
        <v>13</v>
      </c>
      <c r="D7" s="722" t="s">
        <v>14</v>
      </c>
      <c r="E7" s="722"/>
      <c r="F7" s="722"/>
      <c r="G7" s="722"/>
      <c r="H7" s="722" t="s">
        <v>15</v>
      </c>
      <c r="I7" s="722"/>
      <c r="J7" s="722"/>
      <c r="K7" s="722"/>
      <c r="L7" s="722" t="s">
        <v>16</v>
      </c>
      <c r="M7" s="722"/>
      <c r="N7" s="722"/>
      <c r="O7" s="722"/>
      <c r="P7" s="722" t="s">
        <v>17</v>
      </c>
      <c r="Q7" s="722"/>
      <c r="R7" s="722"/>
      <c r="S7" s="722"/>
    </row>
    <row r="8" spans="1:20" s="7" customFormat="1" ht="17.100000000000001" customHeight="1">
      <c r="A8" s="206"/>
      <c r="B8" s="146" t="s">
        <v>18</v>
      </c>
      <c r="C8" s="147" t="s">
        <v>19</v>
      </c>
      <c r="D8" s="716" t="s">
        <v>21</v>
      </c>
      <c r="E8" s="716"/>
      <c r="F8" s="716" t="s">
        <v>20</v>
      </c>
      <c r="G8" s="716"/>
      <c r="H8" s="716" t="s">
        <v>21</v>
      </c>
      <c r="I8" s="716"/>
      <c r="J8" s="716" t="s">
        <v>20</v>
      </c>
      <c r="K8" s="716"/>
      <c r="L8" s="716" t="s">
        <v>21</v>
      </c>
      <c r="M8" s="716"/>
      <c r="N8" s="716" t="s">
        <v>20</v>
      </c>
      <c r="O8" s="716"/>
      <c r="P8" s="716" t="s">
        <v>21</v>
      </c>
      <c r="Q8" s="716"/>
      <c r="R8" s="716" t="s">
        <v>20</v>
      </c>
      <c r="S8" s="716"/>
    </row>
    <row r="9" spans="1:20" s="7" customFormat="1" ht="17.100000000000001" customHeight="1">
      <c r="A9" s="148"/>
      <c r="B9" s="149"/>
      <c r="C9" s="150"/>
      <c r="D9" s="151" t="s">
        <v>22</v>
      </c>
      <c r="E9" s="152" t="s">
        <v>7</v>
      </c>
      <c r="F9" s="151" t="s">
        <v>0</v>
      </c>
      <c r="G9" s="151" t="s">
        <v>7</v>
      </c>
      <c r="H9" s="151" t="s">
        <v>0</v>
      </c>
      <c r="I9" s="152" t="s">
        <v>7</v>
      </c>
      <c r="J9" s="151" t="s">
        <v>0</v>
      </c>
      <c r="K9" s="151" t="s">
        <v>7</v>
      </c>
      <c r="L9" s="151" t="s">
        <v>0</v>
      </c>
      <c r="M9" s="152" t="s">
        <v>7</v>
      </c>
      <c r="N9" s="151" t="s">
        <v>0</v>
      </c>
      <c r="O9" s="151" t="s">
        <v>7</v>
      </c>
      <c r="P9" s="151" t="s">
        <v>0</v>
      </c>
      <c r="Q9" s="152" t="s">
        <v>7</v>
      </c>
      <c r="R9" s="151" t="s">
        <v>0</v>
      </c>
      <c r="S9" s="151" t="s">
        <v>7</v>
      </c>
    </row>
    <row r="10" spans="1:20" s="7" customFormat="1" ht="20.100000000000001" hidden="1" customHeight="1">
      <c r="A10" s="269"/>
      <c r="B10" s="143"/>
      <c r="C10" s="153"/>
      <c r="D10" s="29"/>
      <c r="E10" s="114"/>
      <c r="F10" s="28">
        <f>D10/10*100</f>
        <v>0</v>
      </c>
      <c r="G10" s="30"/>
      <c r="H10" s="28"/>
      <c r="I10" s="114"/>
      <c r="J10" s="29">
        <f>H10/10*100</f>
        <v>0</v>
      </c>
      <c r="K10" s="30"/>
      <c r="L10" s="29"/>
      <c r="M10" s="114"/>
      <c r="N10" s="29">
        <f>L10/10*100</f>
        <v>0</v>
      </c>
      <c r="O10" s="30"/>
      <c r="P10" s="29"/>
      <c r="Q10" s="114"/>
      <c r="R10" s="29">
        <f>P10/10*100</f>
        <v>0</v>
      </c>
      <c r="S10" s="30"/>
      <c r="T10" s="27">
        <f t="shared" ref="T10:T15" si="0">S10+O10+K10+G10</f>
        <v>0</v>
      </c>
    </row>
    <row r="11" spans="1:20" s="7" customFormat="1" ht="20.100000000000001" hidden="1" customHeight="1">
      <c r="A11" s="154"/>
      <c r="B11" s="155"/>
      <c r="C11" s="153"/>
      <c r="D11" s="29"/>
      <c r="E11" s="114"/>
      <c r="F11" s="28"/>
      <c r="G11" s="30"/>
      <c r="H11" s="28"/>
      <c r="I11" s="114"/>
      <c r="J11" s="29"/>
      <c r="K11" s="30"/>
      <c r="L11" s="29"/>
      <c r="M11" s="114"/>
      <c r="N11" s="29"/>
      <c r="O11" s="30"/>
      <c r="P11" s="29"/>
      <c r="Q11" s="114"/>
      <c r="R11" s="29"/>
      <c r="S11" s="30"/>
      <c r="T11" s="27">
        <f t="shared" si="0"/>
        <v>0</v>
      </c>
    </row>
    <row r="12" spans="1:20" s="7" customFormat="1" ht="20.100000000000001" hidden="1" customHeight="1">
      <c r="A12" s="156"/>
      <c r="B12" s="157"/>
      <c r="C12" s="158"/>
      <c r="D12" s="26">
        <f>D10+D11</f>
        <v>0</v>
      </c>
      <c r="E12" s="115">
        <f>D12</f>
        <v>0</v>
      </c>
      <c r="F12" s="26">
        <f>(F10+F11)</f>
        <v>0</v>
      </c>
      <c r="G12" s="27">
        <f>E12/10*100</f>
        <v>0</v>
      </c>
      <c r="H12" s="26">
        <f>H10+H11</f>
        <v>0</v>
      </c>
      <c r="I12" s="115">
        <f>H12</f>
        <v>0</v>
      </c>
      <c r="J12" s="26">
        <f>(J10+J11)</f>
        <v>0</v>
      </c>
      <c r="K12" s="27">
        <f>I12/10*100</f>
        <v>0</v>
      </c>
      <c r="L12" s="26">
        <f>L10+L11</f>
        <v>0</v>
      </c>
      <c r="M12" s="115">
        <f>L12</f>
        <v>0</v>
      </c>
      <c r="N12" s="26">
        <f>(N10+N11)</f>
        <v>0</v>
      </c>
      <c r="O12" s="27">
        <f>M12/10*100</f>
        <v>0</v>
      </c>
      <c r="P12" s="26">
        <f>P10+P11</f>
        <v>0</v>
      </c>
      <c r="Q12" s="115">
        <f>P12</f>
        <v>0</v>
      </c>
      <c r="R12" s="26">
        <f>(R10+R11)</f>
        <v>0</v>
      </c>
      <c r="S12" s="27">
        <f>Q12/10*100</f>
        <v>0</v>
      </c>
      <c r="T12" s="27">
        <f t="shared" si="0"/>
        <v>0</v>
      </c>
    </row>
    <row r="13" spans="1:20" s="7" customFormat="1" ht="20.100000000000001" hidden="1" customHeight="1">
      <c r="A13" s="207" t="s">
        <v>164</v>
      </c>
      <c r="B13" s="143" t="s">
        <v>26</v>
      </c>
      <c r="C13" s="153" t="s">
        <v>97</v>
      </c>
      <c r="D13" s="29">
        <f>10-H13-L13-P13</f>
        <v>3.75</v>
      </c>
      <c r="E13" s="114"/>
      <c r="F13" s="28">
        <f>D13/10*100</f>
        <v>37.5</v>
      </c>
      <c r="G13" s="30"/>
      <c r="H13" s="28">
        <f>(80+60+20+45+25+85+60)/60</f>
        <v>6.25</v>
      </c>
      <c r="I13" s="114"/>
      <c r="J13" s="29">
        <f>H13/10*100</f>
        <v>62.5</v>
      </c>
      <c r="K13" s="30"/>
      <c r="L13" s="29"/>
      <c r="M13" s="114"/>
      <c r="N13" s="29">
        <f>L13/10*100</f>
        <v>0</v>
      </c>
      <c r="O13" s="30"/>
      <c r="P13" s="29"/>
      <c r="Q13" s="114"/>
      <c r="R13" s="29">
        <f>P13/10*100</f>
        <v>0</v>
      </c>
      <c r="S13" s="30"/>
      <c r="T13" s="27">
        <f t="shared" si="0"/>
        <v>0</v>
      </c>
    </row>
    <row r="14" spans="1:20" s="7" customFormat="1" ht="20.100000000000001" hidden="1" customHeight="1">
      <c r="A14" s="154"/>
      <c r="B14" s="155" t="s">
        <v>23</v>
      </c>
      <c r="C14" s="153" t="s">
        <v>97</v>
      </c>
      <c r="D14" s="29">
        <f>10-H14-L14-P14</f>
        <v>0.7333333333333325</v>
      </c>
      <c r="E14" s="114"/>
      <c r="F14" s="28">
        <f>D14/10*100</f>
        <v>7.333333333333325</v>
      </c>
      <c r="G14" s="30"/>
      <c r="H14" s="28">
        <f>30/60</f>
        <v>0.5</v>
      </c>
      <c r="I14" s="114"/>
      <c r="J14" s="29">
        <f>H14/10*100</f>
        <v>5</v>
      </c>
      <c r="K14" s="30"/>
      <c r="L14" s="29">
        <f>43/60</f>
        <v>0.71666666666666667</v>
      </c>
      <c r="M14" s="114"/>
      <c r="N14" s="29">
        <f>L14/10*100</f>
        <v>7.166666666666667</v>
      </c>
      <c r="O14" s="30"/>
      <c r="P14" s="29">
        <f>(228+15+240)/60</f>
        <v>8.0500000000000007</v>
      </c>
      <c r="Q14" s="114"/>
      <c r="R14" s="29">
        <f>P14/10*100</f>
        <v>80.5</v>
      </c>
      <c r="S14" s="30"/>
      <c r="T14" s="27">
        <f t="shared" si="0"/>
        <v>0</v>
      </c>
    </row>
    <row r="15" spans="1:20" s="7" customFormat="1" ht="20.100000000000001" hidden="1" customHeight="1">
      <c r="A15" s="156"/>
      <c r="B15" s="157"/>
      <c r="C15" s="158"/>
      <c r="D15" s="26">
        <f>D13+D14</f>
        <v>4.4833333333333325</v>
      </c>
      <c r="E15" s="115">
        <f>D15+E12</f>
        <v>4.4833333333333325</v>
      </c>
      <c r="F15" s="26">
        <f>(F13+F14)/2</f>
        <v>22.416666666666664</v>
      </c>
      <c r="G15" s="27">
        <f>E15/20*100</f>
        <v>22.416666666666664</v>
      </c>
      <c r="H15" s="26">
        <f>H13+H14</f>
        <v>6.75</v>
      </c>
      <c r="I15" s="115">
        <f>H15+I12</f>
        <v>6.75</v>
      </c>
      <c r="J15" s="26">
        <f>(J13+J14)/2</f>
        <v>33.75</v>
      </c>
      <c r="K15" s="27">
        <f>I15/20*100</f>
        <v>33.75</v>
      </c>
      <c r="L15" s="26">
        <f>L13+L14</f>
        <v>0.71666666666666667</v>
      </c>
      <c r="M15" s="115">
        <f>L15+M12</f>
        <v>0.71666666666666667</v>
      </c>
      <c r="N15" s="26">
        <f>(N13+N14)/2</f>
        <v>3.5833333333333335</v>
      </c>
      <c r="O15" s="27">
        <f>M15/20*100</f>
        <v>3.5833333333333335</v>
      </c>
      <c r="P15" s="26">
        <f>P13+P14</f>
        <v>8.0500000000000007</v>
      </c>
      <c r="Q15" s="115">
        <f>P15+Q12</f>
        <v>8.0500000000000007</v>
      </c>
      <c r="R15" s="26">
        <f>(R13+R14)/2</f>
        <v>40.25</v>
      </c>
      <c r="S15" s="27">
        <f>Q15/20*100</f>
        <v>40.25</v>
      </c>
      <c r="T15" s="27">
        <f t="shared" si="0"/>
        <v>100</v>
      </c>
    </row>
    <row r="16" spans="1:20" s="7" customFormat="1" ht="20.100000000000001" hidden="1" customHeight="1">
      <c r="A16" s="207" t="s">
        <v>166</v>
      </c>
      <c r="B16" s="143" t="s">
        <v>26</v>
      </c>
      <c r="C16" s="153" t="s">
        <v>97</v>
      </c>
      <c r="D16" s="29">
        <f>10-H16-L16-P16</f>
        <v>6.5499999999999989</v>
      </c>
      <c r="E16" s="114"/>
      <c r="F16" s="28">
        <f>D16/10*100</f>
        <v>65.499999999999986</v>
      </c>
      <c r="G16" s="30"/>
      <c r="H16" s="28">
        <f>(12+25)/60</f>
        <v>0.6166666666666667</v>
      </c>
      <c r="I16" s="114"/>
      <c r="J16" s="29">
        <f>H16/10*100</f>
        <v>6.166666666666667</v>
      </c>
      <c r="K16" s="30"/>
      <c r="L16" s="29"/>
      <c r="M16" s="114"/>
      <c r="N16" s="29">
        <f>L16/10*100</f>
        <v>0</v>
      </c>
      <c r="O16" s="30"/>
      <c r="P16" s="29">
        <f>(125+45)/60</f>
        <v>2.8333333333333335</v>
      </c>
      <c r="Q16" s="114"/>
      <c r="R16" s="29">
        <f>P16/10*100</f>
        <v>28.333333333333332</v>
      </c>
      <c r="S16" s="30"/>
      <c r="T16" s="27">
        <f t="shared" ref="T16:T21" si="1">S16+O16+K16+G16</f>
        <v>0</v>
      </c>
    </row>
    <row r="17" spans="1:20" s="7" customFormat="1" ht="20.100000000000001" hidden="1" customHeight="1">
      <c r="A17" s="154"/>
      <c r="B17" s="155" t="s">
        <v>23</v>
      </c>
      <c r="C17" s="153" t="s">
        <v>97</v>
      </c>
      <c r="D17" s="29">
        <f>10-H17-L17-P17</f>
        <v>7.1166666666666671</v>
      </c>
      <c r="E17" s="114"/>
      <c r="F17" s="28">
        <f>D17/10*100</f>
        <v>71.166666666666671</v>
      </c>
      <c r="G17" s="30"/>
      <c r="H17" s="28">
        <f>(20+13+10)/60</f>
        <v>0.71666666666666667</v>
      </c>
      <c r="I17" s="114"/>
      <c r="J17" s="29">
        <f>H17/10*100</f>
        <v>7.166666666666667</v>
      </c>
      <c r="K17" s="30"/>
      <c r="L17" s="29"/>
      <c r="M17" s="114"/>
      <c r="N17" s="29">
        <f>L17/10*100</f>
        <v>0</v>
      </c>
      <c r="O17" s="30"/>
      <c r="P17" s="29">
        <f>(48+16+28+38)/60</f>
        <v>2.1666666666666665</v>
      </c>
      <c r="Q17" s="114"/>
      <c r="R17" s="29">
        <f>P17/10*100</f>
        <v>21.666666666666664</v>
      </c>
      <c r="S17" s="30"/>
      <c r="T17" s="27">
        <f t="shared" si="1"/>
        <v>0</v>
      </c>
    </row>
    <row r="18" spans="1:20" s="7" customFormat="1" ht="20.100000000000001" hidden="1" customHeight="1">
      <c r="A18" s="156"/>
      <c r="B18" s="157"/>
      <c r="C18" s="158"/>
      <c r="D18" s="26">
        <f>D16+D17</f>
        <v>13.666666666666666</v>
      </c>
      <c r="E18" s="115">
        <f>D18+E15</f>
        <v>18.149999999999999</v>
      </c>
      <c r="F18" s="26">
        <f>(F16+F17)/2</f>
        <v>68.333333333333329</v>
      </c>
      <c r="G18" s="27">
        <f>E18/40*100</f>
        <v>45.375</v>
      </c>
      <c r="H18" s="26">
        <f>H16+H17</f>
        <v>1.3333333333333335</v>
      </c>
      <c r="I18" s="115">
        <f>H18+I15</f>
        <v>8.0833333333333339</v>
      </c>
      <c r="J18" s="26">
        <f>(J16+J17)/2</f>
        <v>6.666666666666667</v>
      </c>
      <c r="K18" s="27">
        <f>I18/40*100</f>
        <v>20.208333333333332</v>
      </c>
      <c r="L18" s="26">
        <f>L16+L17</f>
        <v>0</v>
      </c>
      <c r="M18" s="115">
        <f>L18+M15</f>
        <v>0.71666666666666667</v>
      </c>
      <c r="N18" s="26">
        <f>(N16+N17)/2</f>
        <v>0</v>
      </c>
      <c r="O18" s="27">
        <f>M18/40*100</f>
        <v>1.7916666666666667</v>
      </c>
      <c r="P18" s="26">
        <f>P16+P17</f>
        <v>5</v>
      </c>
      <c r="Q18" s="115">
        <f>P18+Q15</f>
        <v>13.05</v>
      </c>
      <c r="R18" s="26">
        <f>(R16+R17)/2</f>
        <v>25</v>
      </c>
      <c r="S18" s="27">
        <f>Q18/40*100</f>
        <v>32.625000000000007</v>
      </c>
      <c r="T18" s="27">
        <f t="shared" si="1"/>
        <v>100</v>
      </c>
    </row>
    <row r="19" spans="1:20" s="7" customFormat="1" ht="20.100000000000001" hidden="1" customHeight="1">
      <c r="A19" s="207" t="s">
        <v>171</v>
      </c>
      <c r="B19" s="143" t="s">
        <v>170</v>
      </c>
      <c r="C19" s="153" t="s">
        <v>97</v>
      </c>
      <c r="D19" s="29">
        <f>10-H19-L19-P19</f>
        <v>5.5166666666666666</v>
      </c>
      <c r="E19" s="114"/>
      <c r="F19" s="28">
        <f>D19/10*100</f>
        <v>55.166666666666664</v>
      </c>
      <c r="G19" s="30"/>
      <c r="H19" s="28">
        <f>43/60</f>
        <v>0.71666666666666667</v>
      </c>
      <c r="I19" s="114"/>
      <c r="J19" s="29"/>
      <c r="K19" s="30"/>
      <c r="L19" s="29"/>
      <c r="M19" s="114"/>
      <c r="N19" s="29">
        <f>L19/10*100</f>
        <v>0</v>
      </c>
      <c r="O19" s="30"/>
      <c r="P19" s="29">
        <f>(90+24+80+32)/60</f>
        <v>3.7666666666666666</v>
      </c>
      <c r="Q19" s="114"/>
      <c r="R19" s="29">
        <f>P19/10*100</f>
        <v>37.666666666666664</v>
      </c>
      <c r="S19" s="30"/>
      <c r="T19" s="27">
        <f t="shared" si="1"/>
        <v>0</v>
      </c>
    </row>
    <row r="20" spans="1:20" s="7" customFormat="1" ht="20.100000000000001" hidden="1" customHeight="1">
      <c r="A20" s="154"/>
      <c r="B20" s="155" t="s">
        <v>26</v>
      </c>
      <c r="C20" s="153" t="s">
        <v>97</v>
      </c>
      <c r="D20" s="29">
        <f>10-H20-L20-P20</f>
        <v>3.1833333333333336</v>
      </c>
      <c r="E20" s="114"/>
      <c r="F20" s="28">
        <f>D20/10*100</f>
        <v>31.833333333333336</v>
      </c>
      <c r="G20" s="30"/>
      <c r="H20" s="28">
        <f>15/60</f>
        <v>0.25</v>
      </c>
      <c r="I20" s="114"/>
      <c r="J20" s="29">
        <f>H20/10*100</f>
        <v>2.5</v>
      </c>
      <c r="K20" s="30"/>
      <c r="L20" s="29"/>
      <c r="M20" s="114"/>
      <c r="N20" s="29">
        <f>L20/10*100</f>
        <v>0</v>
      </c>
      <c r="O20" s="30"/>
      <c r="P20" s="29">
        <f>(50+165+9+90+80)/60</f>
        <v>6.5666666666666664</v>
      </c>
      <c r="Q20" s="114"/>
      <c r="R20" s="29">
        <f>P20/10*100</f>
        <v>65.666666666666657</v>
      </c>
      <c r="S20" s="30"/>
      <c r="T20" s="27">
        <f t="shared" si="1"/>
        <v>0</v>
      </c>
    </row>
    <row r="21" spans="1:20" s="7" customFormat="1" ht="20.100000000000001" hidden="1" customHeight="1">
      <c r="A21" s="156"/>
      <c r="B21" s="157"/>
      <c r="C21" s="158"/>
      <c r="D21" s="26">
        <f>D19+D20</f>
        <v>8.6999999999999993</v>
      </c>
      <c r="E21" s="115">
        <f>D21+E18</f>
        <v>26.849999999999998</v>
      </c>
      <c r="F21" s="26">
        <f>(F19+F20)/2</f>
        <v>43.5</v>
      </c>
      <c r="G21" s="27">
        <f>E21/60*100</f>
        <v>44.749999999999993</v>
      </c>
      <c r="H21" s="26">
        <f>H19+H20</f>
        <v>0.96666666666666667</v>
      </c>
      <c r="I21" s="115">
        <f>H21+I18</f>
        <v>9.0500000000000007</v>
      </c>
      <c r="J21" s="26">
        <f>(J19+J20)/2</f>
        <v>1.25</v>
      </c>
      <c r="K21" s="27">
        <f>I21/60*100</f>
        <v>15.083333333333334</v>
      </c>
      <c r="L21" s="26">
        <f>L19+L20</f>
        <v>0</v>
      </c>
      <c r="M21" s="115">
        <f>L21+M18</f>
        <v>0.71666666666666667</v>
      </c>
      <c r="N21" s="26">
        <f>(N19+N20)/2</f>
        <v>0</v>
      </c>
      <c r="O21" s="27">
        <f>M21/60*100</f>
        <v>1.1944444444444444</v>
      </c>
      <c r="P21" s="26">
        <f>P19+P20</f>
        <v>10.333333333333332</v>
      </c>
      <c r="Q21" s="115">
        <f>P21+Q18</f>
        <v>23.383333333333333</v>
      </c>
      <c r="R21" s="26">
        <f>(R19+R20)/2</f>
        <v>51.666666666666657</v>
      </c>
      <c r="S21" s="27">
        <f>Q21/60*100</f>
        <v>38.972222222222221</v>
      </c>
      <c r="T21" s="27">
        <f t="shared" si="1"/>
        <v>100</v>
      </c>
    </row>
    <row r="22" spans="1:20" s="7" customFormat="1" ht="20.100000000000001" customHeight="1">
      <c r="A22" s="207" t="s">
        <v>174</v>
      </c>
      <c r="B22" s="143" t="s">
        <v>170</v>
      </c>
      <c r="C22" s="153" t="s">
        <v>97</v>
      </c>
      <c r="D22" s="29">
        <f>10-H22-L22-P22</f>
        <v>0.46666666666666679</v>
      </c>
      <c r="E22" s="114"/>
      <c r="F22" s="28">
        <f>D22/10*100</f>
        <v>4.6666666666666679</v>
      </c>
      <c r="G22" s="30"/>
      <c r="H22" s="28"/>
      <c r="I22" s="114"/>
      <c r="J22" s="29"/>
      <c r="K22" s="30"/>
      <c r="L22" s="29"/>
      <c r="M22" s="114"/>
      <c r="N22" s="29">
        <f>L22/10*100</f>
        <v>0</v>
      </c>
      <c r="O22" s="30"/>
      <c r="P22" s="29">
        <f>572/60</f>
        <v>9.5333333333333332</v>
      </c>
      <c r="Q22" s="114"/>
      <c r="R22" s="29">
        <f>P22/10*100</f>
        <v>95.333333333333343</v>
      </c>
      <c r="S22" s="30"/>
      <c r="T22" s="27">
        <f t="shared" ref="T22:T30" si="2">S22+O22+K22+G22</f>
        <v>0</v>
      </c>
    </row>
    <row r="23" spans="1:20" s="7" customFormat="1" ht="20.100000000000001" customHeight="1">
      <c r="A23" s="154"/>
      <c r="B23" s="155" t="s">
        <v>26</v>
      </c>
      <c r="C23" s="426" t="s">
        <v>185</v>
      </c>
      <c r="D23" s="29">
        <f>10-H23-L23-P23</f>
        <v>7.9166666666666661</v>
      </c>
      <c r="E23" s="114"/>
      <c r="F23" s="28">
        <f>D23/10*100</f>
        <v>79.166666666666657</v>
      </c>
      <c r="G23" s="30"/>
      <c r="H23" s="28">
        <f>(60+15+5+15)/60</f>
        <v>1.5833333333333333</v>
      </c>
      <c r="I23" s="114"/>
      <c r="J23" s="29">
        <f>H23/10*100</f>
        <v>15.833333333333332</v>
      </c>
      <c r="K23" s="30"/>
      <c r="L23" s="29"/>
      <c r="M23" s="114"/>
      <c r="N23" s="29">
        <f>L23/10*100</f>
        <v>0</v>
      </c>
      <c r="O23" s="30"/>
      <c r="P23" s="29">
        <f>30/60</f>
        <v>0.5</v>
      </c>
      <c r="Q23" s="114"/>
      <c r="R23" s="29">
        <f>P23/10*100</f>
        <v>5</v>
      </c>
      <c r="S23" s="30"/>
      <c r="T23" s="27">
        <f t="shared" si="2"/>
        <v>0</v>
      </c>
    </row>
    <row r="24" spans="1:20" s="7" customFormat="1" ht="20.100000000000001" customHeight="1">
      <c r="A24" s="156"/>
      <c r="B24" s="157"/>
      <c r="C24" s="158"/>
      <c r="D24" s="26">
        <f>D22+D23</f>
        <v>8.3833333333333329</v>
      </c>
      <c r="E24" s="115">
        <f>D24+E21</f>
        <v>35.233333333333334</v>
      </c>
      <c r="F24" s="26">
        <f>(F22+F23)/2</f>
        <v>41.916666666666664</v>
      </c>
      <c r="G24" s="27">
        <f>E24/80*100</f>
        <v>44.041666666666671</v>
      </c>
      <c r="H24" s="26">
        <f>H22+H23</f>
        <v>1.5833333333333333</v>
      </c>
      <c r="I24" s="115">
        <f>H24+I21</f>
        <v>10.633333333333335</v>
      </c>
      <c r="J24" s="26">
        <f>(J22+J23)/2</f>
        <v>7.9166666666666661</v>
      </c>
      <c r="K24" s="27">
        <f>I24/80*100</f>
        <v>13.291666666666668</v>
      </c>
      <c r="L24" s="26">
        <f>L22+L23</f>
        <v>0</v>
      </c>
      <c r="M24" s="115">
        <f>L24+M21</f>
        <v>0.71666666666666667</v>
      </c>
      <c r="N24" s="26">
        <f>(N22+N23)/2</f>
        <v>0</v>
      </c>
      <c r="O24" s="27">
        <f>M24/80*100</f>
        <v>0.89583333333333337</v>
      </c>
      <c r="P24" s="26">
        <f>P22+P23</f>
        <v>10.033333333333333</v>
      </c>
      <c r="Q24" s="115">
        <f>P24+Q21</f>
        <v>33.416666666666664</v>
      </c>
      <c r="R24" s="26">
        <f>(R22+R23)/2</f>
        <v>50.166666666666671</v>
      </c>
      <c r="S24" s="27">
        <f>Q24/80*100</f>
        <v>41.770833333333329</v>
      </c>
      <c r="T24" s="27">
        <f t="shared" si="2"/>
        <v>100</v>
      </c>
    </row>
    <row r="25" spans="1:20" s="7" customFormat="1" ht="20.100000000000001" customHeight="1">
      <c r="A25" s="207" t="s">
        <v>175</v>
      </c>
      <c r="B25" s="143" t="s">
        <v>23</v>
      </c>
      <c r="C25" s="426" t="s">
        <v>185</v>
      </c>
      <c r="D25" s="29">
        <f>10-H25-L25-P25</f>
        <v>7.4833333333333343</v>
      </c>
      <c r="E25" s="114"/>
      <c r="F25" s="28">
        <f>D25/10*100</f>
        <v>74.833333333333343</v>
      </c>
      <c r="G25" s="30"/>
      <c r="H25" s="28">
        <f>(4+10)/60</f>
        <v>0.23333333333333334</v>
      </c>
      <c r="I25" s="114"/>
      <c r="J25" s="29"/>
      <c r="K25" s="30"/>
      <c r="L25" s="29"/>
      <c r="M25" s="114"/>
      <c r="N25" s="29">
        <f>L25/10*100</f>
        <v>0</v>
      </c>
      <c r="O25" s="30"/>
      <c r="P25" s="29">
        <f>(90+30+12+5)/60</f>
        <v>2.2833333333333332</v>
      </c>
      <c r="Q25" s="114"/>
      <c r="R25" s="29">
        <f>P25/10*100</f>
        <v>22.833333333333332</v>
      </c>
      <c r="S25" s="30"/>
      <c r="T25" s="27">
        <f t="shared" si="2"/>
        <v>0</v>
      </c>
    </row>
    <row r="26" spans="1:20" s="7" customFormat="1" ht="20.100000000000001" customHeight="1">
      <c r="A26" s="154"/>
      <c r="B26" s="155" t="s">
        <v>170</v>
      </c>
      <c r="C26" s="426" t="s">
        <v>185</v>
      </c>
      <c r="D26" s="29">
        <f>10-H26-L26-P26</f>
        <v>8.0333333333333332</v>
      </c>
      <c r="E26" s="114"/>
      <c r="F26" s="28">
        <f>D26/10*100</f>
        <v>80.333333333333329</v>
      </c>
      <c r="G26" s="30"/>
      <c r="H26" s="28">
        <f>(42+24+8+7+12)/60</f>
        <v>1.55</v>
      </c>
      <c r="I26" s="114"/>
      <c r="J26" s="29">
        <f>H26/10*100</f>
        <v>15.5</v>
      </c>
      <c r="K26" s="30"/>
      <c r="L26" s="29">
        <f>25/60</f>
        <v>0.41666666666666669</v>
      </c>
      <c r="M26" s="114"/>
      <c r="N26" s="29">
        <f>L26/10*100</f>
        <v>4.166666666666667</v>
      </c>
      <c r="O26" s="30"/>
      <c r="P26" s="29"/>
      <c r="Q26" s="114"/>
      <c r="R26" s="29">
        <f>P26/10*100</f>
        <v>0</v>
      </c>
      <c r="S26" s="30"/>
      <c r="T26" s="27">
        <f t="shared" si="2"/>
        <v>0</v>
      </c>
    </row>
    <row r="27" spans="1:20" s="7" customFormat="1" ht="20.100000000000001" customHeight="1">
      <c r="A27" s="156"/>
      <c r="B27" s="157"/>
      <c r="C27" s="158"/>
      <c r="D27" s="26">
        <f>D25+D26</f>
        <v>15.516666666666667</v>
      </c>
      <c r="E27" s="115">
        <f>D27+E24</f>
        <v>50.75</v>
      </c>
      <c r="F27" s="26">
        <f>(F25+F26)/2</f>
        <v>77.583333333333343</v>
      </c>
      <c r="G27" s="27">
        <f>E27/100*100</f>
        <v>50.749999999999993</v>
      </c>
      <c r="H27" s="26">
        <f>H25+H26</f>
        <v>1.7833333333333334</v>
      </c>
      <c r="I27" s="115">
        <f>H27+I24</f>
        <v>12.416666666666668</v>
      </c>
      <c r="J27" s="26">
        <f>(J25+J26)/2</f>
        <v>7.75</v>
      </c>
      <c r="K27" s="27">
        <f>I27/100*100</f>
        <v>12.416666666666668</v>
      </c>
      <c r="L27" s="26">
        <f>L25+L26</f>
        <v>0.41666666666666669</v>
      </c>
      <c r="M27" s="115">
        <f>L27+M24</f>
        <v>1.1333333333333333</v>
      </c>
      <c r="N27" s="26">
        <f>(N25+N26)/2</f>
        <v>2.0833333333333335</v>
      </c>
      <c r="O27" s="27">
        <f>M27/100*100</f>
        <v>1.1333333333333333</v>
      </c>
      <c r="P27" s="26">
        <f>P25+P26</f>
        <v>2.2833333333333332</v>
      </c>
      <c r="Q27" s="115">
        <f>P27+Q24</f>
        <v>35.699999999999996</v>
      </c>
      <c r="R27" s="26">
        <f>(R25+R26)/2</f>
        <v>11.416666666666666</v>
      </c>
      <c r="S27" s="27">
        <f>Q27/100*100</f>
        <v>35.699999999999996</v>
      </c>
      <c r="T27" s="27">
        <f t="shared" si="2"/>
        <v>100</v>
      </c>
    </row>
    <row r="28" spans="1:20" s="7" customFormat="1" ht="20.100000000000001" customHeight="1">
      <c r="A28" s="207" t="s">
        <v>176</v>
      </c>
      <c r="B28" s="143" t="s">
        <v>23</v>
      </c>
      <c r="C28" s="426" t="s">
        <v>185</v>
      </c>
      <c r="D28" s="29">
        <f>10-H28-L28-P28</f>
        <v>9.5500000000000007</v>
      </c>
      <c r="E28" s="114"/>
      <c r="F28" s="28">
        <f>D28/10*100</f>
        <v>95.5</v>
      </c>
      <c r="G28" s="30"/>
      <c r="H28" s="28">
        <f>(10+9+8)/60</f>
        <v>0.45</v>
      </c>
      <c r="I28" s="114"/>
      <c r="J28" s="29"/>
      <c r="K28" s="30"/>
      <c r="L28" s="29"/>
      <c r="M28" s="114"/>
      <c r="N28" s="29">
        <f>L28/10*100</f>
        <v>0</v>
      </c>
      <c r="O28" s="30"/>
      <c r="P28" s="29"/>
      <c r="Q28" s="114"/>
      <c r="R28" s="29">
        <f>P28/10*100</f>
        <v>0</v>
      </c>
      <c r="S28" s="30"/>
      <c r="T28" s="27">
        <f t="shared" si="2"/>
        <v>0</v>
      </c>
    </row>
    <row r="29" spans="1:20" s="7" customFormat="1" ht="20.100000000000001" customHeight="1">
      <c r="A29" s="154"/>
      <c r="B29" s="155" t="s">
        <v>170</v>
      </c>
      <c r="C29" s="426" t="s">
        <v>186</v>
      </c>
      <c r="D29" s="29">
        <f>10-H29-L29-P29</f>
        <v>5.5833333333333321</v>
      </c>
      <c r="E29" s="114"/>
      <c r="F29" s="28">
        <f>D29/10*100</f>
        <v>55.833333333333321</v>
      </c>
      <c r="G29" s="30"/>
      <c r="H29" s="28">
        <f>(40+20+50)/60</f>
        <v>1.8333333333333333</v>
      </c>
      <c r="I29" s="114"/>
      <c r="J29" s="29">
        <f>H29/10*100</f>
        <v>18.333333333333332</v>
      </c>
      <c r="K29" s="30"/>
      <c r="L29" s="29">
        <f>(90+40+25)/60</f>
        <v>2.5833333333333335</v>
      </c>
      <c r="M29" s="114"/>
      <c r="N29" s="29">
        <f>L29/10*100</f>
        <v>25.833333333333336</v>
      </c>
      <c r="O29" s="30"/>
      <c r="P29" s="29"/>
      <c r="Q29" s="114"/>
      <c r="R29" s="29">
        <f>P29/10*100</f>
        <v>0</v>
      </c>
      <c r="S29" s="30"/>
      <c r="T29" s="27">
        <f t="shared" si="2"/>
        <v>0</v>
      </c>
    </row>
    <row r="30" spans="1:20" s="7" customFormat="1" ht="20.100000000000001" customHeight="1">
      <c r="A30" s="156"/>
      <c r="B30" s="157"/>
      <c r="C30" s="158"/>
      <c r="D30" s="26">
        <f>D28+D29</f>
        <v>15.133333333333333</v>
      </c>
      <c r="E30" s="115">
        <f>D30+E27</f>
        <v>65.883333333333326</v>
      </c>
      <c r="F30" s="26">
        <f>(F28+F29)/2</f>
        <v>75.666666666666657</v>
      </c>
      <c r="G30" s="27">
        <f>E30/120*100</f>
        <v>54.902777777777764</v>
      </c>
      <c r="H30" s="26">
        <f>H28+H29</f>
        <v>2.2833333333333332</v>
      </c>
      <c r="I30" s="115">
        <f>H30+I27</f>
        <v>14.700000000000001</v>
      </c>
      <c r="J30" s="26">
        <f>(J28+J29)/2</f>
        <v>9.1666666666666661</v>
      </c>
      <c r="K30" s="27">
        <f>I30/120*100</f>
        <v>12.250000000000002</v>
      </c>
      <c r="L30" s="26">
        <f>L28+L29</f>
        <v>2.5833333333333335</v>
      </c>
      <c r="M30" s="115">
        <f>L30+M27</f>
        <v>3.7166666666666668</v>
      </c>
      <c r="N30" s="26">
        <f>(N28+N29)/2</f>
        <v>12.916666666666668</v>
      </c>
      <c r="O30" s="27">
        <f>M30/120*100</f>
        <v>3.0972222222222223</v>
      </c>
      <c r="P30" s="26">
        <f>P28+P29</f>
        <v>0</v>
      </c>
      <c r="Q30" s="115">
        <f>P30+Q27</f>
        <v>35.699999999999996</v>
      </c>
      <c r="R30" s="26">
        <f>(R28+R29)/2</f>
        <v>0</v>
      </c>
      <c r="S30" s="27">
        <f>Q30/120*100</f>
        <v>29.75</v>
      </c>
      <c r="T30" s="27">
        <f t="shared" si="2"/>
        <v>99.999999999999986</v>
      </c>
    </row>
    <row r="31" spans="1:20" s="7" customFormat="1" ht="20.100000000000001" customHeight="1">
      <c r="A31" s="165"/>
      <c r="B31" s="166"/>
      <c r="C31" s="353"/>
      <c r="D31" s="3"/>
      <c r="E31" s="354"/>
      <c r="F31" s="3"/>
      <c r="G31" s="355"/>
      <c r="H31" s="3"/>
      <c r="I31" s="354"/>
      <c r="J31" s="3"/>
      <c r="K31" s="355"/>
      <c r="L31" s="3"/>
      <c r="M31" s="354"/>
      <c r="N31" s="3"/>
      <c r="O31" s="355"/>
      <c r="P31" s="3"/>
      <c r="Q31" s="354"/>
      <c r="R31" s="3"/>
      <c r="S31" s="355"/>
      <c r="T31" s="102"/>
    </row>
    <row r="32" spans="1:20" s="7" customFormat="1" ht="15.95" customHeight="1">
      <c r="A32" s="159" t="s">
        <v>84</v>
      </c>
      <c r="B32" s="160"/>
      <c r="C32" s="161"/>
      <c r="D32" s="162"/>
      <c r="E32" s="163"/>
      <c r="F32" s="162"/>
      <c r="G32" s="295"/>
      <c r="H32" s="162"/>
      <c r="I32" s="163"/>
      <c r="J32" s="162"/>
      <c r="K32" s="164"/>
      <c r="L32" s="162"/>
      <c r="M32" s="163"/>
      <c r="N32" s="162"/>
      <c r="O32" s="164"/>
      <c r="P32" s="162"/>
      <c r="Q32" s="163"/>
      <c r="R32" s="162"/>
      <c r="S32" s="164"/>
      <c r="T32" s="102"/>
    </row>
    <row r="33" spans="1:20" s="7" customFormat="1" ht="15.95" customHeight="1">
      <c r="A33" s="165" t="s">
        <v>187</v>
      </c>
      <c r="B33" s="166"/>
      <c r="C33" s="167"/>
      <c r="D33" s="162"/>
      <c r="E33" s="163"/>
      <c r="F33" s="162"/>
      <c r="G33" s="164"/>
      <c r="H33" s="162"/>
      <c r="I33" s="165" t="s">
        <v>188</v>
      </c>
      <c r="J33" s="166"/>
      <c r="K33" s="170"/>
      <c r="L33" s="168"/>
      <c r="M33" s="169"/>
      <c r="N33" s="162"/>
      <c r="O33" s="164"/>
      <c r="P33" s="162"/>
      <c r="Q33" s="163"/>
      <c r="R33" s="162"/>
      <c r="S33" s="164"/>
      <c r="T33" s="102"/>
    </row>
    <row r="34" spans="1:20" s="7" customFormat="1" ht="15.95" customHeight="1">
      <c r="A34" s="171" t="s">
        <v>68</v>
      </c>
      <c r="B34" s="172"/>
      <c r="C34" s="171"/>
      <c r="D34" s="162"/>
      <c r="E34" s="163"/>
      <c r="F34" s="162"/>
      <c r="G34" s="164"/>
      <c r="H34" s="162"/>
      <c r="I34" s="171" t="s">
        <v>68</v>
      </c>
      <c r="J34" s="172"/>
      <c r="K34" s="171" t="s">
        <v>192</v>
      </c>
      <c r="L34" s="172"/>
      <c r="M34" s="171"/>
      <c r="N34" s="162"/>
      <c r="O34" s="164"/>
      <c r="P34" s="162"/>
      <c r="Q34" s="163"/>
      <c r="R34" s="162"/>
      <c r="S34" s="164"/>
      <c r="T34" s="102"/>
    </row>
    <row r="35" spans="1:20" s="7" customFormat="1" ht="15.95" customHeight="1">
      <c r="A35" s="171" t="s">
        <v>85</v>
      </c>
      <c r="B35" s="172"/>
      <c r="C35" s="171"/>
      <c r="D35" s="162"/>
      <c r="E35" s="163"/>
      <c r="F35" s="162"/>
      <c r="G35" s="164"/>
      <c r="H35" s="162"/>
      <c r="I35" s="171" t="s">
        <v>85</v>
      </c>
      <c r="J35" s="171"/>
      <c r="K35" s="171"/>
      <c r="L35" s="168"/>
      <c r="M35" s="169"/>
      <c r="N35" s="162"/>
      <c r="O35" s="164"/>
      <c r="P35" s="162"/>
      <c r="Q35" s="163"/>
      <c r="R35" s="162"/>
      <c r="S35" s="164"/>
      <c r="T35" s="102"/>
    </row>
    <row r="36" spans="1:20" s="7" customFormat="1" ht="15.95" customHeight="1">
      <c r="A36" s="171" t="s">
        <v>89</v>
      </c>
      <c r="B36" s="172"/>
      <c r="C36" s="171" t="s">
        <v>189</v>
      </c>
      <c r="D36" s="162"/>
      <c r="E36" s="163"/>
      <c r="F36" s="162"/>
      <c r="G36" s="164"/>
      <c r="H36" s="162"/>
      <c r="I36" s="171" t="s">
        <v>89</v>
      </c>
      <c r="J36" s="172"/>
      <c r="K36" s="285" t="s">
        <v>193</v>
      </c>
      <c r="L36" s="285"/>
      <c r="M36" s="286"/>
      <c r="N36" s="287"/>
      <c r="O36" s="288"/>
      <c r="P36" s="287"/>
      <c r="Q36" s="163"/>
      <c r="R36" s="162"/>
      <c r="S36" s="164"/>
      <c r="T36" s="102"/>
    </row>
    <row r="37" spans="1:20" s="7" customFormat="1" ht="15.95" hidden="1" customHeight="1">
      <c r="A37" s="171"/>
      <c r="B37" s="172"/>
      <c r="C37" s="171"/>
      <c r="D37" s="162"/>
      <c r="E37" s="163"/>
      <c r="F37" s="162"/>
      <c r="G37" s="164"/>
      <c r="H37" s="162"/>
      <c r="I37" s="171"/>
      <c r="J37" s="172"/>
      <c r="K37" s="171"/>
      <c r="L37" s="162"/>
      <c r="M37" s="163"/>
      <c r="N37" s="162"/>
      <c r="O37" s="288"/>
      <c r="P37" s="287"/>
      <c r="Q37" s="163"/>
      <c r="R37" s="162"/>
      <c r="S37" s="164"/>
      <c r="T37" s="102"/>
    </row>
    <row r="38" spans="1:20" s="7" customFormat="1" ht="15.95" customHeight="1">
      <c r="A38" s="171"/>
      <c r="B38" s="172"/>
      <c r="C38" s="171"/>
      <c r="D38" s="162"/>
      <c r="E38" s="163"/>
      <c r="F38" s="162"/>
      <c r="G38" s="164"/>
      <c r="H38" s="162"/>
      <c r="I38" s="171"/>
      <c r="J38" s="172"/>
      <c r="K38" s="171"/>
      <c r="L38" s="162"/>
      <c r="M38" s="163"/>
      <c r="N38" s="162"/>
      <c r="O38" s="288"/>
      <c r="P38" s="287"/>
      <c r="Q38" s="163"/>
      <c r="R38" s="162"/>
      <c r="S38" s="164"/>
      <c r="T38" s="102"/>
    </row>
    <row r="39" spans="1:20" s="7" customFormat="1" ht="15.95" customHeight="1">
      <c r="A39" s="159" t="s">
        <v>84</v>
      </c>
      <c r="B39" s="160"/>
      <c r="C39" s="161"/>
      <c r="D39" s="162"/>
      <c r="E39" s="163"/>
      <c r="F39" s="162"/>
      <c r="G39" s="295"/>
      <c r="H39" s="162"/>
      <c r="I39" s="163"/>
      <c r="J39" s="162"/>
      <c r="K39" s="171"/>
      <c r="L39" s="162"/>
      <c r="M39" s="163"/>
      <c r="N39" s="162"/>
      <c r="O39" s="288"/>
      <c r="P39" s="287"/>
      <c r="Q39" s="163"/>
      <c r="R39" s="162"/>
      <c r="S39" s="164"/>
      <c r="T39" s="102"/>
    </row>
    <row r="40" spans="1:20" s="7" customFormat="1" ht="15.95" customHeight="1">
      <c r="A40" s="165" t="s">
        <v>190</v>
      </c>
      <c r="B40" s="166"/>
      <c r="C40" s="167"/>
      <c r="D40" s="162"/>
      <c r="E40" s="163"/>
      <c r="F40" s="162"/>
      <c r="G40" s="164"/>
      <c r="H40" s="162"/>
      <c r="I40" s="165" t="s">
        <v>191</v>
      </c>
      <c r="J40" s="166"/>
      <c r="K40" s="171"/>
      <c r="L40" s="162"/>
      <c r="M40" s="163"/>
      <c r="N40" s="162"/>
      <c r="O40" s="288"/>
      <c r="P40" s="287"/>
      <c r="Q40" s="163"/>
      <c r="R40" s="162"/>
      <c r="S40" s="164"/>
      <c r="T40" s="102"/>
    </row>
    <row r="41" spans="1:20" s="7" customFormat="1" ht="15.95" customHeight="1">
      <c r="A41" s="171" t="s">
        <v>68</v>
      </c>
      <c r="B41" s="172"/>
      <c r="C41" s="171"/>
      <c r="D41" s="162"/>
      <c r="E41" s="163"/>
      <c r="F41" s="162"/>
      <c r="G41" s="164"/>
      <c r="H41" s="162"/>
      <c r="I41" s="171" t="s">
        <v>68</v>
      </c>
      <c r="J41" s="172"/>
      <c r="K41" s="171" t="s">
        <v>195</v>
      </c>
      <c r="L41" s="162"/>
      <c r="M41" s="163"/>
      <c r="N41" s="162"/>
      <c r="O41" s="288"/>
      <c r="P41" s="287"/>
      <c r="Q41" s="163"/>
      <c r="R41" s="162"/>
      <c r="S41" s="164"/>
      <c r="T41" s="102"/>
    </row>
    <row r="42" spans="1:20" s="7" customFormat="1" ht="15.95" customHeight="1">
      <c r="A42" s="171" t="s">
        <v>85</v>
      </c>
      <c r="B42" s="172"/>
      <c r="C42" s="171"/>
      <c r="D42" s="162"/>
      <c r="E42" s="163"/>
      <c r="F42" s="162"/>
      <c r="G42" s="164"/>
      <c r="H42" s="162"/>
      <c r="I42" s="171" t="s">
        <v>85</v>
      </c>
      <c r="J42" s="171"/>
      <c r="K42" s="171" t="s">
        <v>196</v>
      </c>
      <c r="L42" s="162"/>
      <c r="M42" s="163"/>
      <c r="N42" s="162"/>
      <c r="O42" s="288"/>
      <c r="P42" s="287"/>
      <c r="Q42" s="163"/>
      <c r="R42" s="162"/>
      <c r="S42" s="164"/>
      <c r="T42" s="102"/>
    </row>
    <row r="43" spans="1:20" s="7" customFormat="1" ht="15.95" customHeight="1">
      <c r="A43" s="171" t="s">
        <v>89</v>
      </c>
      <c r="B43" s="172"/>
      <c r="C43" s="171" t="s">
        <v>194</v>
      </c>
      <c r="D43" s="162"/>
      <c r="E43" s="163"/>
      <c r="F43" s="162"/>
      <c r="G43" s="164"/>
      <c r="H43" s="162"/>
      <c r="I43" s="171" t="s">
        <v>89</v>
      </c>
      <c r="J43" s="172"/>
      <c r="K43" s="171"/>
      <c r="L43" s="162"/>
      <c r="M43" s="163"/>
      <c r="N43" s="162"/>
      <c r="O43" s="288"/>
      <c r="P43" s="287"/>
      <c r="Q43" s="163"/>
      <c r="R43" s="162"/>
      <c r="S43" s="164"/>
      <c r="T43" s="102"/>
    </row>
    <row r="44" spans="1:20" s="7" customFormat="1" ht="15.95" customHeight="1">
      <c r="A44" s="171"/>
      <c r="B44" s="172"/>
      <c r="C44" s="171"/>
      <c r="D44" s="162"/>
      <c r="E44" s="163"/>
      <c r="F44" s="162"/>
      <c r="G44" s="164"/>
      <c r="H44" s="162"/>
      <c r="I44" s="171"/>
      <c r="J44" s="172"/>
      <c r="K44" s="171"/>
      <c r="L44" s="162"/>
      <c r="M44" s="163"/>
      <c r="N44" s="162"/>
      <c r="O44" s="288"/>
      <c r="P44" s="287"/>
      <c r="Q44" s="163"/>
      <c r="R44" s="162"/>
      <c r="S44" s="164"/>
      <c r="T44" s="102"/>
    </row>
    <row r="45" spans="1:20" s="7" customFormat="1" ht="15.95" customHeight="1">
      <c r="A45" s="159" t="s">
        <v>84</v>
      </c>
      <c r="B45" s="160"/>
      <c r="C45" s="161"/>
      <c r="D45" s="162"/>
      <c r="E45" s="163"/>
      <c r="F45" s="162"/>
      <c r="G45" s="295"/>
      <c r="H45" s="162"/>
      <c r="I45" s="163"/>
      <c r="J45" s="162"/>
      <c r="K45" s="171"/>
      <c r="L45" s="162"/>
      <c r="M45" s="163"/>
      <c r="N45" s="162"/>
      <c r="O45" s="288"/>
      <c r="P45" s="287"/>
      <c r="Q45" s="163"/>
      <c r="R45" s="162"/>
      <c r="S45" s="164"/>
      <c r="T45" s="102"/>
    </row>
    <row r="46" spans="1:20" s="7" customFormat="1" ht="15.95" customHeight="1">
      <c r="A46" s="165" t="s">
        <v>197</v>
      </c>
      <c r="B46" s="166"/>
      <c r="C46" s="167"/>
      <c r="D46" s="162"/>
      <c r="E46" s="163"/>
      <c r="F46" s="162"/>
      <c r="G46" s="164"/>
      <c r="H46" s="162"/>
      <c r="I46" s="165" t="s">
        <v>198</v>
      </c>
      <c r="J46" s="166"/>
      <c r="K46" s="171"/>
      <c r="L46" s="162"/>
      <c r="M46" s="163"/>
      <c r="N46" s="162"/>
      <c r="O46" s="288"/>
      <c r="P46" s="287"/>
      <c r="Q46" s="163"/>
      <c r="R46" s="162"/>
      <c r="S46" s="164"/>
      <c r="T46" s="102"/>
    </row>
    <row r="47" spans="1:20" s="7" customFormat="1" ht="15.95" customHeight="1">
      <c r="A47" s="171" t="s">
        <v>68</v>
      </c>
      <c r="B47" s="172"/>
      <c r="C47" s="171"/>
      <c r="D47" s="162"/>
      <c r="E47" s="163"/>
      <c r="F47" s="162"/>
      <c r="G47" s="164"/>
      <c r="H47" s="162"/>
      <c r="I47" s="171" t="s">
        <v>68</v>
      </c>
      <c r="J47" s="172"/>
      <c r="K47" s="171" t="s">
        <v>199</v>
      </c>
      <c r="L47" s="162"/>
      <c r="M47" s="163"/>
      <c r="N47" s="162"/>
      <c r="O47" s="288"/>
      <c r="P47" s="287"/>
      <c r="Q47" s="163"/>
      <c r="R47" s="162"/>
      <c r="S47" s="164"/>
      <c r="T47" s="102"/>
    </row>
    <row r="48" spans="1:20" s="7" customFormat="1" ht="15.95" customHeight="1">
      <c r="A48" s="171" t="s">
        <v>85</v>
      </c>
      <c r="B48" s="172"/>
      <c r="C48" s="171"/>
      <c r="D48" s="162"/>
      <c r="E48" s="163"/>
      <c r="F48" s="162"/>
      <c r="G48" s="164"/>
      <c r="H48" s="162"/>
      <c r="I48" s="171" t="s">
        <v>85</v>
      </c>
      <c r="J48" s="171"/>
      <c r="K48" s="171" t="s">
        <v>200</v>
      </c>
      <c r="L48" s="162"/>
      <c r="M48" s="163"/>
      <c r="N48" s="162"/>
      <c r="O48" s="288"/>
      <c r="P48" s="287"/>
      <c r="Q48" s="163"/>
      <c r="R48" s="162"/>
      <c r="S48" s="164"/>
      <c r="T48" s="102"/>
    </row>
    <row r="49" spans="1:20" s="7" customFormat="1" ht="15.95" customHeight="1">
      <c r="A49" s="171" t="s">
        <v>89</v>
      </c>
      <c r="B49" s="172"/>
      <c r="C49" s="171"/>
      <c r="D49" s="162"/>
      <c r="E49" s="163"/>
      <c r="F49" s="162"/>
      <c r="G49" s="164"/>
      <c r="H49" s="162"/>
      <c r="I49" s="171" t="s">
        <v>89</v>
      </c>
      <c r="J49" s="172"/>
      <c r="K49" s="171"/>
      <c r="L49" s="162"/>
      <c r="M49" s="163"/>
      <c r="N49" s="162"/>
      <c r="O49" s="288"/>
      <c r="P49" s="287"/>
      <c r="Q49" s="163"/>
      <c r="R49" s="162"/>
      <c r="S49" s="164"/>
      <c r="T49" s="102"/>
    </row>
    <row r="50" spans="1:20" s="7" customFormat="1" ht="15.95" customHeight="1">
      <c r="A50" s="171"/>
      <c r="B50" s="172"/>
      <c r="C50" s="171"/>
      <c r="D50" s="162"/>
      <c r="E50" s="163"/>
      <c r="F50" s="162"/>
      <c r="G50" s="164"/>
      <c r="H50" s="162"/>
      <c r="I50" s="171"/>
      <c r="J50" s="172"/>
      <c r="K50" s="171"/>
      <c r="L50" s="162"/>
      <c r="M50" s="163"/>
      <c r="N50" s="162"/>
      <c r="O50" s="288"/>
      <c r="P50" s="287"/>
      <c r="Q50" s="163"/>
      <c r="R50" s="162"/>
      <c r="S50" s="164"/>
      <c r="T50" s="102"/>
    </row>
    <row r="51" spans="1:20" s="7" customFormat="1" ht="15.95" customHeight="1">
      <c r="A51" s="171"/>
      <c r="B51" s="172"/>
      <c r="C51" s="171"/>
      <c r="D51" s="162"/>
      <c r="E51" s="163"/>
      <c r="F51" s="162"/>
      <c r="G51" s="164"/>
      <c r="H51" s="162"/>
      <c r="I51" s="171"/>
      <c r="J51" s="172"/>
      <c r="K51" s="171"/>
      <c r="L51" s="162"/>
      <c r="M51" s="163"/>
      <c r="N51" s="162"/>
      <c r="O51" s="288"/>
      <c r="P51" s="287"/>
      <c r="Q51" s="163"/>
      <c r="R51" s="162"/>
      <c r="S51" s="164"/>
      <c r="T51" s="102"/>
    </row>
    <row r="52" spans="1:20" s="7" customFormat="1" ht="15.95" customHeight="1">
      <c r="A52" s="171"/>
      <c r="B52" s="172"/>
      <c r="C52" s="171"/>
      <c r="D52" s="162"/>
      <c r="E52" s="163"/>
      <c r="F52" s="162"/>
      <c r="G52" s="164"/>
      <c r="H52" s="162"/>
      <c r="I52" s="171"/>
      <c r="J52" s="172"/>
      <c r="K52" s="171"/>
      <c r="L52" s="162"/>
      <c r="M52" s="163"/>
      <c r="N52" s="162"/>
      <c r="O52" s="288"/>
      <c r="P52" s="287"/>
      <c r="Q52" s="163"/>
      <c r="R52" s="162"/>
      <c r="S52" s="164"/>
      <c r="T52" s="102"/>
    </row>
    <row r="53" spans="1:20" s="7" customFormat="1" ht="24.75" customHeight="1">
      <c r="A53" s="171"/>
      <c r="B53" s="172"/>
      <c r="C53" s="718" t="s">
        <v>25</v>
      </c>
      <c r="D53" s="718"/>
      <c r="E53" s="718"/>
      <c r="F53" s="718"/>
      <c r="G53" s="173"/>
      <c r="H53" s="174"/>
      <c r="I53" s="171"/>
      <c r="J53" s="172"/>
      <c r="K53" s="171"/>
      <c r="L53" s="162"/>
      <c r="M53" s="163"/>
      <c r="N53" s="162"/>
      <c r="O53" s="718" t="s">
        <v>24</v>
      </c>
      <c r="P53" s="718"/>
      <c r="Q53" s="718"/>
      <c r="R53" s="718"/>
      <c r="S53" s="718"/>
      <c r="T53" s="10"/>
    </row>
    <row r="54" spans="1:20" s="7" customFormat="1" ht="24.75" customHeight="1">
      <c r="A54" s="171"/>
      <c r="B54" s="172"/>
      <c r="C54" s="47"/>
      <c r="D54" s="47"/>
      <c r="E54" s="47"/>
      <c r="F54" s="47"/>
      <c r="G54" s="13"/>
      <c r="H54" s="2"/>
      <c r="I54" s="122"/>
      <c r="J54" s="5"/>
      <c r="K54" s="20"/>
      <c r="L54" s="19"/>
      <c r="M54" s="122"/>
      <c r="N54" s="2"/>
      <c r="O54" s="47"/>
      <c r="P54" s="47"/>
      <c r="Q54" s="47"/>
      <c r="R54" s="47"/>
      <c r="S54" s="47"/>
      <c r="T54" s="10"/>
    </row>
    <row r="55" spans="1:20" s="7" customFormat="1" ht="18" customHeight="1">
      <c r="A55" s="159"/>
      <c r="B55" s="160"/>
      <c r="C55" s="11"/>
      <c r="D55" s="11"/>
      <c r="E55" s="116"/>
      <c r="F55" s="5"/>
      <c r="G55" s="12"/>
      <c r="H55" s="2"/>
      <c r="I55" s="122"/>
      <c r="J55" s="5"/>
      <c r="K55" s="5"/>
      <c r="L55" s="18"/>
      <c r="M55" s="113"/>
      <c r="N55" s="5"/>
      <c r="O55" s="14"/>
      <c r="P55" s="53"/>
      <c r="Q55" s="123"/>
      <c r="R55" s="53"/>
      <c r="S55" s="53"/>
      <c r="T55" s="10"/>
    </row>
    <row r="56" spans="1:20" s="7" customFormat="1" ht="18" customHeight="1">
      <c r="A56" s="171"/>
      <c r="B56" s="332"/>
      <c r="C56" s="719" t="s">
        <v>61</v>
      </c>
      <c r="D56" s="719"/>
      <c r="E56" s="719"/>
      <c r="F56" s="719"/>
      <c r="G56" s="12"/>
      <c r="H56" s="5"/>
      <c r="I56" s="113"/>
      <c r="J56" s="5"/>
      <c r="K56" s="5"/>
      <c r="L56" s="18"/>
      <c r="M56" s="113"/>
      <c r="N56" s="5"/>
      <c r="O56" s="719" t="s">
        <v>28</v>
      </c>
      <c r="P56" s="719"/>
      <c r="Q56" s="719"/>
      <c r="R56" s="719"/>
      <c r="S56" s="719"/>
      <c r="T56" s="10"/>
    </row>
    <row r="57" spans="1:20" s="7" customFormat="1" ht="18" customHeight="1">
      <c r="A57" s="257"/>
      <c r="B57" s="5"/>
      <c r="C57" s="126"/>
      <c r="D57" s="31"/>
      <c r="E57" s="117"/>
      <c r="F57" s="5"/>
      <c r="G57" s="12"/>
      <c r="H57" s="5"/>
      <c r="I57" s="113"/>
      <c r="J57" s="5"/>
      <c r="K57" s="5"/>
      <c r="L57" s="18"/>
      <c r="M57" s="113"/>
      <c r="N57" s="5"/>
      <c r="O57" s="5"/>
      <c r="P57" s="31"/>
      <c r="Q57" s="117"/>
      <c r="R57" s="31"/>
      <c r="S57" s="5"/>
      <c r="T57" s="10"/>
    </row>
    <row r="58" spans="1:20" s="7" customFormat="1" ht="18" customHeight="1">
      <c r="A58" s="24"/>
      <c r="B58" s="258"/>
      <c r="C58" s="258"/>
      <c r="D58" s="5"/>
      <c r="E58" s="113"/>
      <c r="F58" s="5"/>
      <c r="G58" s="12"/>
      <c r="H58" s="5"/>
      <c r="I58" s="113"/>
      <c r="J58" s="5"/>
      <c r="K58" s="5"/>
      <c r="L58" s="18"/>
      <c r="M58" s="113"/>
      <c r="N58" s="5"/>
      <c r="O58" s="5"/>
      <c r="P58" s="5"/>
      <c r="Q58" s="113"/>
      <c r="R58" s="5"/>
      <c r="S58" s="5"/>
      <c r="T58" s="10"/>
    </row>
    <row r="59" spans="1:20" s="7" customFormat="1" ht="18" customHeight="1">
      <c r="A59" s="24"/>
      <c r="B59" s="259"/>
      <c r="C59" s="259"/>
      <c r="D59" s="5"/>
      <c r="E59" s="113"/>
      <c r="F59" s="5"/>
      <c r="G59" s="12"/>
      <c r="H59" s="5"/>
      <c r="I59" s="113"/>
      <c r="J59" s="5"/>
      <c r="K59" s="5"/>
      <c r="L59" s="18"/>
      <c r="M59" s="113"/>
      <c r="N59" s="5"/>
      <c r="O59" s="5"/>
      <c r="P59" s="5"/>
      <c r="Q59" s="113"/>
      <c r="R59" s="5"/>
      <c r="S59" s="5"/>
      <c r="T59" s="10"/>
    </row>
    <row r="60" spans="1:20" s="7" customFormat="1" ht="18" customHeight="1">
      <c r="A60" s="25"/>
      <c r="B60" s="5"/>
      <c r="C60" s="5"/>
      <c r="D60" s="5"/>
      <c r="E60" s="113"/>
      <c r="F60" s="5"/>
      <c r="G60" s="12"/>
      <c r="H60" s="5"/>
      <c r="I60" s="113"/>
      <c r="J60" s="5"/>
      <c r="K60" s="5"/>
      <c r="L60" s="18"/>
      <c r="M60" s="113"/>
      <c r="N60" s="5"/>
      <c r="O60" s="5"/>
      <c r="P60" s="5"/>
      <c r="Q60" s="113"/>
      <c r="R60" s="5"/>
      <c r="S60" s="5"/>
      <c r="T60" s="10"/>
    </row>
    <row r="61" spans="1:20" s="7" customFormat="1" ht="18" customHeight="1">
      <c r="A61" s="25"/>
      <c r="B61" s="5"/>
      <c r="C61" s="5"/>
      <c r="D61" s="5"/>
      <c r="E61" s="113"/>
      <c r="F61" s="5"/>
      <c r="G61" s="12"/>
      <c r="H61" s="5"/>
      <c r="I61" s="113"/>
      <c r="J61" s="5"/>
      <c r="K61" s="5"/>
      <c r="L61" s="18"/>
      <c r="M61" s="113"/>
      <c r="N61" s="5"/>
      <c r="O61" s="5"/>
      <c r="P61" s="5"/>
      <c r="Q61" s="113"/>
      <c r="R61" s="5"/>
      <c r="S61" s="5"/>
      <c r="T61" s="10"/>
    </row>
    <row r="62" spans="1:20" s="7" customFormat="1" ht="18" customHeight="1">
      <c r="A62" s="25"/>
      <c r="B62" s="5"/>
      <c r="C62" s="5"/>
      <c r="D62" s="5"/>
      <c r="E62" s="113"/>
      <c r="F62" s="5"/>
      <c r="G62" s="12"/>
      <c r="H62" s="5"/>
      <c r="I62" s="113"/>
      <c r="J62" s="5"/>
      <c r="K62" s="5"/>
      <c r="L62" s="18"/>
      <c r="M62" s="113"/>
      <c r="N62" s="5"/>
      <c r="O62" s="5"/>
      <c r="P62" s="5"/>
      <c r="Q62" s="113"/>
      <c r="R62" s="5"/>
      <c r="S62" s="5"/>
      <c r="T62" s="10"/>
    </row>
    <row r="63" spans="1:20" s="7" customFormat="1" ht="18" customHeight="1">
      <c r="A63" s="25"/>
      <c r="B63" s="5"/>
      <c r="C63" s="5"/>
      <c r="D63" s="5"/>
      <c r="E63" s="113"/>
      <c r="F63" s="5"/>
      <c r="G63" s="12"/>
      <c r="H63" s="5"/>
      <c r="I63" s="113"/>
      <c r="J63" s="5"/>
      <c r="K63" s="5"/>
      <c r="L63" s="18"/>
      <c r="M63" s="113"/>
      <c r="N63" s="5"/>
      <c r="O63" s="5"/>
      <c r="P63" s="5"/>
      <c r="Q63" s="113"/>
      <c r="R63" s="5"/>
      <c r="S63" s="5"/>
      <c r="T63" s="10"/>
    </row>
    <row r="64" spans="1:20" s="7" customFormat="1" ht="18" customHeight="1">
      <c r="A64" s="25"/>
      <c r="B64" s="5"/>
      <c r="C64" s="5"/>
      <c r="D64" s="5"/>
      <c r="E64" s="113"/>
      <c r="F64" s="5"/>
      <c r="G64" s="12"/>
      <c r="H64" s="5"/>
      <c r="I64" s="113"/>
      <c r="J64" s="5"/>
      <c r="K64" s="5"/>
      <c r="L64" s="18"/>
      <c r="M64" s="113"/>
      <c r="N64" s="5"/>
      <c r="O64" s="5"/>
      <c r="P64" s="5"/>
      <c r="Q64" s="113"/>
      <c r="R64" s="5"/>
      <c r="S64" s="5"/>
      <c r="T64" s="10"/>
    </row>
    <row r="65" spans="1:20" s="7" customFormat="1" ht="18" customHeight="1">
      <c r="A65" s="25"/>
      <c r="B65" s="5"/>
      <c r="C65" s="5"/>
      <c r="D65" s="5"/>
      <c r="E65" s="113"/>
      <c r="F65" s="5"/>
      <c r="G65" s="12"/>
      <c r="H65" s="5"/>
      <c r="I65" s="113"/>
      <c r="J65" s="5"/>
      <c r="K65" s="5"/>
      <c r="L65" s="18"/>
      <c r="M65" s="113"/>
      <c r="N65" s="5"/>
      <c r="O65" s="5"/>
      <c r="P65" s="5"/>
      <c r="Q65" s="113"/>
      <c r="R65" s="5"/>
      <c r="S65" s="5"/>
      <c r="T65" s="10"/>
    </row>
    <row r="66" spans="1:20" s="7" customFormat="1" ht="18" customHeight="1">
      <c r="A66" s="25"/>
      <c r="B66" s="5"/>
      <c r="C66" s="5"/>
      <c r="D66" s="5"/>
      <c r="E66" s="113"/>
      <c r="F66" s="5"/>
      <c r="G66" s="12"/>
      <c r="H66" s="5"/>
      <c r="I66" s="113"/>
      <c r="J66" s="5"/>
      <c r="K66" s="5"/>
      <c r="L66" s="18"/>
      <c r="M66" s="113"/>
      <c r="N66" s="5"/>
      <c r="O66" s="5"/>
      <c r="P66" s="5"/>
      <c r="Q66" s="113"/>
      <c r="R66" s="5"/>
      <c r="S66" s="5"/>
      <c r="T66" s="10"/>
    </row>
    <row r="67" spans="1:20" s="7" customFormat="1" ht="18" customHeight="1">
      <c r="A67" s="25"/>
      <c r="B67" s="5"/>
      <c r="C67" s="5"/>
      <c r="D67" s="5"/>
      <c r="E67" s="113"/>
      <c r="F67" s="5"/>
      <c r="G67" s="12"/>
      <c r="H67" s="5"/>
      <c r="I67" s="113"/>
      <c r="J67" s="5"/>
      <c r="K67" s="5"/>
      <c r="L67" s="18"/>
      <c r="M67" s="113"/>
      <c r="N67" s="5"/>
      <c r="O67" s="5"/>
      <c r="P67" s="5"/>
      <c r="Q67" s="113"/>
      <c r="R67" s="5"/>
      <c r="S67" s="5"/>
      <c r="T67" s="10"/>
    </row>
    <row r="68" spans="1:20" s="7" customFormat="1" ht="18" customHeight="1">
      <c r="A68" s="25"/>
      <c r="B68" s="5"/>
      <c r="C68" s="5"/>
      <c r="D68" s="5"/>
      <c r="E68" s="113"/>
      <c r="F68" s="5"/>
      <c r="G68" s="12"/>
      <c r="H68" s="5"/>
      <c r="I68" s="113"/>
      <c r="J68" s="5"/>
      <c r="K68" s="5"/>
      <c r="L68" s="18"/>
      <c r="M68" s="113"/>
      <c r="N68" s="5"/>
      <c r="O68" s="5"/>
      <c r="P68" s="5"/>
      <c r="Q68" s="113"/>
      <c r="R68" s="5"/>
      <c r="S68" s="5"/>
      <c r="T68" s="10"/>
    </row>
    <row r="69" spans="1:20" s="7" customFormat="1" ht="18" customHeight="1">
      <c r="A69" s="25"/>
      <c r="B69" s="5"/>
      <c r="C69" s="5"/>
      <c r="D69" s="5"/>
      <c r="E69" s="113"/>
      <c r="F69" s="5"/>
      <c r="G69" s="12"/>
      <c r="H69" s="5"/>
      <c r="I69" s="113"/>
      <c r="J69" s="5"/>
      <c r="K69" s="5"/>
      <c r="L69" s="18"/>
      <c r="M69" s="113"/>
      <c r="N69" s="5"/>
      <c r="O69" s="5"/>
      <c r="P69" s="5"/>
      <c r="Q69" s="113"/>
      <c r="R69" s="5"/>
      <c r="S69" s="5"/>
      <c r="T69" s="10"/>
    </row>
    <row r="70" spans="1:20" s="7" customFormat="1" ht="18" customHeight="1">
      <c r="A70" s="25"/>
      <c r="B70" s="5"/>
      <c r="C70" s="5"/>
      <c r="D70" s="5"/>
      <c r="E70" s="113"/>
      <c r="F70" s="5"/>
      <c r="G70" s="12"/>
      <c r="H70" s="5"/>
      <c r="I70" s="113"/>
      <c r="J70" s="5"/>
      <c r="K70" s="5"/>
      <c r="L70" s="18"/>
      <c r="M70" s="113"/>
      <c r="N70" s="5"/>
      <c r="O70" s="5"/>
      <c r="P70" s="5"/>
      <c r="Q70" s="113"/>
      <c r="R70" s="5"/>
      <c r="S70" s="5"/>
      <c r="T70" s="10"/>
    </row>
    <row r="71" spans="1:20" s="7" customFormat="1" ht="18" customHeight="1">
      <c r="A71" s="25"/>
      <c r="B71" s="5"/>
      <c r="C71" s="5"/>
      <c r="D71" s="5"/>
      <c r="E71" s="113"/>
      <c r="F71" s="5"/>
      <c r="G71" s="12"/>
      <c r="H71" s="5"/>
      <c r="I71" s="113"/>
      <c r="J71" s="5"/>
      <c r="K71" s="5"/>
      <c r="L71" s="18"/>
      <c r="M71" s="113"/>
      <c r="N71" s="5"/>
      <c r="O71" s="5"/>
      <c r="P71" s="5"/>
      <c r="Q71" s="113"/>
      <c r="R71" s="5"/>
      <c r="S71" s="5"/>
      <c r="T71" s="10"/>
    </row>
    <row r="72" spans="1:20" s="7" customFormat="1" ht="18" customHeight="1">
      <c r="A72" s="21"/>
      <c r="B72" s="5"/>
      <c r="C72" s="14"/>
      <c r="D72" s="5" t="s">
        <v>65</v>
      </c>
      <c r="E72" s="118" t="s">
        <v>66</v>
      </c>
      <c r="F72" s="2" t="s">
        <v>69</v>
      </c>
      <c r="G72" s="13" t="s">
        <v>27</v>
      </c>
      <c r="H72" s="2" t="s">
        <v>1</v>
      </c>
      <c r="I72" s="118"/>
      <c r="J72" s="2" t="s">
        <v>76</v>
      </c>
      <c r="K72" s="13"/>
      <c r="L72" s="18"/>
      <c r="M72" s="118"/>
      <c r="N72" s="2"/>
      <c r="O72" s="13"/>
      <c r="P72" s="2"/>
      <c r="Q72" s="118"/>
      <c r="R72" s="2"/>
      <c r="S72" s="2"/>
      <c r="T72" s="10"/>
    </row>
    <row r="73" spans="1:20">
      <c r="A73" s="21"/>
      <c r="B73" s="5"/>
      <c r="C73" s="14" t="s">
        <v>36</v>
      </c>
      <c r="D73" s="2">
        <f>SUMIF($C$10:$C$35,C73,$H$10:$H$36)</f>
        <v>0</v>
      </c>
      <c r="E73" s="2">
        <f>SUMIF($C$10:$C$35,C73,$L$10:$L$72)</f>
        <v>0</v>
      </c>
      <c r="F73" s="2">
        <f>SUMIF($C$10:$C$35,C73,$P$10:$P$72)</f>
        <v>0</v>
      </c>
      <c r="G73" s="13">
        <f>SUM(D73:F73)</f>
        <v>0</v>
      </c>
      <c r="H73" s="2">
        <f>COUNTIF($C$10:$C$35,C73)</f>
        <v>0</v>
      </c>
      <c r="I73" s="118"/>
      <c r="J73" s="2">
        <f>H73*10</f>
        <v>0</v>
      </c>
      <c r="K73" s="13"/>
      <c r="L73" s="18"/>
      <c r="M73" s="118"/>
      <c r="N73" s="2"/>
      <c r="O73" s="13"/>
      <c r="P73" s="2"/>
      <c r="Q73" s="118"/>
      <c r="R73" s="2"/>
      <c r="S73" s="2"/>
    </row>
    <row r="74" spans="1:20">
      <c r="A74" s="22"/>
      <c r="B74" s="17"/>
      <c r="C74" s="17" t="s">
        <v>38</v>
      </c>
      <c r="D74" s="2">
        <f>SUMIF($C$10:$C$35,C74,$H$10:$H$36)</f>
        <v>0</v>
      </c>
      <c r="E74" s="2">
        <f>SUMIF($C$10:$C$35,C74,$L$10:$L$72)</f>
        <v>0</v>
      </c>
      <c r="F74" s="2">
        <f>SUMIF($C$10:$C$35,C74,$P$10:$P$72)</f>
        <v>0</v>
      </c>
      <c r="G74" s="13">
        <f>SUM(D74:F74)</f>
        <v>0</v>
      </c>
      <c r="H74" s="2">
        <f>COUNTIF($C$10:$C$35,C74)</f>
        <v>0</v>
      </c>
      <c r="I74" s="119"/>
      <c r="J74" s="2">
        <f>H74*10</f>
        <v>0</v>
      </c>
      <c r="K74" s="17"/>
      <c r="L74" s="18"/>
      <c r="M74" s="119"/>
      <c r="N74" s="17"/>
      <c r="O74" s="17"/>
      <c r="P74" s="17"/>
      <c r="Q74" s="119"/>
      <c r="R74" s="717"/>
      <c r="S74" s="3"/>
    </row>
    <row r="75" spans="1:20">
      <c r="A75" s="22"/>
      <c r="B75" s="17"/>
      <c r="C75" s="17" t="s">
        <v>47</v>
      </c>
      <c r="D75" s="2">
        <f>SUMIF($C$10:$C$35,C75,$H$10:$H$36)</f>
        <v>0</v>
      </c>
      <c r="E75" s="2">
        <f>SUMIF($C$10:$C$35,C75,$L$10:$L$72)</f>
        <v>0</v>
      </c>
      <c r="F75" s="2">
        <f>SUMIF($C$10:$C$35,C75,$P$10:$P$72)</f>
        <v>0</v>
      </c>
      <c r="G75" s="13">
        <f>SUM(D75:F75)</f>
        <v>0</v>
      </c>
      <c r="H75" s="2">
        <f>COUNTIF($C$10:$C$35,C75)</f>
        <v>0</v>
      </c>
      <c r="I75" s="119"/>
      <c r="J75" s="2">
        <f>H75*10</f>
        <v>0</v>
      </c>
      <c r="K75" s="17"/>
      <c r="L75" s="18"/>
      <c r="M75" s="119"/>
      <c r="N75" s="17"/>
      <c r="O75" s="17"/>
      <c r="P75" s="17"/>
      <c r="Q75" s="119"/>
      <c r="R75" s="717"/>
      <c r="S75" s="3"/>
    </row>
    <row r="76" spans="1:20">
      <c r="A76" s="21"/>
      <c r="B76" s="8"/>
      <c r="C76" s="53" t="s">
        <v>37</v>
      </c>
      <c r="D76" s="2">
        <f>SUMIF($C$10:$C$35,C76,$H$10:$H$36)</f>
        <v>0</v>
      </c>
      <c r="E76" s="2">
        <f>SUMIF($C$10:$C$35,C76,$L$10:$L$72)</f>
        <v>0</v>
      </c>
      <c r="F76" s="2">
        <f>SUMIF($C$10:$C$35,C76,$P$10:$P$72)</f>
        <v>0</v>
      </c>
      <c r="G76" s="13">
        <f>SUM(D76:F76)</f>
        <v>0</v>
      </c>
      <c r="H76" s="2">
        <f>COUNTIF($C$10:$C$35,C76)</f>
        <v>0</v>
      </c>
      <c r="I76" s="120"/>
      <c r="J76" s="2">
        <f>H76*10</f>
        <v>0</v>
      </c>
      <c r="K76" s="3"/>
      <c r="L76" s="18"/>
      <c r="M76" s="120"/>
      <c r="N76" s="3"/>
      <c r="O76" s="3"/>
      <c r="P76" s="3"/>
      <c r="Q76" s="120"/>
      <c r="R76" s="3"/>
      <c r="S76" s="3"/>
    </row>
    <row r="77" spans="1:20">
      <c r="A77" s="21"/>
      <c r="B77" s="5"/>
      <c r="C77" s="12"/>
      <c r="D77" s="5"/>
      <c r="E77" s="118"/>
      <c r="F77" s="2"/>
      <c r="G77" s="13"/>
      <c r="H77" s="13"/>
      <c r="I77" s="13"/>
      <c r="J77" s="13">
        <f>SUM(J73:J76)</f>
        <v>0</v>
      </c>
      <c r="K77" s="13"/>
      <c r="L77" s="18"/>
      <c r="M77" s="118"/>
      <c r="N77" s="2"/>
      <c r="O77" s="13"/>
      <c r="P77" s="2"/>
      <c r="Q77" s="118"/>
      <c r="R77" s="2"/>
      <c r="S77" s="13"/>
    </row>
    <row r="78" spans="1:20">
      <c r="A78" s="21"/>
      <c r="B78" s="5"/>
      <c r="C78" s="12"/>
      <c r="D78" s="2">
        <f>SUM(D73:D77)</f>
        <v>0</v>
      </c>
      <c r="E78" s="2">
        <f>SUM(E73:E77)</f>
        <v>0</v>
      </c>
      <c r="F78" s="2">
        <f>SUM(F73:F77)</f>
        <v>0</v>
      </c>
      <c r="G78" s="13"/>
      <c r="H78" s="2"/>
      <c r="I78" s="118"/>
      <c r="J78" s="2" t="e">
        <f>G77/J77*100</f>
        <v>#DIV/0!</v>
      </c>
      <c r="K78" s="13"/>
      <c r="L78" s="2"/>
      <c r="M78" s="118"/>
      <c r="N78" s="2"/>
      <c r="O78" s="13"/>
      <c r="P78" s="2"/>
      <c r="Q78" s="118"/>
      <c r="R78" s="2"/>
      <c r="S78" s="13"/>
    </row>
    <row r="79" spans="1:20">
      <c r="A79" s="21"/>
      <c r="B79" s="5"/>
      <c r="C79" s="12"/>
      <c r="D79" s="5"/>
      <c r="E79" s="118"/>
      <c r="F79" s="2"/>
      <c r="G79" s="13"/>
      <c r="H79" s="2"/>
      <c r="I79" s="118"/>
      <c r="J79" s="2"/>
      <c r="K79" s="13"/>
      <c r="L79" s="2"/>
      <c r="M79" s="118"/>
      <c r="N79" s="2"/>
      <c r="O79" s="13"/>
      <c r="P79" s="2"/>
      <c r="Q79" s="118"/>
      <c r="R79" s="2"/>
      <c r="S79" s="13"/>
    </row>
    <row r="80" spans="1:20">
      <c r="A80" s="21"/>
      <c r="B80" s="8"/>
      <c r="C80" s="11"/>
      <c r="D80" s="8"/>
      <c r="E80" s="120"/>
      <c r="F80" s="3"/>
      <c r="G80" s="15"/>
      <c r="H80" s="3"/>
      <c r="I80" s="120"/>
      <c r="J80" s="3"/>
      <c r="K80" s="3"/>
      <c r="L80" s="3"/>
      <c r="M80" s="120"/>
      <c r="N80" s="3"/>
      <c r="O80" s="3"/>
      <c r="P80" s="3"/>
      <c r="Q80" s="120"/>
      <c r="R80" s="3"/>
      <c r="S80" s="3"/>
    </row>
    <row r="81" spans="1:19">
      <c r="A81" s="21"/>
      <c r="B81" s="5"/>
      <c r="C81" s="12"/>
      <c r="D81" s="5"/>
      <c r="E81" s="118"/>
      <c r="F81" s="2"/>
      <c r="G81" s="13"/>
      <c r="H81" s="2"/>
      <c r="I81" s="118"/>
      <c r="J81" s="2"/>
      <c r="K81" s="13"/>
      <c r="L81" s="2"/>
      <c r="M81" s="118"/>
      <c r="N81" s="2"/>
      <c r="O81" s="13"/>
      <c r="P81" s="2"/>
      <c r="Q81" s="118"/>
      <c r="R81" s="2"/>
      <c r="S81" s="13"/>
    </row>
    <row r="82" spans="1:19">
      <c r="A82" s="21"/>
      <c r="B82" s="8"/>
      <c r="C82" s="11"/>
      <c r="D82" s="8"/>
      <c r="E82" s="120"/>
      <c r="F82" s="3"/>
      <c r="G82" s="15"/>
      <c r="H82" s="3"/>
      <c r="I82" s="120"/>
      <c r="J82" s="3"/>
      <c r="K82" s="3"/>
      <c r="L82" s="3"/>
      <c r="M82" s="120"/>
      <c r="N82" s="3"/>
      <c r="O82" s="3"/>
      <c r="P82" s="3"/>
      <c r="Q82" s="120"/>
      <c r="R82" s="3"/>
      <c r="S82" s="3"/>
    </row>
    <row r="83" spans="1:19">
      <c r="A83" s="21"/>
      <c r="B83" s="8"/>
      <c r="C83" s="11"/>
      <c r="D83" s="8"/>
      <c r="E83" s="120"/>
      <c r="F83" s="3"/>
      <c r="G83" s="15"/>
      <c r="H83" s="3"/>
      <c r="I83" s="120"/>
      <c r="J83" s="3"/>
      <c r="K83" s="3"/>
      <c r="L83" s="3"/>
      <c r="M83" s="120"/>
      <c r="N83" s="3"/>
      <c r="O83" s="3"/>
      <c r="P83" s="3"/>
      <c r="Q83" s="120"/>
      <c r="R83" s="3"/>
      <c r="S83" s="3"/>
    </row>
    <row r="84" spans="1:19">
      <c r="A84" s="21"/>
      <c r="B84" s="8"/>
      <c r="C84" s="11"/>
      <c r="D84" s="8"/>
      <c r="E84" s="120"/>
      <c r="F84" s="3"/>
      <c r="G84" s="15"/>
      <c r="H84" s="3"/>
      <c r="I84" s="120"/>
      <c r="J84" s="3"/>
      <c r="K84" s="3"/>
      <c r="L84" s="3"/>
      <c r="M84" s="120"/>
      <c r="N84" s="3"/>
      <c r="O84" s="3"/>
      <c r="P84" s="3"/>
      <c r="Q84" s="120"/>
      <c r="R84" s="3"/>
      <c r="S84" s="3"/>
    </row>
    <row r="85" spans="1:19">
      <c r="A85" s="21"/>
      <c r="B85" s="5"/>
      <c r="C85" s="696"/>
      <c r="D85" s="696"/>
      <c r="E85" s="696"/>
      <c r="F85" s="5"/>
      <c r="G85" s="12"/>
      <c r="H85" s="5"/>
      <c r="I85" s="113"/>
      <c r="J85" s="5"/>
      <c r="K85" s="5"/>
      <c r="L85" s="5"/>
      <c r="M85" s="113"/>
      <c r="N85" s="5"/>
      <c r="O85" s="5"/>
      <c r="P85" s="696"/>
      <c r="Q85" s="696"/>
      <c r="R85" s="696"/>
      <c r="S85" s="5"/>
    </row>
    <row r="86" spans="1:19">
      <c r="A86" s="21"/>
      <c r="B86" s="5"/>
      <c r="C86" s="5"/>
      <c r="D86" s="5"/>
      <c r="E86" s="113"/>
      <c r="F86" s="5"/>
      <c r="G86" s="12"/>
      <c r="H86" s="5"/>
      <c r="I86" s="113"/>
      <c r="J86" s="5"/>
      <c r="K86" s="5"/>
      <c r="L86" s="5"/>
      <c r="M86" s="113"/>
      <c r="N86" s="5"/>
      <c r="O86" s="5"/>
      <c r="P86" s="5"/>
      <c r="Q86" s="113"/>
      <c r="R86" s="5"/>
      <c r="S86" s="5"/>
    </row>
    <row r="87" spans="1:19" ht="15.75">
      <c r="A87" s="21"/>
      <c r="B87" s="5"/>
      <c r="C87" s="715"/>
      <c r="D87" s="715"/>
      <c r="E87" s="715"/>
      <c r="F87" s="5"/>
      <c r="G87" s="12"/>
      <c r="H87" s="5"/>
      <c r="I87" s="113"/>
      <c r="J87" s="5"/>
      <c r="K87" s="5"/>
      <c r="L87" s="5"/>
      <c r="M87" s="113"/>
      <c r="N87" s="5"/>
      <c r="O87" s="5"/>
      <c r="P87" s="715"/>
      <c r="Q87" s="715"/>
      <c r="R87" s="715"/>
      <c r="S87" s="5"/>
    </row>
    <row r="88" spans="1:19">
      <c r="A88" s="21"/>
      <c r="B88" s="5"/>
      <c r="C88" s="5"/>
      <c r="D88" s="5"/>
      <c r="E88" s="113"/>
      <c r="F88" s="5"/>
      <c r="G88" s="12"/>
      <c r="H88" s="5"/>
      <c r="I88" s="113"/>
      <c r="J88" s="5"/>
      <c r="K88" s="5"/>
      <c r="L88" s="5"/>
      <c r="M88" s="113"/>
      <c r="N88" s="5"/>
      <c r="O88" s="5"/>
      <c r="P88" s="5"/>
      <c r="Q88" s="113"/>
      <c r="R88" s="5"/>
      <c r="S88" s="5"/>
    </row>
    <row r="89" spans="1:19">
      <c r="A89" s="23"/>
    </row>
    <row r="90" spans="1:19">
      <c r="A90" s="23"/>
    </row>
    <row r="91" spans="1:19">
      <c r="A91" s="23"/>
    </row>
    <row r="92" spans="1:19">
      <c r="A92" s="23"/>
    </row>
    <row r="93" spans="1:19">
      <c r="A93" s="23"/>
    </row>
    <row r="94" spans="1:19">
      <c r="A94" s="23"/>
    </row>
    <row r="95" spans="1:19">
      <c r="A95" s="23"/>
    </row>
    <row r="96" spans="1:19">
      <c r="A96" s="23"/>
    </row>
    <row r="97" spans="1:1">
      <c r="A97" s="23"/>
    </row>
    <row r="98" spans="1:1">
      <c r="A98" s="23"/>
    </row>
    <row r="99" spans="1:1">
      <c r="A99" s="23"/>
    </row>
    <row r="100" spans="1:1">
      <c r="A100" s="23"/>
    </row>
    <row r="101" spans="1:1">
      <c r="A101" s="23"/>
    </row>
    <row r="102" spans="1:1">
      <c r="A102" s="23"/>
    </row>
    <row r="103" spans="1:1">
      <c r="A103" s="23"/>
    </row>
    <row r="104" spans="1:1">
      <c r="A104" s="23"/>
    </row>
    <row r="105" spans="1:1">
      <c r="A105" s="23"/>
    </row>
    <row r="106" spans="1:1">
      <c r="A106" s="23"/>
    </row>
    <row r="107" spans="1:1">
      <c r="A107" s="23"/>
    </row>
    <row r="108" spans="1:1">
      <c r="A108" s="23"/>
    </row>
    <row r="109" spans="1:1">
      <c r="A109" s="23"/>
    </row>
    <row r="110" spans="1:1">
      <c r="A110" s="23"/>
    </row>
    <row r="111" spans="1:1">
      <c r="A111" s="23"/>
    </row>
    <row r="112" spans="1:1">
      <c r="A112" s="23"/>
    </row>
    <row r="113" spans="1:1">
      <c r="A113" s="23"/>
    </row>
    <row r="114" spans="1:1">
      <c r="A114" s="23"/>
    </row>
    <row r="115" spans="1:1">
      <c r="A115" s="23"/>
    </row>
    <row r="116" spans="1:1">
      <c r="A116" s="23"/>
    </row>
    <row r="117" spans="1:1">
      <c r="A117" s="23"/>
    </row>
    <row r="118" spans="1:1">
      <c r="A118" s="23"/>
    </row>
    <row r="119" spans="1:1">
      <c r="A119" s="23"/>
    </row>
    <row r="120" spans="1:1">
      <c r="A120" s="23"/>
    </row>
    <row r="121" spans="1:1">
      <c r="A121" s="23"/>
    </row>
    <row r="122" spans="1:1">
      <c r="A122" s="23"/>
    </row>
    <row r="123" spans="1:1">
      <c r="A123" s="23"/>
    </row>
    <row r="124" spans="1:1">
      <c r="A124" s="23"/>
    </row>
    <row r="125" spans="1:1">
      <c r="A125" s="23"/>
    </row>
  </sheetData>
  <mergeCells count="23">
    <mergeCell ref="F8:G8"/>
    <mergeCell ref="A4:R4"/>
    <mergeCell ref="A5:S5"/>
    <mergeCell ref="D7:G7"/>
    <mergeCell ref="H7:K7"/>
    <mergeCell ref="L7:O7"/>
    <mergeCell ref="P7:S7"/>
    <mergeCell ref="C87:E87"/>
    <mergeCell ref="P87:R87"/>
    <mergeCell ref="H8:I8"/>
    <mergeCell ref="J8:K8"/>
    <mergeCell ref="R74:R75"/>
    <mergeCell ref="C85:E85"/>
    <mergeCell ref="P85:R85"/>
    <mergeCell ref="C53:F53"/>
    <mergeCell ref="O53:S53"/>
    <mergeCell ref="C56:F56"/>
    <mergeCell ref="O56:S56"/>
    <mergeCell ref="L8:M8"/>
    <mergeCell ref="N8:O8"/>
    <mergeCell ref="P8:Q8"/>
    <mergeCell ref="R8:S8"/>
    <mergeCell ref="D8:E8"/>
  </mergeCells>
  <phoneticPr fontId="0" type="noConversion"/>
  <pageMargins left="0.37" right="0.23" top="0.46" bottom="0.26" header="0.45" footer="0.21"/>
  <pageSetup orientation="landscape" r:id="rId1"/>
  <headerFooter alignWithMargins="0">
    <oddHeader>&amp;R&amp;".VnTime, Bold"BM 05.16&amp;".VnTime,Regular"
&amp;".VnTime,  Italic"Ngµy hiÖu lùc : 01/10/03</oddHeader>
    <oddFooter>&amp;L&amp;".VnTime, Bold"&amp;UN¬i göi:&amp;".VnTime,Regular"&amp;U
               &amp;10Ban gi¸m ®èc
                   L­u Ph©n x­ëng c¸n</oddFooter>
  </headerFooter>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workbookViewId="0"/>
  </sheetViews>
  <sheetFormatPr defaultColWidth="7" defaultRowHeight="12.75"/>
  <cols>
    <col min="1" max="1" width="23" style="1" customWidth="1"/>
    <col min="2" max="2" width="1" style="1" customWidth="1"/>
    <col min="3" max="3" width="24.75" style="1" customWidth="1"/>
    <col min="4" max="16384" width="7" style="1"/>
  </cols>
  <sheetData>
    <row r="1" spans="1:3" ht="15">
      <c r="A1"/>
      <c r="C1"/>
    </row>
    <row r="2" spans="1:3" ht="15.75" thickBot="1">
      <c r="A2"/>
    </row>
    <row r="3" spans="1:3" ht="15.75" thickBot="1">
      <c r="A3"/>
      <c r="C3"/>
    </row>
    <row r="4" spans="1:3" ht="15">
      <c r="A4"/>
      <c r="C4" s="86"/>
    </row>
    <row r="5" spans="1:3" ht="15">
      <c r="C5" s="86"/>
    </row>
    <row r="6" spans="1:3" ht="15.75" thickBot="1">
      <c r="C6" s="86"/>
    </row>
    <row r="7" spans="1:3" ht="15">
      <c r="A7"/>
      <c r="C7" s="86"/>
    </row>
    <row r="8" spans="1:3" ht="15">
      <c r="A8"/>
      <c r="C8" s="86"/>
    </row>
    <row r="9" spans="1:3" ht="15">
      <c r="A9"/>
      <c r="C9" s="86"/>
    </row>
    <row r="10" spans="1:3" ht="15">
      <c r="A10"/>
      <c r="C10" s="86"/>
    </row>
    <row r="11" spans="1:3" ht="15.75" thickBot="1">
      <c r="A11"/>
      <c r="C11" s="86"/>
    </row>
    <row r="12" spans="1:3" ht="15">
      <c r="C12" s="86"/>
    </row>
    <row r="13" spans="1:3" ht="15.75" thickBot="1">
      <c r="C13" s="86"/>
    </row>
    <row r="14" spans="1:3" ht="15.75" thickBot="1">
      <c r="A14"/>
      <c r="C14" s="86"/>
    </row>
    <row r="15" spans="1:3" ht="15">
      <c r="A15" s="86"/>
    </row>
    <row r="16" spans="1:3" ht="15.75" thickBot="1">
      <c r="A16" s="86"/>
    </row>
    <row r="17" spans="1:3" ht="15.75" thickBot="1">
      <c r="A17" s="86"/>
      <c r="C17"/>
    </row>
    <row r="18" spans="1:3" ht="15">
      <c r="C18" s="86"/>
    </row>
    <row r="19" spans="1:3" ht="15">
      <c r="C19" s="86"/>
    </row>
    <row r="20" spans="1:3" ht="15">
      <c r="A20"/>
      <c r="C20" s="86"/>
    </row>
    <row r="21" spans="1:3" ht="15">
      <c r="A21" s="86"/>
      <c r="C21" s="86"/>
    </row>
    <row r="22" spans="1:3" ht="15">
      <c r="A22" s="86"/>
      <c r="C22" s="86"/>
    </row>
    <row r="23" spans="1:3" ht="15">
      <c r="A23" s="86"/>
      <c r="C23" s="86"/>
    </row>
    <row r="24" spans="1:3" ht="15">
      <c r="A24" s="86"/>
    </row>
    <row r="25" spans="1:3" ht="15">
      <c r="A25" s="86"/>
    </row>
    <row r="26" spans="1:3" ht="15.75" thickBot="1">
      <c r="A26" s="86"/>
      <c r="C26"/>
    </row>
    <row r="27" spans="1:3" ht="15">
      <c r="A27" s="86"/>
      <c r="C27" s="86"/>
    </row>
    <row r="28" spans="1:3" ht="15">
      <c r="A28" s="86"/>
      <c r="C28" s="86"/>
    </row>
    <row r="29" spans="1:3" ht="15">
      <c r="A29" s="86"/>
      <c r="C29" s="86"/>
    </row>
    <row r="30" spans="1:3" ht="15">
      <c r="A30" s="86"/>
      <c r="C30" s="86"/>
    </row>
    <row r="31" spans="1:3" ht="15">
      <c r="A31" s="86"/>
      <c r="C31" s="86"/>
    </row>
    <row r="32" spans="1:3" ht="15">
      <c r="A32" s="86"/>
      <c r="C32" s="86"/>
    </row>
    <row r="33" spans="1:3" ht="15">
      <c r="A33" s="86"/>
      <c r="C33" s="86"/>
    </row>
    <row r="34" spans="1:3" ht="15">
      <c r="A34" s="86"/>
      <c r="C34" s="86"/>
    </row>
    <row r="35" spans="1:3" ht="15">
      <c r="A35" s="86"/>
      <c r="C35" s="86"/>
    </row>
    <row r="36" spans="1:3" ht="15">
      <c r="A36" s="86"/>
      <c r="C36" s="86"/>
    </row>
    <row r="37" spans="1:3" ht="15">
      <c r="A37" s="86"/>
    </row>
    <row r="38" spans="1:3" ht="15">
      <c r="A38" s="86"/>
    </row>
    <row r="39" spans="1:3" ht="15">
      <c r="A39" s="86"/>
      <c r="C39" s="86"/>
    </row>
    <row r="40" spans="1:3" ht="15">
      <c r="A40" s="86"/>
      <c r="C40" s="86"/>
    </row>
    <row r="41" spans="1:3" ht="15">
      <c r="A41" s="86"/>
      <c r="C41" s="86"/>
    </row>
  </sheetData>
  <sheetProtection password="8863" sheet="1" objects="1"/>
  <phoneticPr fontId="0" type="noConversion"/>
  <pageMargins left="0.75" right="0.75" top="1" bottom="1" header="0.5" footer="0.5"/>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workbookViewId="0"/>
  </sheetViews>
  <sheetFormatPr defaultColWidth="7" defaultRowHeight="12.75"/>
  <cols>
    <col min="1" max="1" width="23" style="1" customWidth="1"/>
    <col min="2" max="2" width="1" style="1" customWidth="1"/>
    <col min="3" max="3" width="24.75" style="1" customWidth="1"/>
    <col min="4" max="16384" width="7" style="1"/>
  </cols>
  <sheetData>
    <row r="1" spans="1:3" ht="15">
      <c r="A1"/>
      <c r="C1"/>
    </row>
    <row r="2" spans="1:3" ht="15.75" thickBot="1">
      <c r="A2"/>
    </row>
    <row r="3" spans="1:3" ht="15.75" thickBot="1">
      <c r="A3"/>
      <c r="C3"/>
    </row>
    <row r="4" spans="1:3" ht="15">
      <c r="A4"/>
      <c r="C4"/>
    </row>
    <row r="5" spans="1:3" ht="15">
      <c r="C5"/>
    </row>
    <row r="6" spans="1:3" ht="15.75" thickBot="1">
      <c r="C6"/>
    </row>
    <row r="7" spans="1:3" ht="15">
      <c r="A7"/>
      <c r="C7"/>
    </row>
    <row r="8" spans="1:3" ht="15">
      <c r="A8"/>
      <c r="C8"/>
    </row>
    <row r="9" spans="1:3" ht="15">
      <c r="A9"/>
      <c r="C9"/>
    </row>
    <row r="10" spans="1:3" ht="15">
      <c r="A10"/>
      <c r="C10"/>
    </row>
    <row r="11" spans="1:3" ht="15.75" thickBot="1">
      <c r="A11"/>
      <c r="C11"/>
    </row>
    <row r="12" spans="1:3" ht="15">
      <c r="C12"/>
    </row>
    <row r="13" spans="1:3" ht="15.75" thickBot="1">
      <c r="C13"/>
    </row>
    <row r="14" spans="1:3" ht="15.75" thickBot="1">
      <c r="A14"/>
      <c r="C14"/>
    </row>
    <row r="15" spans="1:3" ht="15">
      <c r="A15"/>
    </row>
    <row r="16" spans="1:3" ht="15.75" thickBot="1">
      <c r="A16"/>
    </row>
    <row r="17" spans="1:3" ht="15.75" thickBot="1">
      <c r="A17"/>
      <c r="C17"/>
    </row>
    <row r="18" spans="1:3" ht="15">
      <c r="C18"/>
    </row>
    <row r="19" spans="1:3" ht="15">
      <c r="C19"/>
    </row>
    <row r="20" spans="1:3" ht="15">
      <c r="A20"/>
      <c r="C20"/>
    </row>
    <row r="21" spans="1:3" ht="15">
      <c r="A21"/>
      <c r="C21"/>
    </row>
    <row r="22" spans="1:3" ht="15">
      <c r="A22"/>
      <c r="C22"/>
    </row>
    <row r="23" spans="1:3" ht="15">
      <c r="A23"/>
      <c r="C23"/>
    </row>
    <row r="24" spans="1:3" ht="15">
      <c r="A24"/>
    </row>
    <row r="25" spans="1:3" ht="15">
      <c r="A25"/>
    </row>
    <row r="26" spans="1:3" ht="15.75" thickBot="1">
      <c r="A26"/>
      <c r="C26"/>
    </row>
    <row r="27" spans="1:3" ht="15">
      <c r="A27"/>
      <c r="C27"/>
    </row>
    <row r="28" spans="1:3" ht="15">
      <c r="A28"/>
      <c r="C28"/>
    </row>
    <row r="29" spans="1:3" ht="15">
      <c r="A29"/>
      <c r="C29"/>
    </row>
    <row r="30" spans="1:3" ht="15">
      <c r="A30"/>
      <c r="C30"/>
    </row>
    <row r="31" spans="1:3" ht="15">
      <c r="A31"/>
      <c r="C31"/>
    </row>
    <row r="32" spans="1:3" ht="15">
      <c r="A32"/>
      <c r="C32"/>
    </row>
    <row r="33" spans="1:3" ht="15">
      <c r="A33"/>
      <c r="C33"/>
    </row>
    <row r="34" spans="1:3" ht="15">
      <c r="A34"/>
      <c r="C34"/>
    </row>
    <row r="35" spans="1:3" ht="15">
      <c r="A35"/>
      <c r="C35"/>
    </row>
    <row r="36" spans="1:3" ht="15">
      <c r="A36"/>
      <c r="C36"/>
    </row>
    <row r="37" spans="1:3" ht="15">
      <c r="A37"/>
    </row>
    <row r="38" spans="1:3" ht="15">
      <c r="A38"/>
    </row>
    <row r="39" spans="1:3" ht="15">
      <c r="A39"/>
      <c r="C39"/>
    </row>
    <row r="40" spans="1:3" ht="15">
      <c r="A40"/>
      <c r="C40"/>
    </row>
    <row r="41" spans="1:3" ht="15">
      <c r="A41"/>
      <c r="C41"/>
    </row>
  </sheetData>
  <sheetProtection password="8863" sheet="1" objects="1"/>
  <phoneticPr fontId="0" type="noConversion"/>
  <pageMargins left="0.75" right="0.75" top="1" bottom="1" header="0.5" footer="0.5"/>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workbookViewId="0"/>
  </sheetViews>
  <sheetFormatPr defaultColWidth="7" defaultRowHeight="12.75"/>
  <cols>
    <col min="1" max="1" width="23" style="1" customWidth="1"/>
    <col min="2" max="2" width="1" style="1" customWidth="1"/>
    <col min="3" max="3" width="24.75" style="1" customWidth="1"/>
    <col min="4" max="16384" width="7" style="1"/>
  </cols>
  <sheetData>
    <row r="1" spans="1:3" ht="15">
      <c r="A1"/>
      <c r="C1"/>
    </row>
    <row r="2" spans="1:3" ht="15.75" thickBot="1">
      <c r="A2"/>
    </row>
    <row r="3" spans="1:3" ht="15.75" thickBot="1">
      <c r="A3"/>
      <c r="C3"/>
    </row>
    <row r="4" spans="1:3" ht="15">
      <c r="A4"/>
      <c r="C4" s="66"/>
    </row>
    <row r="5" spans="1:3" ht="15">
      <c r="C5" s="66"/>
    </row>
    <row r="6" spans="1:3" ht="15.75" thickBot="1">
      <c r="C6" s="66"/>
    </row>
    <row r="7" spans="1:3" ht="15">
      <c r="A7"/>
      <c r="C7" s="66"/>
    </row>
    <row r="8" spans="1:3" ht="15">
      <c r="A8"/>
      <c r="C8" s="66"/>
    </row>
    <row r="9" spans="1:3" ht="15">
      <c r="A9"/>
      <c r="C9" s="66"/>
    </row>
    <row r="10" spans="1:3" ht="15">
      <c r="A10"/>
      <c r="C10" s="66"/>
    </row>
    <row r="11" spans="1:3" ht="15.75" thickBot="1">
      <c r="A11"/>
      <c r="C11" s="66"/>
    </row>
    <row r="12" spans="1:3" ht="15">
      <c r="C12" s="66"/>
    </row>
    <row r="13" spans="1:3" ht="15.75" thickBot="1">
      <c r="C13" s="66"/>
    </row>
    <row r="14" spans="1:3" ht="15.75" thickBot="1">
      <c r="A14"/>
      <c r="C14" s="66"/>
    </row>
    <row r="15" spans="1:3" ht="15">
      <c r="A15" s="66"/>
    </row>
    <row r="16" spans="1:3" ht="15.75" thickBot="1">
      <c r="A16" s="66"/>
    </row>
    <row r="17" spans="1:3" ht="15.75" thickBot="1">
      <c r="A17" s="66"/>
      <c r="C17"/>
    </row>
    <row r="18" spans="1:3" ht="15">
      <c r="C18" s="66"/>
    </row>
    <row r="19" spans="1:3" ht="15">
      <c r="C19" s="66"/>
    </row>
    <row r="20" spans="1:3" ht="15">
      <c r="A20"/>
      <c r="C20" s="66"/>
    </row>
    <row r="21" spans="1:3" ht="15">
      <c r="A21" s="66"/>
      <c r="C21" s="66"/>
    </row>
    <row r="22" spans="1:3" ht="15">
      <c r="A22" s="66"/>
      <c r="C22" s="66"/>
    </row>
    <row r="23" spans="1:3" ht="15">
      <c r="A23" s="66"/>
      <c r="C23" s="66"/>
    </row>
    <row r="24" spans="1:3" ht="15">
      <c r="A24" s="66"/>
    </row>
    <row r="25" spans="1:3" ht="15">
      <c r="A25" s="66"/>
    </row>
    <row r="26" spans="1:3" ht="15.75" thickBot="1">
      <c r="A26" s="66"/>
      <c r="C26"/>
    </row>
    <row r="27" spans="1:3" ht="15">
      <c r="A27" s="66"/>
      <c r="C27" s="66"/>
    </row>
    <row r="28" spans="1:3" ht="15">
      <c r="A28" s="66"/>
      <c r="C28" s="66"/>
    </row>
    <row r="29" spans="1:3" ht="15">
      <c r="A29" s="66"/>
      <c r="C29" s="66"/>
    </row>
    <row r="30" spans="1:3" ht="15">
      <c r="A30" s="66"/>
      <c r="C30" s="66"/>
    </row>
    <row r="31" spans="1:3" ht="15">
      <c r="A31" s="66"/>
      <c r="C31" s="66"/>
    </row>
    <row r="32" spans="1:3" ht="15">
      <c r="A32" s="66"/>
      <c r="C32" s="66"/>
    </row>
    <row r="33" spans="1:3" ht="15">
      <c r="A33" s="66"/>
      <c r="C33" s="66"/>
    </row>
    <row r="34" spans="1:3" ht="15">
      <c r="A34" s="66"/>
      <c r="C34" s="66"/>
    </row>
    <row r="35" spans="1:3" ht="15">
      <c r="A35" s="66"/>
      <c r="C35" s="66"/>
    </row>
    <row r="36" spans="1:3" ht="15">
      <c r="A36" s="66"/>
      <c r="C36" s="66"/>
    </row>
    <row r="37" spans="1:3" ht="15">
      <c r="A37" s="66"/>
    </row>
    <row r="38" spans="1:3" ht="15">
      <c r="A38" s="66"/>
    </row>
    <row r="39" spans="1:3" ht="15">
      <c r="A39" s="66"/>
      <c r="C39" s="66"/>
    </row>
    <row r="40" spans="1:3" ht="15">
      <c r="A40" s="66"/>
      <c r="C40" s="66"/>
    </row>
    <row r="41" spans="1:3" ht="15">
      <c r="A41" s="66"/>
      <c r="C41" s="66"/>
    </row>
  </sheetData>
  <sheetProtection password="8863" sheet="1" objects="1"/>
  <phoneticPr fontId="0" type="noConversion"/>
  <pageMargins left="0.75" right="0.75" top="1" bottom="1" header="0.5" footer="0.5"/>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workbookViewId="0"/>
  </sheetViews>
  <sheetFormatPr defaultColWidth="7" defaultRowHeight="12.75"/>
  <cols>
    <col min="1" max="1" width="23" style="1" customWidth="1"/>
    <col min="2" max="2" width="1" style="1" customWidth="1"/>
    <col min="3" max="3" width="24.75" style="1" customWidth="1"/>
    <col min="4" max="16384" width="7" style="1"/>
  </cols>
  <sheetData>
    <row r="1" spans="1:3" ht="15">
      <c r="A1"/>
      <c r="C1"/>
    </row>
    <row r="2" spans="1:3" ht="15.75" thickBot="1">
      <c r="A2"/>
    </row>
    <row r="3" spans="1:3" ht="15.75" thickBot="1">
      <c r="A3"/>
      <c r="C3"/>
    </row>
    <row r="4" spans="1:3" ht="15">
      <c r="A4"/>
      <c r="C4" s="66"/>
    </row>
    <row r="5" spans="1:3" ht="15">
      <c r="C5" s="66"/>
    </row>
    <row r="6" spans="1:3" ht="15.75" thickBot="1">
      <c r="C6" s="66"/>
    </row>
    <row r="7" spans="1:3" ht="15">
      <c r="A7"/>
      <c r="C7" s="66"/>
    </row>
    <row r="8" spans="1:3" ht="15">
      <c r="A8"/>
      <c r="C8" s="66"/>
    </row>
    <row r="9" spans="1:3" ht="15">
      <c r="A9"/>
      <c r="C9" s="66"/>
    </row>
    <row r="10" spans="1:3" ht="15">
      <c r="A10"/>
      <c r="C10" s="66"/>
    </row>
    <row r="11" spans="1:3" ht="15.75" thickBot="1">
      <c r="A11"/>
      <c r="C11" s="66"/>
    </row>
    <row r="12" spans="1:3" ht="15">
      <c r="C12" s="66"/>
    </row>
    <row r="13" spans="1:3" ht="15.75" thickBot="1">
      <c r="C13" s="66"/>
    </row>
    <row r="14" spans="1:3" ht="15.75" thickBot="1">
      <c r="A14"/>
      <c r="C14" s="66"/>
    </row>
    <row r="15" spans="1:3" ht="15">
      <c r="A15" s="66"/>
    </row>
    <row r="16" spans="1:3" ht="15.75" thickBot="1">
      <c r="A16" s="66"/>
    </row>
    <row r="17" spans="1:3" ht="15.75" thickBot="1">
      <c r="A17" s="66"/>
      <c r="C17"/>
    </row>
    <row r="18" spans="1:3" ht="15">
      <c r="C18" s="66"/>
    </row>
    <row r="19" spans="1:3" ht="15">
      <c r="C19" s="66"/>
    </row>
    <row r="20" spans="1:3" ht="15">
      <c r="A20"/>
      <c r="C20" s="66"/>
    </row>
    <row r="21" spans="1:3" ht="15">
      <c r="A21" s="66"/>
      <c r="C21" s="66"/>
    </row>
    <row r="22" spans="1:3" ht="15">
      <c r="A22" s="66"/>
      <c r="C22" s="66"/>
    </row>
    <row r="23" spans="1:3" ht="15">
      <c r="A23" s="66"/>
      <c r="C23" s="66"/>
    </row>
    <row r="24" spans="1:3" ht="15">
      <c r="A24" s="66"/>
    </row>
    <row r="25" spans="1:3" ht="15">
      <c r="A25" s="66"/>
    </row>
    <row r="26" spans="1:3" ht="15.75" thickBot="1">
      <c r="A26" s="66"/>
      <c r="C26"/>
    </row>
    <row r="27" spans="1:3" ht="15">
      <c r="A27" s="66"/>
      <c r="C27" s="66"/>
    </row>
    <row r="28" spans="1:3" ht="15">
      <c r="A28" s="66"/>
      <c r="C28" s="66"/>
    </row>
    <row r="29" spans="1:3" ht="15">
      <c r="A29" s="66"/>
      <c r="C29" s="66"/>
    </row>
    <row r="30" spans="1:3" ht="15">
      <c r="A30" s="66"/>
      <c r="C30" s="66"/>
    </row>
    <row r="31" spans="1:3" ht="15">
      <c r="A31" s="66"/>
      <c r="C31" s="66"/>
    </row>
    <row r="32" spans="1:3" ht="15">
      <c r="A32" s="66"/>
      <c r="C32" s="66"/>
    </row>
    <row r="33" spans="1:3" ht="15">
      <c r="A33" s="66"/>
      <c r="C33" s="66"/>
    </row>
    <row r="34" spans="1:3" ht="15">
      <c r="A34" s="66"/>
      <c r="C34" s="66"/>
    </row>
    <row r="35" spans="1:3" ht="15">
      <c r="A35" s="66"/>
      <c r="C35" s="66"/>
    </row>
    <row r="36" spans="1:3" ht="15">
      <c r="A36" s="66"/>
      <c r="C36" s="66"/>
    </row>
    <row r="37" spans="1:3" ht="15">
      <c r="A37" s="66"/>
    </row>
    <row r="38" spans="1:3" ht="15">
      <c r="A38" s="66"/>
    </row>
    <row r="39" spans="1:3" ht="15">
      <c r="A39" s="66"/>
      <c r="C39" s="66"/>
    </row>
    <row r="40" spans="1:3" ht="15">
      <c r="A40" s="66"/>
      <c r="C40" s="66"/>
    </row>
    <row r="41" spans="1:3" ht="15">
      <c r="A41" s="66"/>
      <c r="C41" s="66"/>
    </row>
  </sheetData>
  <sheetProtection password="8863" sheet="1" objects="1"/>
  <phoneticPr fontId="0" type="noConversion"/>
  <pageMargins left="0.75" right="0.75" top="1" bottom="1" header="0.5" footer="0.5"/>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workbookViewId="0"/>
  </sheetViews>
  <sheetFormatPr defaultColWidth="7" defaultRowHeight="12.75"/>
  <cols>
    <col min="1" max="1" width="23" style="1" customWidth="1"/>
    <col min="2" max="2" width="1" style="1" customWidth="1"/>
    <col min="3" max="3" width="24.75" style="1" customWidth="1"/>
    <col min="4" max="16384" width="7" style="1"/>
  </cols>
  <sheetData>
    <row r="1" spans="1:3" ht="15">
      <c r="A1"/>
      <c r="C1"/>
    </row>
    <row r="2" spans="1:3" ht="15.75" thickBot="1">
      <c r="A2"/>
    </row>
    <row r="3" spans="1:3" ht="15.75" thickBot="1">
      <c r="A3"/>
      <c r="C3"/>
    </row>
    <row r="4" spans="1:3" ht="15">
      <c r="A4"/>
      <c r="C4" s="101"/>
    </row>
    <row r="5" spans="1:3" ht="15">
      <c r="C5" s="101"/>
    </row>
    <row r="6" spans="1:3" ht="15.75" thickBot="1">
      <c r="C6" s="101"/>
    </row>
    <row r="7" spans="1:3" ht="15">
      <c r="A7"/>
      <c r="C7" s="101"/>
    </row>
    <row r="8" spans="1:3" ht="15">
      <c r="A8"/>
      <c r="C8" s="101"/>
    </row>
    <row r="9" spans="1:3" ht="15">
      <c r="A9"/>
      <c r="C9" s="101"/>
    </row>
    <row r="10" spans="1:3" ht="15">
      <c r="A10"/>
      <c r="C10" s="101"/>
    </row>
    <row r="11" spans="1:3" ht="15.75" thickBot="1">
      <c r="A11"/>
      <c r="C11" s="101"/>
    </row>
    <row r="12" spans="1:3" ht="15">
      <c r="C12" s="101"/>
    </row>
    <row r="13" spans="1:3" ht="15.75" thickBot="1">
      <c r="C13" s="101"/>
    </row>
    <row r="14" spans="1:3" ht="15.75" thickBot="1">
      <c r="A14"/>
      <c r="C14" s="101"/>
    </row>
    <row r="15" spans="1:3" ht="15">
      <c r="A15" s="101"/>
    </row>
    <row r="16" spans="1:3" ht="15.75" thickBot="1">
      <c r="A16" s="101"/>
    </row>
    <row r="17" spans="1:3" ht="15.75" thickBot="1">
      <c r="A17" s="101"/>
      <c r="C17"/>
    </row>
    <row r="18" spans="1:3" ht="15">
      <c r="C18" s="101"/>
    </row>
    <row r="19" spans="1:3" ht="15">
      <c r="C19" s="101"/>
    </row>
    <row r="20" spans="1:3" ht="15">
      <c r="A20"/>
      <c r="C20" s="101"/>
    </row>
    <row r="21" spans="1:3" ht="15">
      <c r="A21" s="101"/>
      <c r="C21" s="101"/>
    </row>
    <row r="22" spans="1:3" ht="15">
      <c r="A22" s="101"/>
      <c r="C22" s="101"/>
    </row>
    <row r="23" spans="1:3" ht="15">
      <c r="A23" s="101"/>
      <c r="C23" s="101"/>
    </row>
    <row r="24" spans="1:3" ht="15">
      <c r="A24" s="101"/>
    </row>
    <row r="25" spans="1:3" ht="15">
      <c r="A25" s="101"/>
    </row>
    <row r="26" spans="1:3" ht="15.75" thickBot="1">
      <c r="A26" s="101"/>
      <c r="C26"/>
    </row>
    <row r="27" spans="1:3" ht="15">
      <c r="A27" s="101"/>
      <c r="C27" s="101"/>
    </row>
    <row r="28" spans="1:3" ht="15">
      <c r="A28" s="101"/>
      <c r="C28" s="101"/>
    </row>
    <row r="29" spans="1:3" ht="15">
      <c r="A29" s="101"/>
      <c r="C29" s="101"/>
    </row>
    <row r="30" spans="1:3" ht="15">
      <c r="A30" s="101"/>
      <c r="C30" s="101"/>
    </row>
    <row r="31" spans="1:3" ht="15">
      <c r="A31" s="101"/>
      <c r="C31" s="101"/>
    </row>
    <row r="32" spans="1:3" ht="15">
      <c r="A32" s="101"/>
      <c r="C32" s="101"/>
    </row>
    <row r="33" spans="1:3" ht="15">
      <c r="A33" s="101"/>
      <c r="C33" s="101"/>
    </row>
    <row r="34" spans="1:3" ht="15">
      <c r="A34" s="101"/>
      <c r="C34" s="101"/>
    </row>
    <row r="35" spans="1:3" ht="15">
      <c r="A35" s="101"/>
      <c r="C35" s="101"/>
    </row>
    <row r="36" spans="1:3" ht="15">
      <c r="A36" s="101"/>
      <c r="C36" s="101"/>
    </row>
    <row r="37" spans="1:3" ht="15">
      <c r="A37" s="101"/>
    </row>
    <row r="38" spans="1:3" ht="15">
      <c r="A38" s="101"/>
    </row>
    <row r="39" spans="1:3" ht="15">
      <c r="A39" s="101"/>
      <c r="C39" s="101"/>
    </row>
    <row r="40" spans="1:3" ht="15">
      <c r="A40" s="101"/>
      <c r="C40" s="101"/>
    </row>
    <row r="41" spans="1:3" ht="15">
      <c r="A41" s="101"/>
      <c r="C41" s="101"/>
    </row>
  </sheetData>
  <sheetProtection password="8863" sheet="1" objects="1"/>
  <phoneticPr fontId="0" type="noConversion"/>
  <pageMargins left="0.75" right="0.75" top="1" bottom="1" header="0.5" footer="0.5"/>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workbookViewId="0"/>
  </sheetViews>
  <sheetFormatPr defaultColWidth="7" defaultRowHeight="12.75"/>
  <cols>
    <col min="1" max="1" width="23" style="1" customWidth="1"/>
    <col min="2" max="2" width="1" style="1" customWidth="1"/>
    <col min="3" max="3" width="24.75" style="1" customWidth="1"/>
    <col min="4" max="16384" width="7" style="1"/>
  </cols>
  <sheetData>
    <row r="1" spans="1:3" ht="15">
      <c r="A1"/>
      <c r="C1"/>
    </row>
    <row r="2" spans="1:3" ht="15.75" thickBot="1">
      <c r="A2"/>
    </row>
    <row r="3" spans="1:3" ht="15.75" thickBot="1">
      <c r="A3"/>
      <c r="C3"/>
    </row>
    <row r="4" spans="1:3" ht="15">
      <c r="A4"/>
      <c r="C4" s="101"/>
    </row>
    <row r="5" spans="1:3" ht="15">
      <c r="C5" s="101"/>
    </row>
    <row r="6" spans="1:3" ht="15.75" thickBot="1">
      <c r="C6" s="101"/>
    </row>
    <row r="7" spans="1:3" ht="15">
      <c r="A7"/>
      <c r="C7" s="101"/>
    </row>
    <row r="8" spans="1:3" ht="15">
      <c r="A8"/>
      <c r="C8" s="101"/>
    </row>
    <row r="9" spans="1:3" ht="15">
      <c r="A9"/>
      <c r="C9" s="101"/>
    </row>
    <row r="10" spans="1:3" ht="15">
      <c r="A10"/>
      <c r="C10" s="101"/>
    </row>
    <row r="11" spans="1:3" ht="15.75" thickBot="1">
      <c r="A11"/>
      <c r="C11" s="101"/>
    </row>
    <row r="12" spans="1:3" ht="15">
      <c r="C12" s="101"/>
    </row>
    <row r="13" spans="1:3" ht="15.75" thickBot="1">
      <c r="C13" s="101"/>
    </row>
    <row r="14" spans="1:3" ht="15.75" thickBot="1">
      <c r="A14"/>
      <c r="C14" s="101"/>
    </row>
    <row r="15" spans="1:3" ht="15">
      <c r="A15" s="101"/>
    </row>
    <row r="16" spans="1:3" ht="15.75" thickBot="1">
      <c r="A16" s="101"/>
    </row>
    <row r="17" spans="1:3" ht="15.75" thickBot="1">
      <c r="A17" s="101"/>
      <c r="C17"/>
    </row>
    <row r="18" spans="1:3" ht="15">
      <c r="C18" s="101"/>
    </row>
    <row r="19" spans="1:3" ht="15">
      <c r="C19" s="101"/>
    </row>
    <row r="20" spans="1:3" ht="15">
      <c r="A20"/>
      <c r="C20" s="101"/>
    </row>
    <row r="21" spans="1:3" ht="15">
      <c r="A21" s="101"/>
      <c r="C21" s="101"/>
    </row>
    <row r="22" spans="1:3" ht="15">
      <c r="A22" s="101"/>
      <c r="C22" s="101"/>
    </row>
    <row r="23" spans="1:3" ht="15">
      <c r="A23" s="101"/>
      <c r="C23" s="101"/>
    </row>
    <row r="24" spans="1:3" ht="15">
      <c r="A24" s="101"/>
    </row>
    <row r="25" spans="1:3" ht="15">
      <c r="A25" s="101"/>
    </row>
    <row r="26" spans="1:3" ht="15.75" thickBot="1">
      <c r="A26" s="101"/>
      <c r="C26"/>
    </row>
    <row r="27" spans="1:3" ht="15">
      <c r="A27" s="101"/>
      <c r="C27" s="101"/>
    </row>
    <row r="28" spans="1:3" ht="15">
      <c r="A28" s="101"/>
      <c r="C28" s="101"/>
    </row>
    <row r="29" spans="1:3" ht="15">
      <c r="A29" s="101"/>
      <c r="C29" s="101"/>
    </row>
    <row r="30" spans="1:3" ht="15">
      <c r="A30" s="101"/>
      <c r="C30" s="101"/>
    </row>
    <row r="31" spans="1:3" ht="15">
      <c r="A31" s="101"/>
      <c r="C31" s="101"/>
    </row>
    <row r="32" spans="1:3" ht="15">
      <c r="A32" s="101"/>
      <c r="C32" s="101"/>
    </row>
    <row r="33" spans="1:3" ht="15">
      <c r="A33" s="101"/>
      <c r="C33" s="101"/>
    </row>
    <row r="34" spans="1:3" ht="15">
      <c r="A34" s="101"/>
      <c r="C34" s="101"/>
    </row>
    <row r="35" spans="1:3" ht="15">
      <c r="A35" s="101"/>
      <c r="C35" s="101"/>
    </row>
    <row r="36" spans="1:3" ht="15">
      <c r="A36" s="101"/>
      <c r="C36" s="101"/>
    </row>
    <row r="37" spans="1:3" ht="15">
      <c r="A37" s="101"/>
    </row>
    <row r="38" spans="1:3" ht="15">
      <c r="A38" s="101"/>
    </row>
    <row r="39" spans="1:3" ht="15">
      <c r="A39" s="101"/>
      <c r="C39" s="101"/>
    </row>
    <row r="40" spans="1:3" ht="15">
      <c r="A40" s="101"/>
      <c r="C40" s="101"/>
    </row>
    <row r="41" spans="1:3" ht="15">
      <c r="A41" s="101"/>
      <c r="C41" s="101"/>
    </row>
  </sheetData>
  <sheetProtection password="8863" sheet="1" objects="1"/>
  <phoneticPr fontId="0" type="noConversion"/>
  <pageMargins left="0.75" right="0.75" top="1" bottom="1" header="0.5" footer="0.5"/>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workbookViewId="0"/>
  </sheetViews>
  <sheetFormatPr defaultColWidth="7" defaultRowHeight="12.75"/>
  <cols>
    <col min="1" max="1" width="23" style="1" customWidth="1"/>
    <col min="2" max="2" width="1" style="1" customWidth="1"/>
    <col min="3" max="3" width="24.75" style="1" customWidth="1"/>
    <col min="4" max="16384" width="7" style="1"/>
  </cols>
  <sheetData>
    <row r="1" spans="1:3" ht="15">
      <c r="A1"/>
      <c r="C1"/>
    </row>
    <row r="2" spans="1:3" ht="15.75" thickBot="1">
      <c r="A2"/>
    </row>
    <row r="3" spans="1:3" ht="15.75" thickBot="1">
      <c r="A3"/>
      <c r="C3"/>
    </row>
    <row r="4" spans="1:3" ht="15">
      <c r="A4"/>
      <c r="C4" s="101"/>
    </row>
    <row r="5" spans="1:3" ht="15">
      <c r="C5" s="101"/>
    </row>
    <row r="6" spans="1:3" ht="15.75" thickBot="1">
      <c r="C6" s="101"/>
    </row>
    <row r="7" spans="1:3" ht="15">
      <c r="A7"/>
      <c r="C7" s="101"/>
    </row>
    <row r="8" spans="1:3" ht="15">
      <c r="A8"/>
      <c r="C8" s="101"/>
    </row>
    <row r="9" spans="1:3" ht="15">
      <c r="A9"/>
      <c r="C9" s="101"/>
    </row>
    <row r="10" spans="1:3" ht="15">
      <c r="A10"/>
      <c r="C10" s="101"/>
    </row>
    <row r="11" spans="1:3" ht="15.75" thickBot="1">
      <c r="A11"/>
      <c r="C11" s="101"/>
    </row>
    <row r="12" spans="1:3" ht="15">
      <c r="C12" s="101"/>
    </row>
    <row r="13" spans="1:3" ht="15.75" thickBot="1">
      <c r="C13" s="101"/>
    </row>
    <row r="14" spans="1:3" ht="15.75" thickBot="1">
      <c r="A14"/>
      <c r="C14" s="101"/>
    </row>
    <row r="15" spans="1:3" ht="15">
      <c r="A15" s="101"/>
    </row>
    <row r="16" spans="1:3" ht="15.75" thickBot="1">
      <c r="A16" s="101"/>
    </row>
    <row r="17" spans="1:3" ht="15.75" thickBot="1">
      <c r="A17" s="101"/>
      <c r="C17"/>
    </row>
    <row r="18" spans="1:3" ht="15">
      <c r="C18" s="101"/>
    </row>
    <row r="19" spans="1:3" ht="15">
      <c r="C19" s="101"/>
    </row>
    <row r="20" spans="1:3" ht="15">
      <c r="A20"/>
      <c r="C20" s="101"/>
    </row>
    <row r="21" spans="1:3" ht="15">
      <c r="A21" s="101"/>
      <c r="C21" s="101"/>
    </row>
    <row r="22" spans="1:3" ht="15">
      <c r="A22" s="101"/>
      <c r="C22" s="101"/>
    </row>
    <row r="23" spans="1:3" ht="15">
      <c r="A23" s="101"/>
      <c r="C23" s="101"/>
    </row>
    <row r="24" spans="1:3" ht="15">
      <c r="A24" s="101"/>
    </row>
    <row r="25" spans="1:3" ht="15">
      <c r="A25" s="101"/>
    </row>
    <row r="26" spans="1:3" ht="15.75" thickBot="1">
      <c r="A26" s="101"/>
      <c r="C26"/>
    </row>
    <row r="27" spans="1:3" ht="15">
      <c r="A27" s="101"/>
      <c r="C27" s="101"/>
    </row>
    <row r="28" spans="1:3" ht="15">
      <c r="A28" s="101"/>
      <c r="C28" s="101"/>
    </row>
    <row r="29" spans="1:3" ht="15">
      <c r="A29" s="101"/>
      <c r="C29" s="101"/>
    </row>
    <row r="30" spans="1:3" ht="15">
      <c r="A30" s="101"/>
      <c r="C30" s="101"/>
    </row>
    <row r="31" spans="1:3" ht="15">
      <c r="A31" s="101"/>
      <c r="C31" s="101"/>
    </row>
    <row r="32" spans="1:3" ht="15">
      <c r="A32" s="101"/>
      <c r="C32" s="101"/>
    </row>
    <row r="33" spans="1:3" ht="15">
      <c r="A33" s="101"/>
      <c r="C33" s="101"/>
    </row>
    <row r="34" spans="1:3" ht="15">
      <c r="A34" s="101"/>
      <c r="C34" s="101"/>
    </row>
    <row r="35" spans="1:3" ht="15">
      <c r="A35" s="101"/>
      <c r="C35" s="101"/>
    </row>
    <row r="36" spans="1:3" ht="15">
      <c r="A36" s="101"/>
      <c r="C36" s="101"/>
    </row>
    <row r="37" spans="1:3" ht="15">
      <c r="A37" s="101"/>
    </row>
    <row r="38" spans="1:3" ht="15">
      <c r="A38" s="101"/>
    </row>
    <row r="39" spans="1:3" ht="15">
      <c r="A39" s="101"/>
      <c r="C39" s="101"/>
    </row>
    <row r="40" spans="1:3" ht="15">
      <c r="A40" s="101"/>
      <c r="C40" s="101"/>
    </row>
    <row r="41" spans="1:3" ht="15">
      <c r="A41" s="101"/>
      <c r="C41" s="101"/>
    </row>
  </sheetData>
  <sheetProtection password="8863" sheet="1" objects="1"/>
  <phoneticPr fontId="0" type="noConversion"/>
  <pageMargins left="0.75" right="0.75" top="1" bottom="1" header="0.5" footer="0.5"/>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workbookViewId="0"/>
  </sheetViews>
  <sheetFormatPr defaultColWidth="7" defaultRowHeight="12.75"/>
  <cols>
    <col min="1" max="1" width="23" style="1" customWidth="1"/>
    <col min="2" max="2" width="1" style="1" customWidth="1"/>
    <col min="3" max="3" width="24.75" style="1" customWidth="1"/>
    <col min="4" max="16384" width="7" style="1"/>
  </cols>
  <sheetData>
    <row r="1" spans="1:3" ht="15">
      <c r="A1"/>
      <c r="C1"/>
    </row>
    <row r="2" spans="1:3" ht="15.75" thickBot="1">
      <c r="A2"/>
    </row>
    <row r="3" spans="1:3" ht="15.75" thickBot="1">
      <c r="A3"/>
      <c r="C3"/>
    </row>
    <row r="4" spans="1:3" ht="15">
      <c r="A4"/>
      <c r="C4" s="86"/>
    </row>
    <row r="5" spans="1:3" ht="15">
      <c r="C5" s="86"/>
    </row>
    <row r="6" spans="1:3" ht="15.75" thickBot="1">
      <c r="C6" s="86"/>
    </row>
    <row r="7" spans="1:3" ht="15">
      <c r="A7"/>
      <c r="C7" s="86"/>
    </row>
    <row r="8" spans="1:3" ht="15">
      <c r="A8"/>
      <c r="C8" s="86"/>
    </row>
    <row r="9" spans="1:3" ht="15">
      <c r="A9"/>
      <c r="C9" s="86"/>
    </row>
    <row r="10" spans="1:3" ht="15">
      <c r="A10"/>
      <c r="C10" s="86"/>
    </row>
    <row r="11" spans="1:3" ht="15.75" thickBot="1">
      <c r="A11"/>
      <c r="C11" s="86"/>
    </row>
    <row r="12" spans="1:3" ht="15">
      <c r="C12" s="86"/>
    </row>
    <row r="13" spans="1:3" ht="15.75" thickBot="1">
      <c r="C13" s="86"/>
    </row>
    <row r="14" spans="1:3" ht="15.75" thickBot="1">
      <c r="A14"/>
      <c r="C14" s="86"/>
    </row>
    <row r="15" spans="1:3" ht="15">
      <c r="A15" s="86"/>
    </row>
    <row r="16" spans="1:3" ht="15.75" thickBot="1">
      <c r="A16" s="86"/>
    </row>
    <row r="17" spans="1:3" ht="15.75" thickBot="1">
      <c r="A17" s="86"/>
      <c r="C17"/>
    </row>
    <row r="18" spans="1:3" ht="15">
      <c r="C18" s="86"/>
    </row>
    <row r="19" spans="1:3" ht="15">
      <c r="C19" s="86"/>
    </row>
    <row r="20" spans="1:3" ht="15">
      <c r="A20"/>
      <c r="C20" s="86"/>
    </row>
    <row r="21" spans="1:3" ht="15">
      <c r="A21" s="86"/>
      <c r="C21" s="86"/>
    </row>
    <row r="22" spans="1:3" ht="15">
      <c r="A22" s="86"/>
      <c r="C22" s="86"/>
    </row>
    <row r="23" spans="1:3" ht="15">
      <c r="A23" s="86"/>
      <c r="C23" s="86"/>
    </row>
    <row r="24" spans="1:3" ht="15">
      <c r="A24" s="86"/>
    </row>
    <row r="25" spans="1:3" ht="15">
      <c r="A25" s="86"/>
    </row>
    <row r="26" spans="1:3" ht="15.75" thickBot="1">
      <c r="A26" s="86"/>
      <c r="C26"/>
    </row>
    <row r="27" spans="1:3" ht="15">
      <c r="A27" s="86"/>
      <c r="C27" s="86"/>
    </row>
    <row r="28" spans="1:3" ht="15">
      <c r="A28" s="86"/>
      <c r="C28" s="86"/>
    </row>
    <row r="29" spans="1:3" ht="15">
      <c r="A29" s="86"/>
      <c r="C29" s="86"/>
    </row>
    <row r="30" spans="1:3" ht="15">
      <c r="A30" s="86"/>
      <c r="C30" s="86"/>
    </row>
    <row r="31" spans="1:3" ht="15">
      <c r="A31" s="86"/>
      <c r="C31" s="86"/>
    </row>
    <row r="32" spans="1:3" ht="15">
      <c r="A32" s="86"/>
      <c r="C32" s="86"/>
    </row>
    <row r="33" spans="1:3" ht="15">
      <c r="A33" s="86"/>
      <c r="C33" s="86"/>
    </row>
    <row r="34" spans="1:3" ht="15">
      <c r="A34" s="86"/>
      <c r="C34" s="86"/>
    </row>
    <row r="35" spans="1:3" ht="15">
      <c r="A35" s="86"/>
      <c r="C35" s="86"/>
    </row>
    <row r="36" spans="1:3" ht="15">
      <c r="A36" s="86"/>
      <c r="C36" s="86"/>
    </row>
    <row r="37" spans="1:3" ht="15">
      <c r="A37" s="86"/>
    </row>
    <row r="38" spans="1:3" ht="15">
      <c r="A38" s="86"/>
    </row>
    <row r="39" spans="1:3" ht="15">
      <c r="A39" s="86"/>
      <c r="C39" s="86"/>
    </row>
    <row r="40" spans="1:3" ht="15">
      <c r="A40" s="86"/>
      <c r="C40" s="86"/>
    </row>
    <row r="41" spans="1:3" ht="15">
      <c r="A41" s="86"/>
      <c r="C41" s="86"/>
    </row>
  </sheetData>
  <sheetProtection password="8863" sheet="1" objects="1"/>
  <phoneticPr fontId="0" type="noConversion"/>
  <pageMargins left="0.75" right="0.75" top="1" bottom="1" header="0.5" footer="0.5"/>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workbookViewId="0">
      <selection activeCell="C1" sqref="C1"/>
    </sheetView>
  </sheetViews>
  <sheetFormatPr defaultColWidth="8" defaultRowHeight="12.75"/>
  <cols>
    <col min="1" max="1" width="26.125" style="1" customWidth="1"/>
    <col min="2" max="2" width="1.125" style="1" customWidth="1"/>
    <col min="3" max="3" width="28.125" style="1" customWidth="1"/>
    <col min="4" max="16384" width="8" style="1"/>
  </cols>
  <sheetData>
    <row r="1" spans="1:3" ht="15">
      <c r="A1" s="66"/>
      <c r="C1" s="101"/>
    </row>
    <row r="2" spans="1:3" ht="15.75" thickBot="1">
      <c r="A2" s="66"/>
    </row>
    <row r="3" spans="1:3" ht="15.75" thickBot="1">
      <c r="A3" s="101"/>
      <c r="C3" s="101"/>
    </row>
    <row r="4" spans="1:3" ht="15">
      <c r="A4" s="101"/>
      <c r="C4" s="66"/>
    </row>
    <row r="5" spans="1:3" ht="15">
      <c r="C5" s="66"/>
    </row>
    <row r="6" spans="1:3" ht="15.75" thickBot="1">
      <c r="C6" s="66"/>
    </row>
    <row r="7" spans="1:3" ht="15">
      <c r="A7" s="101"/>
      <c r="C7" s="66"/>
    </row>
    <row r="8" spans="1:3" ht="15">
      <c r="A8" s="101"/>
      <c r="C8" s="66"/>
    </row>
    <row r="9" spans="1:3" ht="15">
      <c r="A9" s="101"/>
      <c r="C9" s="66"/>
    </row>
    <row r="10" spans="1:3" ht="15">
      <c r="A10" s="101"/>
      <c r="C10" s="66"/>
    </row>
    <row r="11" spans="1:3" ht="15.75" thickBot="1">
      <c r="A11" s="101"/>
      <c r="C11" s="66"/>
    </row>
    <row r="12" spans="1:3" ht="15">
      <c r="C12" s="66"/>
    </row>
    <row r="13" spans="1:3" ht="15.75" thickBot="1">
      <c r="C13" s="66"/>
    </row>
    <row r="14" spans="1:3" ht="15.75" thickBot="1">
      <c r="A14" s="101"/>
      <c r="C14" s="66"/>
    </row>
    <row r="15" spans="1:3" ht="15">
      <c r="A15" s="66"/>
    </row>
    <row r="16" spans="1:3" ht="15.75" thickBot="1">
      <c r="A16" s="66"/>
    </row>
    <row r="17" spans="1:3" ht="15.75" thickBot="1">
      <c r="A17" s="66"/>
      <c r="C17" s="101"/>
    </row>
    <row r="18" spans="1:3" ht="15">
      <c r="C18" s="66"/>
    </row>
    <row r="19" spans="1:3" ht="15">
      <c r="C19" s="66"/>
    </row>
    <row r="20" spans="1:3" ht="15">
      <c r="A20" s="101"/>
      <c r="C20" s="66"/>
    </row>
    <row r="21" spans="1:3" ht="15">
      <c r="A21" s="66"/>
      <c r="C21" s="66"/>
    </row>
    <row r="22" spans="1:3" ht="15">
      <c r="A22" s="66"/>
      <c r="C22" s="66"/>
    </row>
    <row r="23" spans="1:3" ht="15">
      <c r="A23" s="66"/>
      <c r="C23" s="66"/>
    </row>
    <row r="24" spans="1:3" ht="15">
      <c r="A24" s="66"/>
    </row>
    <row r="25" spans="1:3" ht="15">
      <c r="A25" s="66"/>
    </row>
    <row r="26" spans="1:3" ht="15.75" thickBot="1">
      <c r="A26" s="66"/>
      <c r="C26" s="101"/>
    </row>
    <row r="27" spans="1:3" ht="15">
      <c r="A27" s="66"/>
      <c r="C27" s="66"/>
    </row>
    <row r="28" spans="1:3" ht="15">
      <c r="A28" s="66"/>
      <c r="C28" s="66"/>
    </row>
    <row r="29" spans="1:3" ht="15">
      <c r="A29" s="66"/>
      <c r="C29" s="66"/>
    </row>
    <row r="30" spans="1:3" ht="15">
      <c r="A30" s="66"/>
      <c r="C30" s="66"/>
    </row>
    <row r="31" spans="1:3" ht="15">
      <c r="A31" s="66"/>
      <c r="C31" s="66"/>
    </row>
    <row r="32" spans="1:3" ht="15">
      <c r="A32" s="66"/>
      <c r="C32" s="66"/>
    </row>
    <row r="33" spans="1:3" ht="15">
      <c r="A33" s="66"/>
      <c r="C33" s="66"/>
    </row>
    <row r="34" spans="1:3" ht="15">
      <c r="A34" s="66"/>
      <c r="C34" s="66"/>
    </row>
    <row r="35" spans="1:3" ht="15">
      <c r="A35" s="66"/>
      <c r="C35" s="66"/>
    </row>
    <row r="36" spans="1:3" ht="15">
      <c r="A36" s="66"/>
      <c r="C36" s="66"/>
    </row>
    <row r="37" spans="1:3" ht="15">
      <c r="A37" s="66"/>
    </row>
    <row r="38" spans="1:3" ht="15">
      <c r="A38" s="66"/>
    </row>
    <row r="39" spans="1:3" ht="15">
      <c r="A39" s="66"/>
      <c r="C39" s="66"/>
    </row>
    <row r="40" spans="1:3" ht="15">
      <c r="A40" s="66"/>
      <c r="C40" s="66"/>
    </row>
    <row r="41" spans="1:3" ht="15">
      <c r="A41" s="66"/>
      <c r="C41" s="66"/>
    </row>
  </sheetData>
  <sheetProtection password="8863" sheet="1" objects="1"/>
  <phoneticPr fontId="0" type="noConversion"/>
  <pageMargins left="0.75" right="0.75" top="1" bottom="1" header="0.5" footer="0.5"/>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workbookViewId="0">
      <selection activeCell="C1" sqref="C1"/>
    </sheetView>
  </sheetViews>
  <sheetFormatPr defaultColWidth="8" defaultRowHeight="12.75"/>
  <cols>
    <col min="1" max="1" width="26.125" style="1" customWidth="1"/>
    <col min="2" max="2" width="1.125" style="1" customWidth="1"/>
    <col min="3" max="3" width="28.125" style="1" customWidth="1"/>
    <col min="4" max="16384" width="8" style="1"/>
  </cols>
  <sheetData>
    <row r="1" spans="1:3" ht="15">
      <c r="A1" s="101"/>
      <c r="C1" s="101"/>
    </row>
    <row r="2" spans="1:3" ht="15.75" thickBot="1">
      <c r="A2" s="101"/>
    </row>
    <row r="3" spans="1:3" ht="15.75" thickBot="1">
      <c r="A3" s="101"/>
      <c r="C3" s="101"/>
    </row>
    <row r="4" spans="1:3" ht="15">
      <c r="A4" s="101"/>
      <c r="C4" s="101"/>
    </row>
    <row r="5" spans="1:3" ht="15">
      <c r="C5" s="101"/>
    </row>
    <row r="6" spans="1:3" ht="15.75" thickBot="1">
      <c r="C6" s="101"/>
    </row>
    <row r="7" spans="1:3" ht="15">
      <c r="A7" s="101"/>
      <c r="C7" s="101"/>
    </row>
    <row r="8" spans="1:3" ht="15">
      <c r="A8" s="101"/>
      <c r="C8" s="101"/>
    </row>
    <row r="9" spans="1:3" ht="15">
      <c r="A9" s="101"/>
      <c r="C9" s="101"/>
    </row>
    <row r="10" spans="1:3" ht="15">
      <c r="A10" s="101"/>
      <c r="C10" s="101"/>
    </row>
    <row r="11" spans="1:3" ht="15.75" thickBot="1">
      <c r="A11" s="101"/>
      <c r="C11" s="101"/>
    </row>
    <row r="12" spans="1:3" ht="15">
      <c r="C12" s="101"/>
    </row>
    <row r="13" spans="1:3" ht="15.75" thickBot="1">
      <c r="C13" s="101"/>
    </row>
    <row r="14" spans="1:3" ht="15.75" thickBot="1">
      <c r="A14" s="101"/>
      <c r="C14" s="101"/>
    </row>
    <row r="15" spans="1:3" ht="15">
      <c r="A15" s="101"/>
    </row>
    <row r="16" spans="1:3" ht="15.75" thickBot="1">
      <c r="A16" s="101"/>
    </row>
    <row r="17" spans="1:3" ht="15.75" thickBot="1">
      <c r="A17" s="101"/>
      <c r="C17" s="101"/>
    </row>
    <row r="18" spans="1:3" ht="15">
      <c r="C18" s="101"/>
    </row>
    <row r="19" spans="1:3" ht="15">
      <c r="C19" s="101"/>
    </row>
    <row r="20" spans="1:3" ht="15">
      <c r="A20" s="101"/>
      <c r="C20" s="101"/>
    </row>
    <row r="21" spans="1:3" ht="15">
      <c r="A21" s="101"/>
      <c r="C21" s="101"/>
    </row>
    <row r="22" spans="1:3" ht="15">
      <c r="A22" s="101"/>
      <c r="C22" s="101"/>
    </row>
    <row r="23" spans="1:3" ht="15">
      <c r="A23" s="101"/>
      <c r="C23" s="101"/>
    </row>
    <row r="24" spans="1:3" ht="15">
      <c r="A24" s="101"/>
    </row>
    <row r="25" spans="1:3" ht="15">
      <c r="A25" s="101"/>
    </row>
    <row r="26" spans="1:3" ht="15.75" thickBot="1">
      <c r="A26" s="101"/>
      <c r="C26" s="101"/>
    </row>
    <row r="27" spans="1:3" ht="15">
      <c r="A27" s="101"/>
      <c r="C27" s="101"/>
    </row>
    <row r="28" spans="1:3" ht="15">
      <c r="A28" s="101"/>
      <c r="C28" s="101"/>
    </row>
    <row r="29" spans="1:3" ht="15">
      <c r="A29" s="101"/>
      <c r="C29" s="101"/>
    </row>
    <row r="30" spans="1:3" ht="15">
      <c r="A30" s="101"/>
      <c r="C30" s="101"/>
    </row>
    <row r="31" spans="1:3" ht="15">
      <c r="A31" s="101"/>
      <c r="C31" s="101"/>
    </row>
    <row r="32" spans="1:3" ht="15">
      <c r="A32" s="101"/>
      <c r="C32" s="101"/>
    </row>
    <row r="33" spans="1:3" ht="15">
      <c r="A33" s="101"/>
      <c r="C33" s="101"/>
    </row>
    <row r="34" spans="1:3" ht="15">
      <c r="A34" s="101"/>
      <c r="C34" s="101"/>
    </row>
    <row r="35" spans="1:3" ht="15">
      <c r="A35" s="101"/>
      <c r="C35" s="101"/>
    </row>
    <row r="36" spans="1:3" ht="15">
      <c r="A36" s="101"/>
      <c r="C36" s="101"/>
    </row>
    <row r="37" spans="1:3" ht="15">
      <c r="A37" s="101"/>
    </row>
    <row r="38" spans="1:3" ht="15">
      <c r="A38" s="101"/>
    </row>
    <row r="39" spans="1:3" ht="15">
      <c r="A39" s="101"/>
      <c r="C39" s="101"/>
    </row>
    <row r="40" spans="1:3" ht="15">
      <c r="A40" s="101"/>
      <c r="C40" s="101"/>
    </row>
    <row r="41" spans="1:3" ht="15">
      <c r="A41" s="101"/>
      <c r="C41" s="101"/>
    </row>
  </sheetData>
  <sheetProtection password="8863" sheet="1" objects="1"/>
  <phoneticPr fontId="6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68"/>
  <sheetViews>
    <sheetView workbookViewId="0"/>
  </sheetViews>
  <sheetFormatPr defaultRowHeight="20.100000000000001" customHeight="1"/>
  <cols>
    <col min="1" max="1" width="4" style="32" customWidth="1"/>
    <col min="2" max="2" width="0.125" style="32" customWidth="1"/>
    <col min="3" max="3" width="3.25" style="32" customWidth="1"/>
    <col min="4" max="4" width="14.125" style="32" customWidth="1"/>
    <col min="5" max="5" width="8.5" style="32" customWidth="1"/>
    <col min="6" max="6" width="8.25" style="32" customWidth="1"/>
    <col min="7" max="7" width="9.125" style="52" customWidth="1"/>
    <col min="8" max="8" width="8.875" style="52" customWidth="1"/>
    <col min="9" max="11" width="6.375" style="32" customWidth="1"/>
    <col min="12" max="12" width="11.25" style="56" customWidth="1"/>
    <col min="13" max="13" width="7.375" style="56" customWidth="1"/>
    <col min="14" max="14" width="7" style="32" customWidth="1"/>
    <col min="15" max="15" width="8.5" style="32" customWidth="1"/>
    <col min="16" max="16" width="7.375" style="32" customWidth="1"/>
    <col min="17" max="17" width="7.5" style="32" customWidth="1"/>
    <col min="18" max="18" width="7.75" style="32" customWidth="1"/>
    <col min="19" max="19" width="11.25" style="32" customWidth="1"/>
    <col min="20" max="21" width="9" style="32"/>
    <col min="22" max="22" width="11.25" style="32" bestFit="1" customWidth="1"/>
    <col min="23" max="23" width="10.125" style="32" bestFit="1" customWidth="1"/>
    <col min="24" max="24" width="9.125" style="32" bestFit="1" customWidth="1"/>
    <col min="25" max="25" width="9.25" style="32" bestFit="1" customWidth="1"/>
    <col min="26" max="16384" width="9" style="32"/>
  </cols>
  <sheetData>
    <row r="1" spans="1:20" ht="20.100000000000001" customHeight="1">
      <c r="P1" s="428"/>
      <c r="Q1" s="731" t="s">
        <v>203</v>
      </c>
      <c r="R1" s="731"/>
    </row>
    <row r="2" spans="1:20" ht="20.100000000000001" customHeight="1">
      <c r="P2" s="732" t="s">
        <v>204</v>
      </c>
      <c r="Q2" s="732"/>
      <c r="R2" s="732"/>
    </row>
    <row r="3" spans="1:20" ht="24.75" customHeight="1">
      <c r="A3" s="201" t="s">
        <v>87</v>
      </c>
    </row>
    <row r="4" spans="1:20" s="205" customFormat="1" ht="21.75" customHeight="1">
      <c r="A4" s="204"/>
      <c r="B4" s="204"/>
      <c r="C4" s="204"/>
      <c r="D4" s="204"/>
      <c r="E4" s="202" t="s">
        <v>86</v>
      </c>
      <c r="F4" s="202"/>
      <c r="G4" s="202"/>
      <c r="H4" s="202"/>
      <c r="I4" s="202"/>
      <c r="J4" s="202"/>
      <c r="K4" s="202"/>
      <c r="L4" s="202"/>
      <c r="M4" s="202"/>
      <c r="N4" s="202"/>
      <c r="O4" s="202"/>
      <c r="P4" s="202"/>
      <c r="Q4" s="202"/>
      <c r="R4" s="202"/>
    </row>
    <row r="5" spans="1:20" ht="18" customHeight="1">
      <c r="A5" s="673" t="s">
        <v>272</v>
      </c>
      <c r="B5" s="673"/>
      <c r="C5" s="673"/>
      <c r="D5" s="673"/>
      <c r="E5" s="673"/>
      <c r="F5" s="673"/>
      <c r="G5" s="673"/>
      <c r="H5" s="673"/>
      <c r="I5" s="673"/>
      <c r="J5" s="673"/>
      <c r="K5" s="673"/>
      <c r="L5" s="673"/>
      <c r="M5" s="673"/>
      <c r="N5" s="673"/>
      <c r="O5" s="673"/>
      <c r="P5" s="673"/>
      <c r="Q5" s="673"/>
      <c r="R5" s="673"/>
    </row>
    <row r="6" spans="1:20" ht="13.5" customHeight="1">
      <c r="B6" s="201"/>
      <c r="C6" s="201"/>
      <c r="D6" s="201"/>
      <c r="E6" s="175"/>
      <c r="F6" s="175"/>
      <c r="G6" s="176"/>
      <c r="H6" s="176"/>
      <c r="I6" s="175"/>
      <c r="J6" s="175"/>
      <c r="K6" s="175"/>
      <c r="L6" s="177"/>
      <c r="M6" s="177"/>
      <c r="N6" s="175"/>
      <c r="O6" s="175"/>
      <c r="P6" s="175"/>
      <c r="Q6" s="175"/>
      <c r="R6" s="175"/>
    </row>
    <row r="7" spans="1:20" s="65" customFormat="1" ht="14.1" customHeight="1">
      <c r="A7" s="456" t="s">
        <v>0</v>
      </c>
      <c r="B7" s="296"/>
      <c r="C7" s="297" t="s">
        <v>1</v>
      </c>
      <c r="D7" s="298"/>
      <c r="E7" s="674" t="s">
        <v>91</v>
      </c>
      <c r="F7" s="675"/>
      <c r="G7" s="676" t="s">
        <v>2</v>
      </c>
      <c r="H7" s="676"/>
      <c r="I7" s="677" t="s">
        <v>3</v>
      </c>
      <c r="J7" s="678"/>
      <c r="K7" s="677" t="s">
        <v>49</v>
      </c>
      <c r="L7" s="678"/>
      <c r="M7" s="676" t="s">
        <v>50</v>
      </c>
      <c r="N7" s="676"/>
      <c r="O7" s="679" t="s">
        <v>4</v>
      </c>
      <c r="P7" s="680"/>
      <c r="Q7" s="676" t="s">
        <v>5</v>
      </c>
      <c r="R7" s="676"/>
    </row>
    <row r="8" spans="1:20" s="65" customFormat="1" ht="14.1" customHeight="1">
      <c r="A8" s="299"/>
      <c r="B8" s="300"/>
      <c r="C8" s="301" t="s">
        <v>6</v>
      </c>
      <c r="D8" s="686" t="s">
        <v>12</v>
      </c>
      <c r="E8" s="297" t="s">
        <v>0</v>
      </c>
      <c r="F8" s="297" t="s">
        <v>7</v>
      </c>
      <c r="G8" s="297" t="s">
        <v>0</v>
      </c>
      <c r="H8" s="297" t="s">
        <v>7</v>
      </c>
      <c r="I8" s="297" t="s">
        <v>0</v>
      </c>
      <c r="J8" s="297" t="s">
        <v>90</v>
      </c>
      <c r="K8" s="297" t="s">
        <v>0</v>
      </c>
      <c r="L8" s="297" t="s">
        <v>7</v>
      </c>
      <c r="M8" s="297" t="s">
        <v>0</v>
      </c>
      <c r="N8" s="297" t="s">
        <v>90</v>
      </c>
      <c r="O8" s="302" t="s">
        <v>0</v>
      </c>
      <c r="P8" s="297" t="s">
        <v>7</v>
      </c>
      <c r="Q8" s="297" t="s">
        <v>0</v>
      </c>
      <c r="R8" s="297" t="s">
        <v>90</v>
      </c>
    </row>
    <row r="9" spans="1:20" s="65" customFormat="1" ht="14.1" customHeight="1">
      <c r="A9" s="303"/>
      <c r="B9" s="304"/>
      <c r="C9" s="305"/>
      <c r="D9" s="687"/>
      <c r="E9" s="189" t="s">
        <v>8</v>
      </c>
      <c r="F9" s="189" t="s">
        <v>8</v>
      </c>
      <c r="G9" s="189" t="s">
        <v>8</v>
      </c>
      <c r="H9" s="189" t="s">
        <v>8</v>
      </c>
      <c r="I9" s="189" t="s">
        <v>9</v>
      </c>
      <c r="J9" s="189" t="s">
        <v>9</v>
      </c>
      <c r="K9" s="189" t="s">
        <v>73</v>
      </c>
      <c r="L9" s="189" t="s">
        <v>73</v>
      </c>
      <c r="M9" s="335" t="s">
        <v>74</v>
      </c>
      <c r="N9" s="335" t="s">
        <v>74</v>
      </c>
      <c r="O9" s="336" t="s">
        <v>10</v>
      </c>
      <c r="P9" s="336" t="s">
        <v>10</v>
      </c>
      <c r="Q9" s="335" t="s">
        <v>11</v>
      </c>
      <c r="R9" s="335" t="s">
        <v>11</v>
      </c>
    </row>
    <row r="10" spans="1:20" s="65" customFormat="1" ht="15.95" customHeight="1">
      <c r="A10" s="269"/>
      <c r="B10" s="208"/>
      <c r="C10" s="187"/>
      <c r="D10" s="306"/>
      <c r="E10" s="688"/>
      <c r="F10" s="307"/>
      <c r="G10" s="308"/>
      <c r="H10" s="307"/>
      <c r="I10" s="690"/>
      <c r="J10" s="307"/>
      <c r="K10" s="684"/>
      <c r="L10" s="307"/>
      <c r="M10" s="682"/>
      <c r="N10" s="307"/>
      <c r="O10" s="684"/>
      <c r="P10" s="307"/>
      <c r="Q10" s="682"/>
      <c r="R10" s="307"/>
      <c r="S10" s="65">
        <v>954</v>
      </c>
      <c r="T10" s="65">
        <v>878</v>
      </c>
    </row>
    <row r="11" spans="1:20" s="65" customFormat="1" ht="15.95" customHeight="1">
      <c r="A11" s="188"/>
      <c r="B11" s="208"/>
      <c r="C11" s="187"/>
      <c r="D11" s="306"/>
      <c r="E11" s="689"/>
      <c r="F11" s="307"/>
      <c r="G11" s="307"/>
      <c r="H11" s="307"/>
      <c r="I11" s="691"/>
      <c r="J11" s="307"/>
      <c r="K11" s="685"/>
      <c r="L11" s="307"/>
      <c r="M11" s="683"/>
      <c r="N11" s="307"/>
      <c r="O11" s="685"/>
      <c r="P11" s="307"/>
      <c r="Q11" s="683"/>
      <c r="R11" s="307"/>
    </row>
    <row r="12" spans="1:20" s="65" customFormat="1" ht="24.75" customHeight="1">
      <c r="A12" s="178"/>
      <c r="B12" s="179"/>
      <c r="C12" s="178"/>
      <c r="D12" s="178"/>
      <c r="E12" s="276">
        <v>0</v>
      </c>
      <c r="F12" s="276">
        <f>E12</f>
        <v>0</v>
      </c>
      <c r="G12" s="276">
        <v>0</v>
      </c>
      <c r="H12" s="276">
        <f>G12</f>
        <v>0</v>
      </c>
      <c r="I12" s="276"/>
      <c r="J12" s="309">
        <v>0</v>
      </c>
      <c r="K12" s="310"/>
      <c r="L12" s="310">
        <f>K12</f>
        <v>0</v>
      </c>
      <c r="M12" s="276"/>
      <c r="N12" s="309"/>
      <c r="O12" s="310"/>
      <c r="P12" s="310">
        <f>O12</f>
        <v>0</v>
      </c>
      <c r="Q12" s="311"/>
      <c r="R12" s="278"/>
    </row>
    <row r="13" spans="1:20" s="65" customFormat="1" ht="15.95" customHeight="1">
      <c r="A13" s="269">
        <v>37989</v>
      </c>
      <c r="B13" s="208"/>
      <c r="C13" s="226" t="s">
        <v>26</v>
      </c>
      <c r="D13" s="401" t="s">
        <v>182</v>
      </c>
      <c r="E13" s="661">
        <f>SUM(O143:O144)</f>
        <v>358.50195000000002</v>
      </c>
      <c r="F13" s="211"/>
      <c r="G13" s="351">
        <v>349.03750000000002</v>
      </c>
      <c r="H13" s="270"/>
      <c r="I13" s="647">
        <f>SUM(G13:G14)/E13*100</f>
        <v>97.360000412828995</v>
      </c>
      <c r="J13" s="211"/>
      <c r="K13" s="649">
        <f>10169+1400</f>
        <v>11569</v>
      </c>
      <c r="L13" s="211"/>
      <c r="M13" s="651">
        <f>K13/SUM(G13:G14)</f>
        <v>33.145435662357194</v>
      </c>
      <c r="N13" s="211"/>
      <c r="O13" s="649">
        <v>45584</v>
      </c>
      <c r="P13" s="211"/>
      <c r="Q13" s="651">
        <f>O13/SUM(G13:G14)</f>
        <v>130.59914765605413</v>
      </c>
      <c r="R13" s="211"/>
    </row>
    <row r="14" spans="1:20" s="65" customFormat="1" ht="15.95" customHeight="1">
      <c r="A14" s="188"/>
      <c r="B14" s="208"/>
      <c r="C14" s="226"/>
      <c r="D14" s="401" t="s">
        <v>183</v>
      </c>
      <c r="E14" s="662"/>
      <c r="F14" s="211"/>
      <c r="G14" s="211"/>
      <c r="H14" s="211"/>
      <c r="I14" s="648"/>
      <c r="J14" s="211"/>
      <c r="K14" s="650"/>
      <c r="L14" s="211"/>
      <c r="M14" s="652"/>
      <c r="N14" s="211"/>
      <c r="O14" s="650"/>
      <c r="P14" s="211"/>
      <c r="Q14" s="652"/>
      <c r="R14" s="211"/>
    </row>
    <row r="15" spans="1:20" s="65" customFormat="1" ht="15.95" customHeight="1">
      <c r="A15" s="209"/>
      <c r="B15" s="210"/>
      <c r="C15" s="352" t="s">
        <v>23</v>
      </c>
      <c r="D15" s="401" t="s">
        <v>182</v>
      </c>
      <c r="E15" s="645">
        <f>SUM(O145)</f>
        <v>260.8707</v>
      </c>
      <c r="F15" s="212"/>
      <c r="G15" s="212">
        <v>248.83349999999999</v>
      </c>
      <c r="H15" s="212"/>
      <c r="I15" s="647">
        <f>SUM(G15:G16)/E15*100</f>
        <v>95.672683823825366</v>
      </c>
      <c r="J15" s="212"/>
      <c r="K15" s="649">
        <v>9696</v>
      </c>
      <c r="L15" s="212"/>
      <c r="M15" s="651">
        <f>K15/SUM(G15:G16)</f>
        <v>38.848955453518286</v>
      </c>
      <c r="N15" s="212"/>
      <c r="O15" s="649">
        <v>34573</v>
      </c>
      <c r="P15" s="212"/>
      <c r="Q15" s="730">
        <f>O15/SUM(G15:G16)</f>
        <v>138.52361147839187</v>
      </c>
      <c r="R15" s="212"/>
    </row>
    <row r="16" spans="1:20" s="65" customFormat="1" ht="15.95" customHeight="1">
      <c r="A16" s="209"/>
      <c r="B16" s="210"/>
      <c r="C16" s="352"/>
      <c r="D16" s="401" t="s">
        <v>183</v>
      </c>
      <c r="E16" s="646"/>
      <c r="F16" s="212"/>
      <c r="G16" s="212">
        <v>0.74850000000000005</v>
      </c>
      <c r="H16" s="212"/>
      <c r="I16" s="648"/>
      <c r="J16" s="212"/>
      <c r="K16" s="650"/>
      <c r="L16" s="212"/>
      <c r="M16" s="652"/>
      <c r="N16" s="212"/>
      <c r="O16" s="650"/>
      <c r="P16" s="212"/>
      <c r="Q16" s="726"/>
      <c r="R16" s="212"/>
    </row>
    <row r="17" spans="1:18" s="65" customFormat="1" ht="15.95" customHeight="1">
      <c r="A17" s="178"/>
      <c r="B17" s="179"/>
      <c r="C17" s="178"/>
      <c r="D17" s="178"/>
      <c r="E17" s="276">
        <f>SUM(E13:E16)</f>
        <v>619.37265000000002</v>
      </c>
      <c r="F17" s="276">
        <f>E17+F12</f>
        <v>619.37265000000002</v>
      </c>
      <c r="G17" s="276">
        <f>SUM(G13:G16)</f>
        <v>598.61950000000002</v>
      </c>
      <c r="H17" s="276">
        <f>G17+H12</f>
        <v>598.61950000000002</v>
      </c>
      <c r="I17" s="276"/>
      <c r="J17" s="309">
        <f>H17/F17*100</f>
        <v>96.649327347599225</v>
      </c>
      <c r="K17" s="310">
        <f>SUM(K13:K16)</f>
        <v>21265</v>
      </c>
      <c r="L17" s="310">
        <f>K17+L12</f>
        <v>21265</v>
      </c>
      <c r="M17" s="276"/>
      <c r="N17" s="309">
        <f>L17/H17</f>
        <v>35.523400089706399</v>
      </c>
      <c r="O17" s="310">
        <f>SUM(O13:O16)</f>
        <v>80157</v>
      </c>
      <c r="P17" s="310">
        <f>O17+P12</f>
        <v>80157</v>
      </c>
      <c r="Q17" s="311"/>
      <c r="R17" s="278">
        <f>P17/H17</f>
        <v>133.90308868989399</v>
      </c>
    </row>
    <row r="18" spans="1:18" s="65" customFormat="1" ht="15.95" customHeight="1">
      <c r="A18" s="269">
        <v>38020</v>
      </c>
      <c r="B18" s="208"/>
      <c r="C18" s="226" t="s">
        <v>26</v>
      </c>
      <c r="D18" s="401" t="s">
        <v>182</v>
      </c>
      <c r="E18" s="661">
        <f>SUM(O147)</f>
        <v>309.29579999999999</v>
      </c>
      <c r="F18" s="211"/>
      <c r="G18" s="351">
        <v>296.94150000000002</v>
      </c>
      <c r="H18" s="270"/>
      <c r="I18" s="647">
        <f>SUM(G18:G19)/E18*100</f>
        <v>96.984666458451755</v>
      </c>
      <c r="J18" s="211"/>
      <c r="K18" s="649">
        <v>10666</v>
      </c>
      <c r="L18" s="211"/>
      <c r="M18" s="651">
        <f>K18/SUM(G18:G19)</f>
        <v>35.556948289742785</v>
      </c>
      <c r="N18" s="211"/>
      <c r="O18" s="649">
        <v>38669</v>
      </c>
      <c r="P18" s="211"/>
      <c r="Q18" s="651">
        <f>O18/SUM(G18:G19)</f>
        <v>128.90977249353682</v>
      </c>
      <c r="R18" s="211"/>
    </row>
    <row r="19" spans="1:18" s="65" customFormat="1" ht="15.95" customHeight="1">
      <c r="A19" s="188"/>
      <c r="B19" s="208"/>
      <c r="C19" s="226"/>
      <c r="D19" s="401" t="s">
        <v>183</v>
      </c>
      <c r="E19" s="662"/>
      <c r="F19" s="211"/>
      <c r="G19" s="211">
        <v>3.028</v>
      </c>
      <c r="H19" s="211"/>
      <c r="I19" s="648"/>
      <c r="J19" s="211"/>
      <c r="K19" s="650"/>
      <c r="L19" s="211"/>
      <c r="M19" s="652"/>
      <c r="N19" s="211"/>
      <c r="O19" s="650"/>
      <c r="P19" s="211"/>
      <c r="Q19" s="652"/>
      <c r="R19" s="211"/>
    </row>
    <row r="20" spans="1:18" s="65" customFormat="1" ht="15.95" customHeight="1">
      <c r="A20" s="209"/>
      <c r="B20" s="210"/>
      <c r="C20" s="352" t="s">
        <v>23</v>
      </c>
      <c r="D20" s="432" t="s">
        <v>108</v>
      </c>
      <c r="E20" s="645">
        <f>SUM(O149)</f>
        <v>317.10630000000003</v>
      </c>
      <c r="F20" s="212"/>
      <c r="G20" s="212">
        <v>297.94</v>
      </c>
      <c r="H20" s="212"/>
      <c r="I20" s="647">
        <f>SUM(G20:G21)/E20*100</f>
        <v>94.984552498641619</v>
      </c>
      <c r="J20" s="212"/>
      <c r="K20" s="649">
        <v>11553</v>
      </c>
      <c r="L20" s="212"/>
      <c r="M20" s="651">
        <f>K20/SUM(G20:G21)</f>
        <v>38.356319015145985</v>
      </c>
      <c r="N20" s="212"/>
      <c r="O20" s="649">
        <v>37099</v>
      </c>
      <c r="P20" s="212"/>
      <c r="Q20" s="730">
        <f>O20/SUM(G20:G21)</f>
        <v>123.16983286963566</v>
      </c>
      <c r="R20" s="212"/>
    </row>
    <row r="21" spans="1:18" s="65" customFormat="1" ht="15.95" customHeight="1">
      <c r="A21" s="209"/>
      <c r="B21" s="210"/>
      <c r="C21" s="352"/>
      <c r="D21" s="432" t="s">
        <v>109</v>
      </c>
      <c r="E21" s="646"/>
      <c r="F21" s="212"/>
      <c r="G21" s="212">
        <v>3.262</v>
      </c>
      <c r="H21" s="212"/>
      <c r="I21" s="648"/>
      <c r="J21" s="212"/>
      <c r="K21" s="650"/>
      <c r="L21" s="212"/>
      <c r="M21" s="652"/>
      <c r="N21" s="212"/>
      <c r="O21" s="650"/>
      <c r="P21" s="212"/>
      <c r="Q21" s="726"/>
      <c r="R21" s="212"/>
    </row>
    <row r="22" spans="1:18" s="65" customFormat="1" ht="15.95" customHeight="1">
      <c r="A22" s="178"/>
      <c r="B22" s="179"/>
      <c r="C22" s="178"/>
      <c r="D22" s="178"/>
      <c r="E22" s="276">
        <f>SUM(E18:E21)</f>
        <v>626.40210000000002</v>
      </c>
      <c r="F22" s="276">
        <f>E22+F17</f>
        <v>1245.77475</v>
      </c>
      <c r="G22" s="276">
        <f>SUM(G18:G21)</f>
        <v>601.17149999999992</v>
      </c>
      <c r="H22" s="276">
        <f>G22+H17</f>
        <v>1199.7909999999999</v>
      </c>
      <c r="I22" s="276"/>
      <c r="J22" s="309">
        <f>H22/F22*100</f>
        <v>96.308823083787814</v>
      </c>
      <c r="K22" s="310">
        <f>SUM(K18:K21)</f>
        <v>22219</v>
      </c>
      <c r="L22" s="310">
        <f>K22+L17</f>
        <v>43484</v>
      </c>
      <c r="M22" s="276"/>
      <c r="N22" s="309">
        <f>L22/H22</f>
        <v>36.242978985506646</v>
      </c>
      <c r="O22" s="310">
        <f>SUM(O18:O21)</f>
        <v>75768</v>
      </c>
      <c r="P22" s="310">
        <f>O22+P17</f>
        <v>155925</v>
      </c>
      <c r="Q22" s="311"/>
      <c r="R22" s="278">
        <f>P22/H22</f>
        <v>129.96013472346434</v>
      </c>
    </row>
    <row r="23" spans="1:18" s="65" customFormat="1" ht="15.95" customHeight="1">
      <c r="A23" s="269">
        <v>38049</v>
      </c>
      <c r="B23" s="208"/>
      <c r="C23" s="226" t="s">
        <v>170</v>
      </c>
      <c r="D23" s="432" t="s">
        <v>108</v>
      </c>
      <c r="E23" s="661">
        <f>SUM(O151:O152)</f>
        <v>370.5009</v>
      </c>
      <c r="F23" s="211"/>
      <c r="G23" s="351">
        <v>200.423</v>
      </c>
      <c r="H23" s="270"/>
      <c r="I23" s="647">
        <f>SUM(G23:G24)/E23*100</f>
        <v>95.922304102365203</v>
      </c>
      <c r="J23" s="211"/>
      <c r="K23" s="649">
        <v>12648</v>
      </c>
      <c r="L23" s="211"/>
      <c r="M23" s="651">
        <f>K23/SUM(G23:G24)</f>
        <v>35.588770741123206</v>
      </c>
      <c r="N23" s="211"/>
      <c r="O23" s="649">
        <v>42489</v>
      </c>
      <c r="P23" s="211"/>
      <c r="Q23" s="651">
        <f>O23/SUM(G23:G24)</f>
        <v>119.55497153855028</v>
      </c>
      <c r="R23" s="211"/>
    </row>
    <row r="24" spans="1:18" s="65" customFormat="1" ht="15.95" customHeight="1">
      <c r="A24" s="188"/>
      <c r="B24" s="208"/>
      <c r="C24" s="226"/>
      <c r="D24" s="432" t="s">
        <v>112</v>
      </c>
      <c r="E24" s="662"/>
      <c r="F24" s="211"/>
      <c r="G24" s="270">
        <v>154.97</v>
      </c>
      <c r="H24" s="211"/>
      <c r="I24" s="648"/>
      <c r="J24" s="211"/>
      <c r="K24" s="650"/>
      <c r="L24" s="211"/>
      <c r="M24" s="652"/>
      <c r="N24" s="211"/>
      <c r="O24" s="650"/>
      <c r="P24" s="211"/>
      <c r="Q24" s="652"/>
      <c r="R24" s="211"/>
    </row>
    <row r="25" spans="1:18" s="65" customFormat="1" ht="15.95" customHeight="1">
      <c r="A25" s="209"/>
      <c r="B25" s="210"/>
      <c r="C25" s="352" t="s">
        <v>26</v>
      </c>
      <c r="D25" s="432" t="s">
        <v>108</v>
      </c>
      <c r="E25" s="645">
        <f>SUM(O153:O154)</f>
        <v>366.91080000000005</v>
      </c>
      <c r="F25" s="212"/>
      <c r="G25" s="212">
        <v>330.97300000000001</v>
      </c>
      <c r="H25" s="212"/>
      <c r="I25" s="647">
        <f>SUM(G25:G27)/E25*100</f>
        <v>95.694375853749719</v>
      </c>
      <c r="J25" s="212"/>
      <c r="K25" s="649">
        <v>11429</v>
      </c>
      <c r="L25" s="212"/>
      <c r="M25" s="651">
        <f>K25/SUM(G25:G27)</f>
        <v>32.550774252163833</v>
      </c>
      <c r="N25" s="212"/>
      <c r="O25" s="649">
        <v>41411</v>
      </c>
      <c r="P25" s="212"/>
      <c r="Q25" s="730">
        <f>O25/SUM(G25:G27)</f>
        <v>117.94208702041793</v>
      </c>
      <c r="R25" s="212"/>
    </row>
    <row r="26" spans="1:18" s="65" customFormat="1" ht="15.95" customHeight="1">
      <c r="A26" s="209"/>
      <c r="B26" s="210"/>
      <c r="C26" s="352"/>
      <c r="D26" s="432" t="s">
        <v>112</v>
      </c>
      <c r="E26" s="662"/>
      <c r="F26" s="212"/>
      <c r="G26" s="212">
        <v>17.332000000000001</v>
      </c>
      <c r="H26" s="212"/>
      <c r="I26" s="665"/>
      <c r="J26" s="212"/>
      <c r="K26" s="650"/>
      <c r="L26" s="212"/>
      <c r="M26" s="652"/>
      <c r="N26" s="212"/>
      <c r="O26" s="650"/>
      <c r="P26" s="212"/>
      <c r="Q26" s="652"/>
      <c r="R26" s="212"/>
    </row>
    <row r="27" spans="1:18" s="65" customFormat="1" ht="15.95" customHeight="1">
      <c r="A27" s="209"/>
      <c r="B27" s="210"/>
      <c r="C27" s="352"/>
      <c r="D27" s="432" t="s">
        <v>206</v>
      </c>
      <c r="E27" s="646"/>
      <c r="F27" s="212"/>
      <c r="G27" s="212">
        <v>2.8079999999999998</v>
      </c>
      <c r="H27" s="212"/>
      <c r="I27" s="648"/>
      <c r="J27" s="212"/>
      <c r="K27" s="650"/>
      <c r="L27" s="212"/>
      <c r="M27" s="652"/>
      <c r="N27" s="212"/>
      <c r="O27" s="650"/>
      <c r="P27" s="212"/>
      <c r="Q27" s="726"/>
      <c r="R27" s="212"/>
    </row>
    <row r="28" spans="1:18" s="65" customFormat="1" ht="15.95" customHeight="1">
      <c r="A28" s="178"/>
      <c r="B28" s="179"/>
      <c r="C28" s="178"/>
      <c r="D28" s="178"/>
      <c r="E28" s="276">
        <f>SUM(E23:E27)</f>
        <v>737.41170000000011</v>
      </c>
      <c r="F28" s="276">
        <f>E28+F22</f>
        <v>1983.1864500000001</v>
      </c>
      <c r="G28" s="276">
        <f>SUM(G23:G27)</f>
        <v>706.50599999999997</v>
      </c>
      <c r="H28" s="276">
        <f>G28+H22</f>
        <v>1906.297</v>
      </c>
      <c r="I28" s="276"/>
      <c r="J28" s="309">
        <f>H28/F28*100</f>
        <v>96.122933877447565</v>
      </c>
      <c r="K28" s="310">
        <f>SUM(K23:K27)</f>
        <v>24077</v>
      </c>
      <c r="L28" s="310">
        <f>K28+L22</f>
        <v>67561</v>
      </c>
      <c r="M28" s="276"/>
      <c r="N28" s="309">
        <f>L28/H28</f>
        <v>35.44096224250471</v>
      </c>
      <c r="O28" s="310">
        <f>SUM(O23:O27)</f>
        <v>83900</v>
      </c>
      <c r="P28" s="310">
        <f>O28+P22</f>
        <v>239825</v>
      </c>
      <c r="Q28" s="311"/>
      <c r="R28" s="278">
        <f>P28/H28</f>
        <v>125.80673420773363</v>
      </c>
    </row>
    <row r="29" spans="1:18" s="65" customFormat="1" ht="15.95" customHeight="1">
      <c r="A29" s="269">
        <v>38080</v>
      </c>
      <c r="B29" s="208"/>
      <c r="C29" s="226" t="s">
        <v>170</v>
      </c>
      <c r="D29" s="432" t="s">
        <v>108</v>
      </c>
      <c r="E29" s="661">
        <f>SUM(O156:O158)</f>
        <v>384.92020000000002</v>
      </c>
      <c r="F29" s="211"/>
      <c r="G29" s="351">
        <v>162.79599999999999</v>
      </c>
      <c r="H29" s="270"/>
      <c r="I29" s="647">
        <f>SUM(G29:G30)/E29*100</f>
        <v>95.98431051423124</v>
      </c>
      <c r="J29" s="211"/>
      <c r="K29" s="649">
        <v>11741</v>
      </c>
      <c r="L29" s="211"/>
      <c r="M29" s="651">
        <f>K29/SUM(G29:G30)</f>
        <v>31.778554280130894</v>
      </c>
      <c r="N29" s="211"/>
      <c r="O29" s="649">
        <v>42073</v>
      </c>
      <c r="P29" s="211"/>
      <c r="Q29" s="651">
        <f>O29/SUM(G29:G30)</f>
        <v>113.8760850206922</v>
      </c>
      <c r="R29" s="211"/>
    </row>
    <row r="30" spans="1:18" s="65" customFormat="1" ht="15.95" customHeight="1">
      <c r="A30" s="188"/>
      <c r="B30" s="208"/>
      <c r="C30" s="226"/>
      <c r="D30" s="432" t="s">
        <v>112</v>
      </c>
      <c r="E30" s="662"/>
      <c r="F30" s="211"/>
      <c r="G30" s="270">
        <v>206.667</v>
      </c>
      <c r="H30" s="211"/>
      <c r="I30" s="648"/>
      <c r="J30" s="211"/>
      <c r="K30" s="650"/>
      <c r="L30" s="211"/>
      <c r="M30" s="652"/>
      <c r="N30" s="211"/>
      <c r="O30" s="650"/>
      <c r="P30" s="211"/>
      <c r="Q30" s="652"/>
      <c r="R30" s="211"/>
    </row>
    <row r="31" spans="1:18" s="65" customFormat="1" ht="15.95" customHeight="1">
      <c r="A31" s="209"/>
      <c r="B31" s="210"/>
      <c r="C31" s="352" t="s">
        <v>26</v>
      </c>
      <c r="D31" s="432" t="s">
        <v>207</v>
      </c>
      <c r="E31" s="645">
        <f>SUM(O159:O160)</f>
        <v>359.30599999999998</v>
      </c>
      <c r="F31" s="212"/>
      <c r="G31" s="212">
        <v>314.09100000000001</v>
      </c>
      <c r="H31" s="212"/>
      <c r="I31" s="647">
        <f>SUM(G31:G32)/E31*100</f>
        <v>94.894045743739326</v>
      </c>
      <c r="J31" s="212"/>
      <c r="K31" s="649">
        <v>12635</v>
      </c>
      <c r="L31" s="212"/>
      <c r="M31" s="651">
        <f>K31/SUM(G31:G32)</f>
        <v>37.057132801501638</v>
      </c>
      <c r="N31" s="212"/>
      <c r="O31" s="649">
        <v>28367</v>
      </c>
      <c r="P31" s="212"/>
      <c r="Q31" s="730">
        <f>O31/SUM(G31:G32)</f>
        <v>83.197442515251041</v>
      </c>
      <c r="R31" s="212"/>
    </row>
    <row r="32" spans="1:18" s="65" customFormat="1" ht="15.95" customHeight="1">
      <c r="A32" s="209"/>
      <c r="B32" s="210"/>
      <c r="C32" s="352"/>
      <c r="D32" s="432" t="s">
        <v>208</v>
      </c>
      <c r="E32" s="646"/>
      <c r="F32" s="212"/>
      <c r="G32" s="212">
        <v>26.869</v>
      </c>
      <c r="H32" s="212"/>
      <c r="I32" s="648"/>
      <c r="J32" s="212"/>
      <c r="K32" s="650"/>
      <c r="L32" s="212"/>
      <c r="M32" s="652"/>
      <c r="N32" s="212"/>
      <c r="O32" s="650"/>
      <c r="P32" s="212"/>
      <c r="Q32" s="726"/>
      <c r="R32" s="212"/>
    </row>
    <row r="33" spans="1:18" s="65" customFormat="1" ht="15.95" customHeight="1">
      <c r="A33" s="178"/>
      <c r="B33" s="179"/>
      <c r="C33" s="178"/>
      <c r="D33" s="178"/>
      <c r="E33" s="276">
        <f>SUM(E29:E32)</f>
        <v>744.22620000000006</v>
      </c>
      <c r="F33" s="276">
        <f>E33+F28</f>
        <v>2727.4126500000002</v>
      </c>
      <c r="G33" s="276">
        <f>SUM(G29:G32)</f>
        <v>710.423</v>
      </c>
      <c r="H33" s="276">
        <f>G33+H28</f>
        <v>2616.7200000000003</v>
      </c>
      <c r="I33" s="276"/>
      <c r="J33" s="309">
        <f>H33/F33*100</f>
        <v>95.941477722485445</v>
      </c>
      <c r="K33" s="310">
        <f>SUM(K29:K32)</f>
        <v>24376</v>
      </c>
      <c r="L33" s="310">
        <f>K33+L28</f>
        <v>91937</v>
      </c>
      <c r="M33" s="276"/>
      <c r="N33" s="309">
        <f>L33/H33</f>
        <v>35.134443119630681</v>
      </c>
      <c r="O33" s="310">
        <f>SUM(O29:O32)</f>
        <v>70440</v>
      </c>
      <c r="P33" s="310">
        <f>O33+P28</f>
        <v>310265</v>
      </c>
      <c r="Q33" s="311"/>
      <c r="R33" s="278">
        <f>P33/H33</f>
        <v>118.57019474762296</v>
      </c>
    </row>
    <row r="34" spans="1:18" s="65" customFormat="1" ht="15.95" customHeight="1">
      <c r="A34" s="269">
        <v>38110</v>
      </c>
      <c r="B34" s="208"/>
      <c r="C34" s="226" t="s">
        <v>23</v>
      </c>
      <c r="D34" s="432" t="s">
        <v>207</v>
      </c>
      <c r="E34" s="661">
        <f>SUM(O162:O163)</f>
        <v>401.48540000000003</v>
      </c>
      <c r="F34" s="211"/>
      <c r="G34" s="351">
        <v>381.72199999999998</v>
      </c>
      <c r="H34" s="270"/>
      <c r="I34" s="647">
        <f>SUM(G34:G36)/E34*100</f>
        <v>96.382832352060603</v>
      </c>
      <c r="J34" s="211"/>
      <c r="K34" s="649">
        <v>12886</v>
      </c>
      <c r="L34" s="211"/>
      <c r="M34" s="651">
        <f>K34/SUM(G34:G36)</f>
        <v>33.300341376307301</v>
      </c>
      <c r="N34" s="211"/>
      <c r="O34" s="649">
        <v>29599</v>
      </c>
      <c r="P34" s="211"/>
      <c r="Q34" s="651">
        <f>O34/SUM(G34:G36)</f>
        <v>76.490517181229222</v>
      </c>
      <c r="R34" s="211"/>
    </row>
    <row r="35" spans="1:18" s="65" customFormat="1" ht="15.95" customHeight="1">
      <c r="A35" s="269"/>
      <c r="B35" s="208"/>
      <c r="C35" s="226"/>
      <c r="D35" s="432" t="s">
        <v>211</v>
      </c>
      <c r="E35" s="662"/>
      <c r="F35" s="211"/>
      <c r="G35" s="351">
        <v>3.5910000000000002</v>
      </c>
      <c r="H35" s="270"/>
      <c r="I35" s="665"/>
      <c r="J35" s="211"/>
      <c r="K35" s="650"/>
      <c r="L35" s="211"/>
      <c r="M35" s="652"/>
      <c r="N35" s="211"/>
      <c r="O35" s="650"/>
      <c r="P35" s="211"/>
      <c r="Q35" s="652"/>
      <c r="R35" s="211"/>
    </row>
    <row r="36" spans="1:18" s="65" customFormat="1" ht="15.95" customHeight="1">
      <c r="A36" s="188"/>
      <c r="B36" s="208"/>
      <c r="C36" s="226"/>
      <c r="D36" s="432" t="s">
        <v>212</v>
      </c>
      <c r="E36" s="662"/>
      <c r="F36" s="211"/>
      <c r="G36" s="270">
        <v>1.65</v>
      </c>
      <c r="H36" s="211"/>
      <c r="I36" s="648"/>
      <c r="J36" s="211"/>
      <c r="K36" s="650"/>
      <c r="L36" s="211"/>
      <c r="M36" s="652"/>
      <c r="N36" s="211"/>
      <c r="O36" s="650"/>
      <c r="P36" s="211"/>
      <c r="Q36" s="652"/>
      <c r="R36" s="211"/>
    </row>
    <row r="37" spans="1:18" s="65" customFormat="1" ht="15.95" customHeight="1">
      <c r="A37" s="209"/>
      <c r="B37" s="210"/>
      <c r="C37" s="352" t="s">
        <v>170</v>
      </c>
      <c r="D37" s="432" t="s">
        <v>45</v>
      </c>
      <c r="E37" s="645">
        <f>SUM(O165:O166)</f>
        <v>346.78620000000001</v>
      </c>
      <c r="F37" s="212"/>
      <c r="G37" s="212">
        <v>326.43900000000002</v>
      </c>
      <c r="H37" s="212"/>
      <c r="I37" s="647">
        <f>SUM(G37:G38)/E37*100</f>
        <v>94.132638495995522</v>
      </c>
      <c r="J37" s="212"/>
      <c r="K37" s="649">
        <v>11808</v>
      </c>
      <c r="L37" s="212"/>
      <c r="M37" s="651">
        <f>K37/SUM(G37:G38)</f>
        <v>36.172148548427117</v>
      </c>
      <c r="N37" s="212"/>
      <c r="O37" s="649">
        <v>38531</v>
      </c>
      <c r="P37" s="212"/>
      <c r="Q37" s="730">
        <f>O37/SUM(G37:G38)</f>
        <v>118.03430349927551</v>
      </c>
      <c r="R37" s="212"/>
    </row>
    <row r="38" spans="1:18" s="65" customFormat="1" ht="15.95" customHeight="1">
      <c r="A38" s="209"/>
      <c r="B38" s="210"/>
      <c r="C38" s="352"/>
      <c r="D38" s="432" t="s">
        <v>46</v>
      </c>
      <c r="E38" s="646"/>
      <c r="F38" s="212"/>
      <c r="G38" s="212"/>
      <c r="H38" s="212"/>
      <c r="I38" s="648"/>
      <c r="J38" s="212"/>
      <c r="K38" s="650"/>
      <c r="L38" s="212"/>
      <c r="M38" s="652"/>
      <c r="N38" s="212"/>
      <c r="O38" s="650"/>
      <c r="P38" s="212"/>
      <c r="Q38" s="726"/>
      <c r="R38" s="212"/>
    </row>
    <row r="39" spans="1:18" s="65" customFormat="1" ht="15.95" customHeight="1">
      <c r="A39" s="178"/>
      <c r="B39" s="179"/>
      <c r="C39" s="178"/>
      <c r="D39" s="178"/>
      <c r="E39" s="276">
        <f>SUM(E34:E38)</f>
        <v>748.27160000000003</v>
      </c>
      <c r="F39" s="276">
        <f>E39+F33</f>
        <v>3475.6842500000002</v>
      </c>
      <c r="G39" s="276">
        <f>SUM(G34:G38)</f>
        <v>713.40200000000004</v>
      </c>
      <c r="H39" s="276">
        <f>G39+H33</f>
        <v>3330.1220000000003</v>
      </c>
      <c r="I39" s="276"/>
      <c r="J39" s="309">
        <f>H39/F39*100</f>
        <v>95.811982921060803</v>
      </c>
      <c r="K39" s="310">
        <f>SUM(K34:K38)</f>
        <v>24694</v>
      </c>
      <c r="L39" s="310">
        <f>K39+L33</f>
        <v>116631</v>
      </c>
      <c r="M39" s="276"/>
      <c r="N39" s="309">
        <f>L39/H39</f>
        <v>35.023041197890045</v>
      </c>
      <c r="O39" s="310">
        <f>SUM(O34:O38)</f>
        <v>68130</v>
      </c>
      <c r="P39" s="310">
        <f>O39+P33</f>
        <v>378395</v>
      </c>
      <c r="Q39" s="311"/>
      <c r="R39" s="278">
        <f>P39/H39</f>
        <v>113.62796918551331</v>
      </c>
    </row>
    <row r="40" spans="1:18" s="65" customFormat="1" ht="15.95" customHeight="1">
      <c r="A40" s="269">
        <v>38141</v>
      </c>
      <c r="B40" s="208"/>
      <c r="C40" s="226" t="s">
        <v>23</v>
      </c>
      <c r="D40" s="432" t="s">
        <v>45</v>
      </c>
      <c r="E40" s="661">
        <f>SUM(O168:O168)</f>
        <v>385.83870000000002</v>
      </c>
      <c r="F40" s="211"/>
      <c r="G40" s="351">
        <v>366.95400000000001</v>
      </c>
      <c r="H40" s="270"/>
      <c r="I40" s="647">
        <f>SUM(G40:G41)/E40*100</f>
        <v>95.105545400189257</v>
      </c>
      <c r="J40" s="211"/>
      <c r="K40" s="649">
        <v>12994</v>
      </c>
      <c r="L40" s="211"/>
      <c r="M40" s="651">
        <f>K40/SUM(G40:G41)</f>
        <v>35.410432915297285</v>
      </c>
      <c r="N40" s="211"/>
      <c r="O40" s="649">
        <v>41318</v>
      </c>
      <c r="P40" s="211"/>
      <c r="Q40" s="651">
        <f>O40/SUM(G40:G41)</f>
        <v>112.59721926999025</v>
      </c>
      <c r="R40" s="211"/>
    </row>
    <row r="41" spans="1:18" s="65" customFormat="1" ht="15.95" customHeight="1">
      <c r="A41" s="269"/>
      <c r="B41" s="208"/>
      <c r="C41" s="226"/>
      <c r="D41" s="432" t="s">
        <v>46</v>
      </c>
      <c r="E41" s="662"/>
      <c r="F41" s="211"/>
      <c r="G41" s="351"/>
      <c r="H41" s="270"/>
      <c r="I41" s="665"/>
      <c r="J41" s="211"/>
      <c r="K41" s="650"/>
      <c r="L41" s="211"/>
      <c r="M41" s="652"/>
      <c r="N41" s="211"/>
      <c r="O41" s="650"/>
      <c r="P41" s="211"/>
      <c r="Q41" s="652"/>
      <c r="R41" s="211"/>
    </row>
    <row r="42" spans="1:18" s="65" customFormat="1" ht="15.95" customHeight="1">
      <c r="A42" s="209"/>
      <c r="B42" s="210"/>
      <c r="C42" s="352" t="s">
        <v>170</v>
      </c>
      <c r="D42" s="432" t="s">
        <v>114</v>
      </c>
      <c r="E42" s="645">
        <f>SUM(O170:O171)</f>
        <v>379.59030000000001</v>
      </c>
      <c r="F42" s="212"/>
      <c r="G42" s="212">
        <v>359.94900000000001</v>
      </c>
      <c r="H42" s="212"/>
      <c r="I42" s="647">
        <f>SUM(G42:G43)/E42*100</f>
        <v>95.554865337707511</v>
      </c>
      <c r="J42" s="212"/>
      <c r="K42" s="649">
        <v>13374</v>
      </c>
      <c r="L42" s="212"/>
      <c r="M42" s="651">
        <f>K42/SUM(G42:G43)</f>
        <v>36.87172092843732</v>
      </c>
      <c r="N42" s="212"/>
      <c r="O42" s="649">
        <v>38700</v>
      </c>
      <c r="P42" s="212"/>
      <c r="Q42" s="730">
        <f>O42/SUM(G42:G43)</f>
        <v>106.69475100422645</v>
      </c>
      <c r="R42" s="212"/>
    </row>
    <row r="43" spans="1:18" s="65" customFormat="1" ht="15.95" customHeight="1">
      <c r="A43" s="209"/>
      <c r="B43" s="210"/>
      <c r="C43" s="352"/>
      <c r="D43" s="432" t="s">
        <v>115</v>
      </c>
      <c r="E43" s="646"/>
      <c r="F43" s="212"/>
      <c r="G43" s="212">
        <v>2.7679999999999998</v>
      </c>
      <c r="H43" s="212"/>
      <c r="I43" s="648"/>
      <c r="J43" s="212"/>
      <c r="K43" s="650"/>
      <c r="L43" s="212"/>
      <c r="M43" s="652"/>
      <c r="N43" s="212"/>
      <c r="O43" s="650"/>
      <c r="P43" s="212"/>
      <c r="Q43" s="726"/>
      <c r="R43" s="212"/>
    </row>
    <row r="44" spans="1:18" s="65" customFormat="1" ht="15.95" customHeight="1">
      <c r="A44" s="178"/>
      <c r="B44" s="179"/>
      <c r="C44" s="178"/>
      <c r="D44" s="178"/>
      <c r="E44" s="276">
        <f>SUM(E40:E43)</f>
        <v>765.42900000000009</v>
      </c>
      <c r="F44" s="276">
        <f>E44+F39</f>
        <v>4241.1132500000003</v>
      </c>
      <c r="G44" s="276">
        <f>SUM(G40:G43)</f>
        <v>729.67100000000005</v>
      </c>
      <c r="H44" s="276">
        <f>G44+H39</f>
        <v>4059.7930000000006</v>
      </c>
      <c r="I44" s="276"/>
      <c r="J44" s="309">
        <f>H44/F44*100</f>
        <v>95.724701527364303</v>
      </c>
      <c r="K44" s="310">
        <f>SUM(K40:K43)</f>
        <v>26368</v>
      </c>
      <c r="L44" s="310">
        <f>K44+L39</f>
        <v>142999</v>
      </c>
      <c r="M44" s="276"/>
      <c r="N44" s="309">
        <f>L44/H44</f>
        <v>35.223224435334508</v>
      </c>
      <c r="O44" s="310">
        <f>SUM(O40:O43)</f>
        <v>80018</v>
      </c>
      <c r="P44" s="310">
        <f>O44+P39</f>
        <v>458413</v>
      </c>
      <c r="Q44" s="311"/>
      <c r="R44" s="278">
        <f>P44/H44</f>
        <v>112.91536292613932</v>
      </c>
    </row>
    <row r="45" spans="1:18" s="65" customFormat="1" ht="15.95" customHeight="1">
      <c r="A45" s="269">
        <v>38171</v>
      </c>
      <c r="B45" s="208"/>
      <c r="C45" s="226" t="s">
        <v>26</v>
      </c>
      <c r="D45" s="432" t="s">
        <v>40</v>
      </c>
      <c r="E45" s="661">
        <f>SUM(O173:O175)</f>
        <v>397.17060000000004</v>
      </c>
      <c r="F45" s="211"/>
      <c r="G45" s="351">
        <v>328.88400000000001</v>
      </c>
      <c r="H45" s="270"/>
      <c r="I45" s="647">
        <f>SUM(G45:G49)/E45*100</f>
        <v>96.748601230806102</v>
      </c>
      <c r="J45" s="211"/>
      <c r="K45" s="649">
        <v>12306</v>
      </c>
      <c r="L45" s="211"/>
      <c r="M45" s="651">
        <f>K45/SUM(G45:G49)</f>
        <v>32.025441306209125</v>
      </c>
      <c r="N45" s="211"/>
      <c r="O45" s="649">
        <v>37976</v>
      </c>
      <c r="P45" s="211"/>
      <c r="Q45" s="651">
        <f>O45/SUM(G45:G49)</f>
        <v>98.829689504680459</v>
      </c>
      <c r="R45" s="211"/>
    </row>
    <row r="46" spans="1:18" s="65" customFormat="1" ht="15.95" customHeight="1">
      <c r="A46" s="269"/>
      <c r="B46" s="208"/>
      <c r="C46" s="226"/>
      <c r="D46" s="529" t="s">
        <v>141</v>
      </c>
      <c r="E46" s="662"/>
      <c r="F46" s="211"/>
      <c r="G46" s="351">
        <v>1.536</v>
      </c>
      <c r="H46" s="270"/>
      <c r="I46" s="665"/>
      <c r="J46" s="211"/>
      <c r="K46" s="650"/>
      <c r="L46" s="211"/>
      <c r="M46" s="652"/>
      <c r="N46" s="211"/>
      <c r="O46" s="650"/>
      <c r="P46" s="211"/>
      <c r="Q46" s="652"/>
      <c r="R46" s="211"/>
    </row>
    <row r="47" spans="1:18" s="65" customFormat="1" ht="15.95" customHeight="1">
      <c r="A47" s="269"/>
      <c r="B47" s="208"/>
      <c r="C47" s="226"/>
      <c r="D47" s="432" t="s">
        <v>114</v>
      </c>
      <c r="E47" s="662"/>
      <c r="F47" s="211"/>
      <c r="G47" s="351">
        <v>49.546999999999997</v>
      </c>
      <c r="H47" s="270"/>
      <c r="I47" s="665"/>
      <c r="J47" s="211"/>
      <c r="K47" s="650"/>
      <c r="L47" s="211"/>
      <c r="M47" s="652"/>
      <c r="N47" s="211"/>
      <c r="O47" s="650"/>
      <c r="P47" s="211"/>
      <c r="Q47" s="652"/>
      <c r="R47" s="211"/>
    </row>
    <row r="48" spans="1:18" s="65" customFormat="1" ht="15.95" customHeight="1">
      <c r="A48" s="269"/>
      <c r="B48" s="208"/>
      <c r="C48" s="226"/>
      <c r="D48" s="432" t="s">
        <v>214</v>
      </c>
      <c r="E48" s="662"/>
      <c r="F48" s="211"/>
      <c r="G48" s="351">
        <v>0.58399999999999996</v>
      </c>
      <c r="H48" s="270"/>
      <c r="I48" s="665"/>
      <c r="J48" s="211"/>
      <c r="K48" s="650"/>
      <c r="L48" s="211"/>
      <c r="M48" s="652"/>
      <c r="N48" s="211"/>
      <c r="O48" s="650"/>
      <c r="P48" s="211"/>
      <c r="Q48" s="652"/>
      <c r="R48" s="211"/>
    </row>
    <row r="49" spans="1:18" s="65" customFormat="1" ht="15.95" customHeight="1">
      <c r="A49" s="188"/>
      <c r="B49" s="208"/>
      <c r="C49" s="226"/>
      <c r="D49" s="432" t="s">
        <v>212</v>
      </c>
      <c r="E49" s="662"/>
      <c r="F49" s="211"/>
      <c r="G49" s="270">
        <v>3.706</v>
      </c>
      <c r="H49" s="270"/>
      <c r="I49" s="648"/>
      <c r="J49" s="211"/>
      <c r="K49" s="650"/>
      <c r="L49" s="211"/>
      <c r="M49" s="652"/>
      <c r="N49" s="211"/>
      <c r="O49" s="650"/>
      <c r="P49" s="211"/>
      <c r="Q49" s="652"/>
      <c r="R49" s="211"/>
    </row>
    <row r="50" spans="1:18" s="65" customFormat="1" ht="15.95" customHeight="1">
      <c r="A50" s="209"/>
      <c r="B50" s="210"/>
      <c r="C50" s="352" t="s">
        <v>23</v>
      </c>
      <c r="D50" s="432" t="s">
        <v>40</v>
      </c>
      <c r="E50" s="444">
        <f>SUM(O176:O177)</f>
        <v>446.06169999999997</v>
      </c>
      <c r="F50" s="212"/>
      <c r="G50" s="212">
        <v>431.59399999999999</v>
      </c>
      <c r="H50" s="212"/>
      <c r="I50" s="445">
        <f>SUM(G50:G50)/E50*100</f>
        <v>96.756569774988535</v>
      </c>
      <c r="J50" s="212"/>
      <c r="K50" s="451">
        <v>15444</v>
      </c>
      <c r="L50" s="212"/>
      <c r="M50" s="452">
        <f>K50/SUM(G50:G50)</f>
        <v>35.783629985588306</v>
      </c>
      <c r="N50" s="212"/>
      <c r="O50" s="451">
        <v>40440</v>
      </c>
      <c r="P50" s="212"/>
      <c r="Q50" s="453">
        <f>O50/SUM(G50:G50)</f>
        <v>93.699170980134113</v>
      </c>
      <c r="R50" s="212"/>
    </row>
    <row r="51" spans="1:18" s="65" customFormat="1" ht="15.95" customHeight="1">
      <c r="A51" s="178"/>
      <c r="B51" s="179"/>
      <c r="C51" s="178"/>
      <c r="D51" s="178"/>
      <c r="E51" s="276">
        <f>SUM(E45:E50)</f>
        <v>843.23230000000001</v>
      </c>
      <c r="F51" s="276">
        <f>E51+F44</f>
        <v>5084.34555</v>
      </c>
      <c r="G51" s="276">
        <f>SUM(G45:G50)</f>
        <v>815.851</v>
      </c>
      <c r="H51" s="276">
        <f>G51+H44</f>
        <v>4875.6440000000002</v>
      </c>
      <c r="I51" s="276"/>
      <c r="J51" s="309">
        <f>H51/F51*100</f>
        <v>95.89521310171375</v>
      </c>
      <c r="K51" s="310">
        <f>SUM(K45:K50)</f>
        <v>27750</v>
      </c>
      <c r="L51" s="310">
        <f>K51+L44</f>
        <v>170749</v>
      </c>
      <c r="M51" s="276"/>
      <c r="N51" s="309">
        <f>L51/H51</f>
        <v>35.020809558696243</v>
      </c>
      <c r="O51" s="310">
        <f>SUM(O45:O50)</f>
        <v>78416</v>
      </c>
      <c r="P51" s="310">
        <f>O51+P44</f>
        <v>536829</v>
      </c>
      <c r="Q51" s="311"/>
      <c r="R51" s="278">
        <f>P51/H51</f>
        <v>110.10422418043646</v>
      </c>
    </row>
    <row r="52" spans="1:18" s="65" customFormat="1" ht="15.95" customHeight="1">
      <c r="A52" s="269">
        <v>38202</v>
      </c>
      <c r="B52" s="208"/>
      <c r="C52" s="226" t="s">
        <v>26</v>
      </c>
      <c r="D52" s="432" t="s">
        <v>40</v>
      </c>
      <c r="E52" s="661">
        <f>SUM(O179:O183)</f>
        <v>451.77825000000001</v>
      </c>
      <c r="F52" s="211"/>
      <c r="G52" s="351">
        <v>118.46599999999999</v>
      </c>
      <c r="H52" s="270"/>
      <c r="I52" s="647">
        <f>SUM(G52:G54)/E52*100</f>
        <v>95.773092219468296</v>
      </c>
      <c r="J52" s="211"/>
      <c r="K52" s="649">
        <v>13732</v>
      </c>
      <c r="L52" s="211"/>
      <c r="M52" s="651">
        <f>K52/SUM(G52:G54)</f>
        <v>31.73693382206794</v>
      </c>
      <c r="N52" s="211"/>
      <c r="O52" s="649">
        <v>42812</v>
      </c>
      <c r="P52" s="211"/>
      <c r="Q52" s="651">
        <f>O52/SUM(G52:G54)</f>
        <v>98.945645994055681</v>
      </c>
      <c r="R52" s="211"/>
    </row>
    <row r="53" spans="1:18" s="65" customFormat="1" ht="15.95" customHeight="1">
      <c r="A53" s="269"/>
      <c r="B53" s="208"/>
      <c r="C53" s="226"/>
      <c r="D53" s="432" t="s">
        <v>114</v>
      </c>
      <c r="E53" s="662"/>
      <c r="F53" s="211"/>
      <c r="G53" s="459">
        <v>313.22000000000003</v>
      </c>
      <c r="H53" s="270"/>
      <c r="I53" s="665"/>
      <c r="J53" s="211"/>
      <c r="K53" s="650"/>
      <c r="L53" s="211"/>
      <c r="M53" s="652"/>
      <c r="N53" s="211"/>
      <c r="O53" s="650"/>
      <c r="P53" s="211"/>
      <c r="Q53" s="652"/>
      <c r="R53" s="211"/>
    </row>
    <row r="54" spans="1:18" s="65" customFormat="1" ht="15.95" customHeight="1">
      <c r="A54" s="269"/>
      <c r="B54" s="208"/>
      <c r="C54" s="226"/>
      <c r="D54" s="432" t="s">
        <v>116</v>
      </c>
      <c r="E54" s="662"/>
      <c r="F54" s="211"/>
      <c r="G54" s="351">
        <v>0.996</v>
      </c>
      <c r="H54" s="270"/>
      <c r="I54" s="665"/>
      <c r="J54" s="211"/>
      <c r="K54" s="650"/>
      <c r="L54" s="211"/>
      <c r="M54" s="652"/>
      <c r="N54" s="211"/>
      <c r="O54" s="650"/>
      <c r="P54" s="211"/>
      <c r="Q54" s="652"/>
      <c r="R54" s="211"/>
    </row>
    <row r="55" spans="1:18" s="65" customFormat="1" ht="15.95" customHeight="1">
      <c r="A55" s="209"/>
      <c r="B55" s="210"/>
      <c r="C55" s="352" t="s">
        <v>23</v>
      </c>
      <c r="D55" s="432" t="s">
        <v>41</v>
      </c>
      <c r="E55" s="444">
        <f>SUM(O184:O185)</f>
        <v>280.66720000000004</v>
      </c>
      <c r="F55" s="212"/>
      <c r="G55" s="431">
        <v>259.42</v>
      </c>
      <c r="H55" s="212"/>
      <c r="I55" s="445">
        <f>SUM(G55:G55)/E55*100</f>
        <v>92.429753102606924</v>
      </c>
      <c r="J55" s="212"/>
      <c r="K55" s="451">
        <v>11462</v>
      </c>
      <c r="L55" s="212"/>
      <c r="M55" s="452">
        <f>K55/SUM(G55:G55)</f>
        <v>44.183177858299281</v>
      </c>
      <c r="N55" s="212"/>
      <c r="O55" s="451">
        <v>22946</v>
      </c>
      <c r="P55" s="212"/>
      <c r="Q55" s="453">
        <f>O55/SUM(G55:G55)</f>
        <v>88.451160280626013</v>
      </c>
      <c r="R55" s="212"/>
    </row>
    <row r="56" spans="1:18" s="65" customFormat="1" ht="15.95" customHeight="1">
      <c r="A56" s="178"/>
      <c r="B56" s="179"/>
      <c r="C56" s="178"/>
      <c r="D56" s="178"/>
      <c r="E56" s="276">
        <f>SUM(E52:E55)</f>
        <v>732.44545000000005</v>
      </c>
      <c r="F56" s="276">
        <f>E56+F51</f>
        <v>5816.7910000000002</v>
      </c>
      <c r="G56" s="276">
        <f>SUM(G52:G55)</f>
        <v>692.10200000000009</v>
      </c>
      <c r="H56" s="276">
        <f>G56+H51</f>
        <v>5567.7460000000001</v>
      </c>
      <c r="I56" s="276"/>
      <c r="J56" s="309">
        <f>H56/F56*100</f>
        <v>95.718515587030723</v>
      </c>
      <c r="K56" s="310">
        <f>SUM(K52:K55)</f>
        <v>25194</v>
      </c>
      <c r="L56" s="310">
        <f>K56+L51</f>
        <v>195943</v>
      </c>
      <c r="M56" s="276"/>
      <c r="N56" s="309">
        <f>L56/H56</f>
        <v>35.192517762124922</v>
      </c>
      <c r="O56" s="310">
        <f>SUM(O52:O55)</f>
        <v>65758</v>
      </c>
      <c r="P56" s="310">
        <f>O56+P51</f>
        <v>602587</v>
      </c>
      <c r="Q56" s="311"/>
      <c r="R56" s="278">
        <f>P56/H56</f>
        <v>108.22817707560654</v>
      </c>
    </row>
    <row r="57" spans="1:18" s="65" customFormat="1" ht="15.95" customHeight="1">
      <c r="A57" s="269">
        <v>38233</v>
      </c>
      <c r="B57" s="208"/>
      <c r="C57" s="226" t="s">
        <v>170</v>
      </c>
      <c r="D57" s="432" t="s">
        <v>41</v>
      </c>
      <c r="E57" s="661">
        <f>SUM(O187:O188)</f>
        <v>237.654</v>
      </c>
      <c r="F57" s="211"/>
      <c r="G57" s="351">
        <v>209.643</v>
      </c>
      <c r="H57" s="270"/>
      <c r="I57" s="647">
        <f>SUM(G57:G59)/E57*100</f>
        <v>94.267296153231172</v>
      </c>
      <c r="J57" s="211"/>
      <c r="K57" s="649">
        <f>(8143+89)*0.96</f>
        <v>7902.7199999999993</v>
      </c>
      <c r="L57" s="211"/>
      <c r="M57" s="651">
        <f>K57/SUM(G57:G59)</f>
        <v>35.275275632727755</v>
      </c>
      <c r="N57" s="211"/>
      <c r="O57" s="649">
        <v>20528</v>
      </c>
      <c r="P57" s="211"/>
      <c r="Q57" s="651">
        <f>O57/SUM(G57:G59)</f>
        <v>91.630585189483554</v>
      </c>
      <c r="R57" s="211"/>
    </row>
    <row r="58" spans="1:18" s="65" customFormat="1" ht="15.95" customHeight="1">
      <c r="A58" s="269"/>
      <c r="B58" s="208"/>
      <c r="C58" s="226"/>
      <c r="D58" s="432" t="s">
        <v>219</v>
      </c>
      <c r="E58" s="662"/>
      <c r="F58" s="211"/>
      <c r="G58" s="459">
        <v>11.539</v>
      </c>
      <c r="H58" s="270"/>
      <c r="I58" s="665"/>
      <c r="J58" s="211"/>
      <c r="K58" s="650"/>
      <c r="L58" s="211"/>
      <c r="M58" s="652"/>
      <c r="N58" s="211"/>
      <c r="O58" s="650"/>
      <c r="P58" s="211"/>
      <c r="Q58" s="652"/>
      <c r="R58" s="211"/>
    </row>
    <row r="59" spans="1:18" s="65" customFormat="1" ht="15.95" customHeight="1">
      <c r="A59" s="269"/>
      <c r="B59" s="208"/>
      <c r="C59" s="352"/>
      <c r="D59" s="476" t="s">
        <v>220</v>
      </c>
      <c r="E59" s="662"/>
      <c r="F59" s="212"/>
      <c r="G59" s="475">
        <v>2.8479999999999999</v>
      </c>
      <c r="H59" s="431"/>
      <c r="I59" s="665"/>
      <c r="J59" s="212"/>
      <c r="K59" s="650"/>
      <c r="L59" s="212"/>
      <c r="M59" s="652"/>
      <c r="N59" s="212"/>
      <c r="O59" s="650"/>
      <c r="P59" s="212"/>
      <c r="Q59" s="652"/>
      <c r="R59" s="212"/>
    </row>
    <row r="60" spans="1:18" s="65" customFormat="1" ht="15.95" customHeight="1">
      <c r="A60" s="209"/>
      <c r="B60" s="210"/>
      <c r="C60" s="477" t="s">
        <v>26</v>
      </c>
      <c r="D60" s="478" t="s">
        <v>143</v>
      </c>
      <c r="E60" s="661">
        <f>SUM(O189)</f>
        <v>37.456400000000002</v>
      </c>
      <c r="F60" s="479"/>
      <c r="G60" s="480">
        <v>32.682000000000002</v>
      </c>
      <c r="H60" s="479"/>
      <c r="I60" s="728">
        <f>SUM(G60:G62)/E60*100</f>
        <v>88.82861139885307</v>
      </c>
      <c r="J60" s="479"/>
      <c r="K60" s="649">
        <f>(3864+400)*0.96</f>
        <v>4093.44</v>
      </c>
      <c r="L60" s="479"/>
      <c r="M60" s="651">
        <f>K60/SUM(G60:G62)</f>
        <v>123.02957441692713</v>
      </c>
      <c r="N60" s="479"/>
      <c r="O60" s="649">
        <v>9425</v>
      </c>
      <c r="P60" s="479"/>
      <c r="Q60" s="651">
        <f>O60/SUM(G60:G62)</f>
        <v>283.27121904303914</v>
      </c>
      <c r="R60" s="479"/>
    </row>
    <row r="61" spans="1:18" s="65" customFormat="1" ht="15.95" customHeight="1">
      <c r="A61" s="209"/>
      <c r="B61" s="210"/>
      <c r="C61" s="352"/>
      <c r="D61" s="432" t="s">
        <v>222</v>
      </c>
      <c r="E61" s="662"/>
      <c r="F61" s="212"/>
      <c r="G61" s="431">
        <v>0.20699999999999999</v>
      </c>
      <c r="H61" s="212"/>
      <c r="I61" s="736"/>
      <c r="J61" s="212"/>
      <c r="K61" s="650"/>
      <c r="L61" s="212"/>
      <c r="M61" s="652"/>
      <c r="N61" s="212"/>
      <c r="O61" s="650"/>
      <c r="P61" s="212"/>
      <c r="Q61" s="652"/>
      <c r="R61" s="212"/>
    </row>
    <row r="62" spans="1:18" s="65" customFormat="1" ht="15.95" customHeight="1">
      <c r="A62" s="209"/>
      <c r="B62" s="210"/>
      <c r="C62" s="226"/>
      <c r="D62" s="432" t="s">
        <v>145</v>
      </c>
      <c r="E62" s="646"/>
      <c r="F62" s="211"/>
      <c r="G62" s="270">
        <v>0.38300000000000001</v>
      </c>
      <c r="H62" s="211"/>
      <c r="I62" s="729"/>
      <c r="J62" s="211"/>
      <c r="K62" s="727"/>
      <c r="L62" s="211"/>
      <c r="M62" s="726"/>
      <c r="N62" s="211"/>
      <c r="O62" s="727"/>
      <c r="P62" s="211"/>
      <c r="Q62" s="726"/>
      <c r="R62" s="211"/>
    </row>
    <row r="63" spans="1:18" s="65" customFormat="1" ht="15.95" customHeight="1">
      <c r="A63" s="178"/>
      <c r="B63" s="179"/>
      <c r="C63" s="178"/>
      <c r="D63" s="178"/>
      <c r="E63" s="276">
        <f>SUM(E57:E60)</f>
        <v>275.11040000000003</v>
      </c>
      <c r="F63" s="276">
        <f>E63+F56</f>
        <v>6091.9014000000006</v>
      </c>
      <c r="G63" s="276">
        <f>SUM(G57:G62)</f>
        <v>257.30199999999996</v>
      </c>
      <c r="H63" s="276">
        <f>G63+H56</f>
        <v>5825.0479999999998</v>
      </c>
      <c r="I63" s="276"/>
      <c r="J63" s="309">
        <f>H63/F63*100</f>
        <v>95.619538425227944</v>
      </c>
      <c r="K63" s="310">
        <f>SUM(K57:K60)</f>
        <v>11996.16</v>
      </c>
      <c r="L63" s="310">
        <f>K63+L56</f>
        <v>207939.16</v>
      </c>
      <c r="M63" s="276"/>
      <c r="N63" s="309">
        <f>L63/H63</f>
        <v>35.697415712282542</v>
      </c>
      <c r="O63" s="310">
        <f>SUM(O57:O60)</f>
        <v>29953</v>
      </c>
      <c r="P63" s="310">
        <f>O63+P56</f>
        <v>632540</v>
      </c>
      <c r="Q63" s="311"/>
      <c r="R63" s="278">
        <f>P63/H63</f>
        <v>108.58966312380602</v>
      </c>
    </row>
    <row r="64" spans="1:18" s="65" customFormat="1" ht="15.95" customHeight="1">
      <c r="A64" s="486"/>
      <c r="B64" s="487"/>
      <c r="C64" s="488"/>
      <c r="D64" s="488" t="s">
        <v>100</v>
      </c>
      <c r="E64" s="489"/>
      <c r="F64" s="489">
        <f>E64+F63</f>
        <v>6091.9014000000006</v>
      </c>
      <c r="G64" s="489"/>
      <c r="H64" s="489">
        <f>G64+H63</f>
        <v>5825.0479999999998</v>
      </c>
      <c r="I64" s="489"/>
      <c r="J64" s="490">
        <f>H64/F64*100</f>
        <v>95.619538425227944</v>
      </c>
      <c r="K64" s="491">
        <f>13491*0.96+5000+5000</f>
        <v>22951.360000000001</v>
      </c>
      <c r="L64" s="491">
        <f>K64+L63</f>
        <v>230890.52000000002</v>
      </c>
      <c r="M64" s="489"/>
      <c r="N64" s="490">
        <f>L64/H64</f>
        <v>39.637530883865679</v>
      </c>
      <c r="O64" s="491">
        <f>41672+5000</f>
        <v>46672</v>
      </c>
      <c r="P64" s="491">
        <f>O64+P63</f>
        <v>679212</v>
      </c>
      <c r="Q64" s="492"/>
      <c r="R64" s="493">
        <f>P64/H64</f>
        <v>116.60195761476987</v>
      </c>
    </row>
    <row r="65" spans="1:18" s="65" customFormat="1" ht="15.95" customHeight="1">
      <c r="A65" s="269" t="s">
        <v>224</v>
      </c>
      <c r="B65" s="208"/>
      <c r="C65" s="226" t="s">
        <v>26</v>
      </c>
      <c r="D65" s="432" t="s">
        <v>132</v>
      </c>
      <c r="E65" s="662">
        <f>SUM(O191:O192)</f>
        <v>87.183000000000007</v>
      </c>
      <c r="F65" s="211"/>
      <c r="G65" s="351">
        <v>79.287000000000006</v>
      </c>
      <c r="H65" s="270"/>
      <c r="I65" s="665">
        <f>SUM(G65:G69)/E65*100</f>
        <v>92.585710516958585</v>
      </c>
      <c r="J65" s="211"/>
      <c r="K65" s="650">
        <f>6835-4000</f>
        <v>2835</v>
      </c>
      <c r="L65" s="211"/>
      <c r="M65" s="652">
        <f>K65/SUM(G65:G69)</f>
        <v>35.121842441060963</v>
      </c>
      <c r="N65" s="211"/>
      <c r="O65" s="650">
        <f>12659-5000</f>
        <v>7659</v>
      </c>
      <c r="P65" s="211"/>
      <c r="Q65" s="652">
        <f>O65/SUM(G65:G69)</f>
        <v>94.884723547120245</v>
      </c>
      <c r="R65" s="211"/>
    </row>
    <row r="66" spans="1:18" s="65" customFormat="1" ht="15.95" customHeight="1">
      <c r="A66" s="269"/>
      <c r="B66" s="208"/>
      <c r="C66" s="226"/>
      <c r="D66" s="432" t="s">
        <v>226</v>
      </c>
      <c r="E66" s="662"/>
      <c r="F66" s="211"/>
      <c r="G66" s="351">
        <v>0.51800000000000002</v>
      </c>
      <c r="H66" s="270"/>
      <c r="I66" s="665"/>
      <c r="J66" s="211"/>
      <c r="K66" s="650"/>
      <c r="L66" s="501"/>
      <c r="M66" s="652"/>
      <c r="N66" s="211"/>
      <c r="O66" s="650"/>
      <c r="P66" s="211"/>
      <c r="Q66" s="652"/>
      <c r="R66" s="211"/>
    </row>
    <row r="67" spans="1:18" s="65" customFormat="1" ht="15.95" customHeight="1">
      <c r="A67" s="269"/>
      <c r="B67" s="208"/>
      <c r="C67" s="226"/>
      <c r="D67" s="476" t="s">
        <v>227</v>
      </c>
      <c r="E67" s="662"/>
      <c r="F67" s="211"/>
      <c r="G67" s="459">
        <v>0.52</v>
      </c>
      <c r="H67" s="270"/>
      <c r="I67" s="665"/>
      <c r="J67" s="211"/>
      <c r="K67" s="650"/>
      <c r="L67" s="211"/>
      <c r="M67" s="652"/>
      <c r="N67" s="211"/>
      <c r="O67" s="650"/>
      <c r="P67" s="211"/>
      <c r="Q67" s="652"/>
      <c r="R67" s="211"/>
    </row>
    <row r="68" spans="1:18" s="65" customFormat="1" ht="15.95" customHeight="1">
      <c r="A68" s="269"/>
      <c r="B68" s="208"/>
      <c r="C68" s="226"/>
      <c r="D68" s="476" t="s">
        <v>133</v>
      </c>
      <c r="E68" s="662"/>
      <c r="F68" s="211"/>
      <c r="G68" s="459">
        <v>0.39400000000000002</v>
      </c>
      <c r="H68" s="270"/>
      <c r="I68" s="665"/>
      <c r="J68" s="211"/>
      <c r="K68" s="650"/>
      <c r="L68" s="211"/>
      <c r="M68" s="652"/>
      <c r="N68" s="211"/>
      <c r="O68" s="650"/>
      <c r="P68" s="211"/>
      <c r="Q68" s="652"/>
      <c r="R68" s="211"/>
    </row>
    <row r="69" spans="1:18" s="65" customFormat="1" ht="15.95" customHeight="1">
      <c r="A69" s="269"/>
      <c r="B69" s="208"/>
      <c r="C69" s="352"/>
      <c r="D69" s="476"/>
      <c r="E69" s="662"/>
      <c r="F69" s="212"/>
      <c r="G69" s="475"/>
      <c r="H69" s="431"/>
      <c r="I69" s="665"/>
      <c r="J69" s="212"/>
      <c r="K69" s="650"/>
      <c r="L69" s="212"/>
      <c r="M69" s="652"/>
      <c r="N69" s="212"/>
      <c r="O69" s="650"/>
      <c r="P69" s="212"/>
      <c r="Q69" s="652"/>
      <c r="R69" s="212"/>
    </row>
    <row r="70" spans="1:18" s="65" customFormat="1" ht="15.95" customHeight="1">
      <c r="A70" s="209"/>
      <c r="B70" s="210"/>
      <c r="C70" s="477" t="s">
        <v>23</v>
      </c>
      <c r="D70" s="478" t="s">
        <v>132</v>
      </c>
      <c r="E70" s="661">
        <f>SUM(O193)</f>
        <v>282.86040000000003</v>
      </c>
      <c r="F70" s="479"/>
      <c r="G70" s="480">
        <v>262.81200000000001</v>
      </c>
      <c r="H70" s="479"/>
      <c r="I70" s="728">
        <f>SUM(G70:G71)/E70*100</f>
        <v>92.912263434542268</v>
      </c>
      <c r="J70" s="479"/>
      <c r="K70" s="649">
        <f>11147-1000</f>
        <v>10147</v>
      </c>
      <c r="L70" s="479"/>
      <c r="M70" s="651">
        <f>K70/SUM(G70:G71)</f>
        <v>38.609348127178365</v>
      </c>
      <c r="N70" s="479"/>
      <c r="O70" s="649">
        <v>23115</v>
      </c>
      <c r="P70" s="479"/>
      <c r="Q70" s="651">
        <f>O70/SUM(G70:G71)</f>
        <v>87.952604903885657</v>
      </c>
      <c r="R70" s="479"/>
    </row>
    <row r="71" spans="1:18" s="65" customFormat="1" ht="15.95" customHeight="1">
      <c r="A71" s="209"/>
      <c r="B71" s="210"/>
      <c r="C71" s="369"/>
      <c r="D71" s="500"/>
      <c r="E71" s="663"/>
      <c r="F71" s="388"/>
      <c r="G71" s="389"/>
      <c r="H71" s="388"/>
      <c r="I71" s="737"/>
      <c r="J71" s="388"/>
      <c r="K71" s="667"/>
      <c r="L71" s="388"/>
      <c r="M71" s="668"/>
      <c r="N71" s="388"/>
      <c r="O71" s="667"/>
      <c r="P71" s="388"/>
      <c r="Q71" s="668"/>
      <c r="R71" s="388"/>
    </row>
    <row r="72" spans="1:18" s="65" customFormat="1" ht="15.95" customHeight="1">
      <c r="A72" s="178"/>
      <c r="B72" s="179"/>
      <c r="C72" s="494"/>
      <c r="D72" s="494"/>
      <c r="E72" s="495">
        <f>SUM(E65:E70)</f>
        <v>370.04340000000002</v>
      </c>
      <c r="F72" s="495">
        <f>E72+F64</f>
        <v>6461.9448000000011</v>
      </c>
      <c r="G72" s="495">
        <f>SUM(G65:G71)</f>
        <v>343.53100000000001</v>
      </c>
      <c r="H72" s="495">
        <f>G72+H64</f>
        <v>6168.5789999999997</v>
      </c>
      <c r="I72" s="495"/>
      <c r="J72" s="496">
        <f>H72/F72*100</f>
        <v>95.460100494823152</v>
      </c>
      <c r="K72" s="497">
        <f>SUM(K65:K70)</f>
        <v>12982</v>
      </c>
      <c r="L72" s="497">
        <f>K72+L64</f>
        <v>243872.52000000002</v>
      </c>
      <c r="M72" s="495"/>
      <c r="N72" s="496">
        <f>L72/H72</f>
        <v>39.534635124232018</v>
      </c>
      <c r="O72" s="497">
        <f>SUM(O65:O70)</f>
        <v>30774</v>
      </c>
      <c r="P72" s="497">
        <f>O72+P64</f>
        <v>709986</v>
      </c>
      <c r="Q72" s="498"/>
      <c r="R72" s="499">
        <f>P72/H72</f>
        <v>115.09717229851478</v>
      </c>
    </row>
    <row r="73" spans="1:18" s="65" customFormat="1" ht="15.95" customHeight="1">
      <c r="A73" s="269" t="s">
        <v>225</v>
      </c>
      <c r="B73" s="208"/>
      <c r="C73" s="226" t="s">
        <v>170</v>
      </c>
      <c r="D73" s="432" t="s">
        <v>132</v>
      </c>
      <c r="E73" s="661">
        <f>SUM(O195:O196)</f>
        <v>387.48</v>
      </c>
      <c r="F73" s="211"/>
      <c r="G73" s="351">
        <v>361.85199999999998</v>
      </c>
      <c r="H73" s="270"/>
      <c r="I73" s="647">
        <f>SUM(G73:G75)/E73*100</f>
        <v>96.53091772478578</v>
      </c>
      <c r="J73" s="211"/>
      <c r="K73" s="649">
        <v>12942</v>
      </c>
      <c r="L73" s="211"/>
      <c r="M73" s="651">
        <f>K73/SUM(G73:G75)</f>
        <v>34.600762489372741</v>
      </c>
      <c r="N73" s="211"/>
      <c r="O73" s="649">
        <v>28706</v>
      </c>
      <c r="P73" s="211"/>
      <c r="Q73" s="651">
        <f>O73/SUM(G73:G75)</f>
        <v>76.746212951625239</v>
      </c>
      <c r="R73" s="211"/>
    </row>
    <row r="74" spans="1:18" s="65" customFormat="1" ht="15.95" customHeight="1">
      <c r="A74" s="269"/>
      <c r="B74" s="208"/>
      <c r="C74" s="226"/>
      <c r="D74" s="528" t="s">
        <v>227</v>
      </c>
      <c r="E74" s="662"/>
      <c r="F74" s="211"/>
      <c r="G74" s="459">
        <v>10.912000000000001</v>
      </c>
      <c r="H74" s="270"/>
      <c r="I74" s="665"/>
      <c r="J74" s="211"/>
      <c r="K74" s="650"/>
      <c r="L74" s="211"/>
      <c r="M74" s="652"/>
      <c r="N74" s="211"/>
      <c r="O74" s="650"/>
      <c r="P74" s="211"/>
      <c r="Q74" s="652"/>
      <c r="R74" s="211"/>
    </row>
    <row r="75" spans="1:18" s="65" customFormat="1" ht="15.95" customHeight="1">
      <c r="A75" s="269"/>
      <c r="B75" s="208"/>
      <c r="C75" s="352"/>
      <c r="D75" s="476" t="s">
        <v>220</v>
      </c>
      <c r="E75" s="662"/>
      <c r="F75" s="212"/>
      <c r="G75" s="475">
        <v>1.274</v>
      </c>
      <c r="H75" s="431"/>
      <c r="I75" s="665"/>
      <c r="J75" s="212"/>
      <c r="K75" s="650"/>
      <c r="L75" s="212"/>
      <c r="M75" s="652"/>
      <c r="N75" s="212"/>
      <c r="O75" s="650"/>
      <c r="P75" s="212"/>
      <c r="Q75" s="652"/>
      <c r="R75" s="212"/>
    </row>
    <row r="76" spans="1:18" s="65" customFormat="1" ht="15.95" customHeight="1">
      <c r="A76" s="209"/>
      <c r="B76" s="210"/>
      <c r="C76" s="477" t="s">
        <v>26</v>
      </c>
      <c r="D76" s="478" t="s">
        <v>143</v>
      </c>
      <c r="E76" s="661">
        <f>SUM(O197)</f>
        <v>354.54420000000005</v>
      </c>
      <c r="F76" s="479"/>
      <c r="G76" s="480">
        <v>335.78500000000003</v>
      </c>
      <c r="H76" s="479"/>
      <c r="I76" s="728">
        <f>SUM(G76:G77)/E76*100</f>
        <v>94.708924867477734</v>
      </c>
      <c r="J76" s="479"/>
      <c r="K76" s="649">
        <f>12236</f>
        <v>12236</v>
      </c>
      <c r="L76" s="479"/>
      <c r="M76" s="651">
        <f>K76/SUM(G76:G77)</f>
        <v>36.439983918281037</v>
      </c>
      <c r="N76" s="479"/>
      <c r="O76" s="649">
        <v>31478</v>
      </c>
      <c r="P76" s="479"/>
      <c r="Q76" s="651">
        <f>O76/SUM(G76:G77)</f>
        <v>93.744509135309784</v>
      </c>
      <c r="R76" s="479"/>
    </row>
    <row r="77" spans="1:18" s="65" customFormat="1" ht="15.95" customHeight="1">
      <c r="A77" s="209"/>
      <c r="B77" s="210"/>
      <c r="C77" s="226"/>
      <c r="D77" s="432"/>
      <c r="E77" s="646"/>
      <c r="F77" s="211"/>
      <c r="G77" s="270"/>
      <c r="H77" s="211"/>
      <c r="I77" s="729"/>
      <c r="J77" s="211"/>
      <c r="K77" s="727"/>
      <c r="L77" s="211"/>
      <c r="M77" s="726"/>
      <c r="N77" s="211"/>
      <c r="O77" s="727"/>
      <c r="P77" s="211"/>
      <c r="Q77" s="726"/>
      <c r="R77" s="211"/>
    </row>
    <row r="78" spans="1:18" s="65" customFormat="1" ht="15.95" customHeight="1">
      <c r="A78" s="178"/>
      <c r="B78" s="179"/>
      <c r="C78" s="178"/>
      <c r="D78" s="178"/>
      <c r="E78" s="276">
        <f>SUM(E73:E76)</f>
        <v>742.02420000000006</v>
      </c>
      <c r="F78" s="276">
        <f>E78+F72</f>
        <v>7203.969000000001</v>
      </c>
      <c r="G78" s="276">
        <f>SUM(G73:G77)</f>
        <v>709.82299999999998</v>
      </c>
      <c r="H78" s="276">
        <f>G78+H72</f>
        <v>6878.402</v>
      </c>
      <c r="I78" s="276"/>
      <c r="J78" s="309">
        <f>H78/F78*100</f>
        <v>95.480727360153821</v>
      </c>
      <c r="K78" s="310">
        <f>SUM(K73:K76)</f>
        <v>25178</v>
      </c>
      <c r="L78" s="310">
        <f>K78+L72</f>
        <v>269050.52</v>
      </c>
      <c r="M78" s="276"/>
      <c r="N78" s="309">
        <f>L78/H78</f>
        <v>39.115265435198467</v>
      </c>
      <c r="O78" s="310">
        <f>SUM(O73:O76)</f>
        <v>60184</v>
      </c>
      <c r="P78" s="310">
        <f>O78+P72</f>
        <v>770170</v>
      </c>
      <c r="Q78" s="311"/>
      <c r="R78" s="278">
        <f>P78/H78</f>
        <v>111.96932078119308</v>
      </c>
    </row>
    <row r="79" spans="1:18" s="65" customFormat="1" ht="15.95" customHeight="1">
      <c r="A79" s="269" t="s">
        <v>229</v>
      </c>
      <c r="B79" s="208"/>
      <c r="C79" s="226" t="s">
        <v>170</v>
      </c>
      <c r="D79" s="432" t="s">
        <v>143</v>
      </c>
      <c r="E79" s="661">
        <f>SUM(O199:O200)</f>
        <v>389.41740000000004</v>
      </c>
      <c r="F79" s="211"/>
      <c r="G79" s="351">
        <v>371.99200000000002</v>
      </c>
      <c r="H79" s="270"/>
      <c r="I79" s="647">
        <f>SUM(G79:G80)/E79*100</f>
        <v>96.177520573040653</v>
      </c>
      <c r="J79" s="211"/>
      <c r="K79" s="649">
        <v>12562</v>
      </c>
      <c r="L79" s="211"/>
      <c r="M79" s="651">
        <f>K79/SUM(G79:G80)</f>
        <v>33.54052524216889</v>
      </c>
      <c r="N79" s="211"/>
      <c r="O79" s="649">
        <v>33449</v>
      </c>
      <c r="P79" s="211"/>
      <c r="Q79" s="651">
        <f>O79/SUM(G79:G80)</f>
        <v>89.308790704132079</v>
      </c>
      <c r="R79" s="211"/>
    </row>
    <row r="80" spans="1:18" s="65" customFormat="1" ht="15.95" customHeight="1">
      <c r="A80" s="269"/>
      <c r="B80" s="208"/>
      <c r="C80" s="226"/>
      <c r="D80" s="476" t="s">
        <v>145</v>
      </c>
      <c r="E80" s="662"/>
      <c r="F80" s="211"/>
      <c r="G80" s="459">
        <v>2.54</v>
      </c>
      <c r="H80" s="270"/>
      <c r="I80" s="665"/>
      <c r="J80" s="211"/>
      <c r="K80" s="650"/>
      <c r="L80" s="211"/>
      <c r="M80" s="652"/>
      <c r="N80" s="211"/>
      <c r="O80" s="650"/>
      <c r="P80" s="211"/>
      <c r="Q80" s="652"/>
      <c r="R80" s="211"/>
    </row>
    <row r="81" spans="1:18" s="65" customFormat="1" ht="15.95" customHeight="1">
      <c r="A81" s="209"/>
      <c r="B81" s="210"/>
      <c r="C81" s="477" t="s">
        <v>26</v>
      </c>
      <c r="D81" s="505" t="s">
        <v>235</v>
      </c>
      <c r="E81" s="661">
        <f>SUM(O201)</f>
        <v>132.0248</v>
      </c>
      <c r="F81" s="479"/>
      <c r="G81" s="480">
        <f>120.5085-0.238</f>
        <v>120.2705</v>
      </c>
      <c r="H81" s="479"/>
      <c r="I81" s="728">
        <f>SUM(G81:G82)/E81*100</f>
        <v>91.277169137919543</v>
      </c>
      <c r="J81" s="479"/>
      <c r="K81" s="649">
        <v>7907</v>
      </c>
      <c r="L81" s="479"/>
      <c r="M81" s="651">
        <f>K81/SUM(G81:G82)</f>
        <v>65.613628914142993</v>
      </c>
      <c r="N81" s="479"/>
      <c r="O81" s="649">
        <v>22422</v>
      </c>
      <c r="P81" s="479"/>
      <c r="Q81" s="651">
        <f>O81/SUM(G81:G82)</f>
        <v>186.06156412203288</v>
      </c>
      <c r="R81" s="479"/>
    </row>
    <row r="82" spans="1:18" s="65" customFormat="1" ht="15.95" customHeight="1">
      <c r="A82" s="209"/>
      <c r="B82" s="210"/>
      <c r="C82" s="226"/>
      <c r="D82" s="432" t="s">
        <v>238</v>
      </c>
      <c r="E82" s="646"/>
      <c r="F82" s="211"/>
      <c r="G82" s="270">
        <v>0.23799999999999999</v>
      </c>
      <c r="H82" s="211"/>
      <c r="I82" s="729"/>
      <c r="J82" s="211"/>
      <c r="K82" s="727"/>
      <c r="L82" s="211"/>
      <c r="M82" s="726"/>
      <c r="N82" s="211"/>
      <c r="O82" s="727"/>
      <c r="P82" s="211"/>
      <c r="Q82" s="726"/>
      <c r="R82" s="211"/>
    </row>
    <row r="83" spans="1:18" s="65" customFormat="1" ht="15.95" customHeight="1">
      <c r="A83" s="178"/>
      <c r="B83" s="179"/>
      <c r="C83" s="178"/>
      <c r="D83" s="178"/>
      <c r="E83" s="276">
        <f>SUM(E79:E81)</f>
        <v>521.44220000000007</v>
      </c>
      <c r="F83" s="276">
        <f>E83+F78</f>
        <v>7725.4112000000014</v>
      </c>
      <c r="G83" s="276">
        <f>SUM(G79:G82)</f>
        <v>495.04050000000001</v>
      </c>
      <c r="H83" s="276">
        <f>G83+H78</f>
        <v>7373.4425000000001</v>
      </c>
      <c r="I83" s="276"/>
      <c r="J83" s="309">
        <f>H83/F83*100</f>
        <v>95.444013387921657</v>
      </c>
      <c r="K83" s="310">
        <f>SUM(K79:K81)</f>
        <v>20469</v>
      </c>
      <c r="L83" s="310">
        <f>K83+L78</f>
        <v>289519.52</v>
      </c>
      <c r="M83" s="276"/>
      <c r="N83" s="309">
        <f>L83/H83</f>
        <v>39.265176340630582</v>
      </c>
      <c r="O83" s="310">
        <f>SUM(O79:O81)</f>
        <v>55871</v>
      </c>
      <c r="P83" s="310">
        <f>O83+P78</f>
        <v>826041</v>
      </c>
      <c r="Q83" s="311"/>
      <c r="R83" s="278">
        <f>P83/H83</f>
        <v>112.02921837391422</v>
      </c>
    </row>
    <row r="84" spans="1:18" s="65" customFormat="1" ht="15.95" customHeight="1">
      <c r="A84" s="269" t="s">
        <v>232</v>
      </c>
      <c r="B84" s="208"/>
      <c r="C84" s="226" t="s">
        <v>23</v>
      </c>
      <c r="D84" s="432" t="s">
        <v>234</v>
      </c>
      <c r="E84" s="510"/>
      <c r="F84" s="211"/>
      <c r="G84" s="351">
        <v>0.61199999999999999</v>
      </c>
      <c r="H84" s="270"/>
      <c r="I84" s="510"/>
      <c r="J84" s="211"/>
      <c r="K84" s="649">
        <v>9510</v>
      </c>
      <c r="L84" s="211"/>
      <c r="M84" s="651">
        <f>K84/SUM(G84:G90)</f>
        <v>34.11365478846664</v>
      </c>
      <c r="N84" s="211"/>
      <c r="O84" s="649">
        <v>36652</v>
      </c>
      <c r="P84" s="211"/>
      <c r="Q84" s="651">
        <f>O84/SUM(G84:G90)</f>
        <v>131.47567563689583</v>
      </c>
      <c r="R84" s="211"/>
    </row>
    <row r="85" spans="1:18" s="65" customFormat="1" ht="15.95" customHeight="1">
      <c r="A85" s="269"/>
      <c r="B85" s="208"/>
      <c r="C85" s="226"/>
      <c r="D85" s="432" t="s">
        <v>140</v>
      </c>
      <c r="E85" s="511"/>
      <c r="F85" s="211"/>
      <c r="G85" s="351">
        <v>1.0449999999999999</v>
      </c>
      <c r="H85" s="270"/>
      <c r="I85" s="511"/>
      <c r="J85" s="211"/>
      <c r="K85" s="650"/>
      <c r="L85" s="211"/>
      <c r="M85" s="652"/>
      <c r="N85" s="211"/>
      <c r="O85" s="650"/>
      <c r="P85" s="211"/>
      <c r="Q85" s="652"/>
      <c r="R85" s="211"/>
    </row>
    <row r="86" spans="1:18" s="65" customFormat="1" ht="15.95" customHeight="1">
      <c r="A86" s="269"/>
      <c r="B86" s="208"/>
      <c r="C86" s="226"/>
      <c r="D86" s="476" t="s">
        <v>227</v>
      </c>
      <c r="E86" s="511"/>
      <c r="F86" s="211"/>
      <c r="G86" s="351">
        <v>4.0759999999999996</v>
      </c>
      <c r="H86" s="270"/>
      <c r="I86" s="511"/>
      <c r="J86" s="211"/>
      <c r="K86" s="650"/>
      <c r="L86" s="211"/>
      <c r="M86" s="652"/>
      <c r="N86" s="211"/>
      <c r="O86" s="650"/>
      <c r="P86" s="211"/>
      <c r="Q86" s="652"/>
      <c r="R86" s="211"/>
    </row>
    <row r="87" spans="1:18" s="65" customFormat="1" ht="15.95" customHeight="1">
      <c r="A87" s="269"/>
      <c r="B87" s="208"/>
      <c r="C87" s="226"/>
      <c r="D87" s="507" t="s">
        <v>235</v>
      </c>
      <c r="E87" s="733">
        <f>SUM(O203:O204)</f>
        <v>284.10399999999998</v>
      </c>
      <c r="F87" s="211"/>
      <c r="G87" s="351">
        <v>17.1005</v>
      </c>
      <c r="H87" s="270"/>
      <c r="I87" s="665">
        <f>SUM(G87:G90)/E87*100</f>
        <v>96.1060034353617</v>
      </c>
      <c r="J87" s="211"/>
      <c r="K87" s="650"/>
      <c r="L87" s="211"/>
      <c r="M87" s="652"/>
      <c r="N87" s="211"/>
      <c r="O87" s="650"/>
      <c r="P87" s="211"/>
      <c r="Q87" s="652"/>
      <c r="R87" s="211"/>
    </row>
    <row r="88" spans="1:18" s="65" customFormat="1" ht="15.95" customHeight="1">
      <c r="A88" s="269"/>
      <c r="B88" s="208"/>
      <c r="C88" s="226"/>
      <c r="D88" s="401" t="s">
        <v>236</v>
      </c>
      <c r="E88" s="733"/>
      <c r="F88" s="211"/>
      <c r="G88" s="351">
        <v>4.0659999999999998</v>
      </c>
      <c r="H88" s="506"/>
      <c r="I88" s="665"/>
      <c r="J88" s="211"/>
      <c r="K88" s="650"/>
      <c r="L88" s="211"/>
      <c r="M88" s="652"/>
      <c r="N88" s="211"/>
      <c r="O88" s="650"/>
      <c r="P88" s="211"/>
      <c r="Q88" s="652"/>
      <c r="R88" s="211"/>
    </row>
    <row r="89" spans="1:18" s="65" customFormat="1" ht="15.95" customHeight="1">
      <c r="A89" s="269"/>
      <c r="B89" s="208"/>
      <c r="C89" s="226"/>
      <c r="D89" s="432" t="s">
        <v>238</v>
      </c>
      <c r="E89" s="733"/>
      <c r="F89" s="211"/>
      <c r="G89" s="351">
        <v>251.3715</v>
      </c>
      <c r="H89" s="506"/>
      <c r="I89" s="665"/>
      <c r="J89" s="211"/>
      <c r="K89" s="650"/>
      <c r="L89" s="211"/>
      <c r="M89" s="652"/>
      <c r="N89" s="211"/>
      <c r="O89" s="650"/>
      <c r="P89" s="211"/>
      <c r="Q89" s="652"/>
      <c r="R89" s="211"/>
    </row>
    <row r="90" spans="1:18" s="65" customFormat="1" ht="15.95" customHeight="1">
      <c r="A90" s="269"/>
      <c r="B90" s="208"/>
      <c r="C90" s="226"/>
      <c r="D90" s="432" t="s">
        <v>237</v>
      </c>
      <c r="E90" s="734"/>
      <c r="F90" s="211"/>
      <c r="G90" s="459">
        <v>0.503</v>
      </c>
      <c r="H90" s="270"/>
      <c r="I90" s="735"/>
      <c r="J90" s="211"/>
      <c r="K90" s="650"/>
      <c r="L90" s="211"/>
      <c r="M90" s="652"/>
      <c r="N90" s="211"/>
      <c r="O90" s="650"/>
      <c r="P90" s="211"/>
      <c r="Q90" s="652"/>
      <c r="R90" s="211"/>
    </row>
    <row r="91" spans="1:18" s="65" customFormat="1" ht="15.95" customHeight="1">
      <c r="A91" s="209"/>
      <c r="B91" s="210"/>
      <c r="C91" s="477" t="s">
        <v>170</v>
      </c>
      <c r="D91" s="505" t="s">
        <v>235</v>
      </c>
      <c r="E91" s="661">
        <f>SUM(O205)</f>
        <v>280.76159999999999</v>
      </c>
      <c r="F91" s="479"/>
      <c r="G91" s="508">
        <v>262.86450000000002</v>
      </c>
      <c r="H91" s="508"/>
      <c r="I91" s="728">
        <f>SUM(G91:G92)/E91*100</f>
        <v>95.630242882217516</v>
      </c>
      <c r="J91" s="479"/>
      <c r="K91" s="649">
        <v>10595</v>
      </c>
      <c r="L91" s="479"/>
      <c r="M91" s="651">
        <f>K91/SUM(G91:G92)</f>
        <v>39.46099153422994</v>
      </c>
      <c r="N91" s="479"/>
      <c r="O91" s="649">
        <v>34789</v>
      </c>
      <c r="P91" s="479"/>
      <c r="Q91" s="651">
        <f>O91/SUM(G91:G92)</f>
        <v>129.5713482288179</v>
      </c>
      <c r="R91" s="479"/>
    </row>
    <row r="92" spans="1:18" s="65" customFormat="1" ht="15.95" customHeight="1">
      <c r="A92" s="209"/>
      <c r="B92" s="210"/>
      <c r="C92" s="226"/>
      <c r="D92" s="401" t="s">
        <v>236</v>
      </c>
      <c r="E92" s="646"/>
      <c r="F92" s="211"/>
      <c r="G92" s="506">
        <v>5.6284999999999998</v>
      </c>
      <c r="H92" s="211"/>
      <c r="I92" s="729"/>
      <c r="J92" s="211"/>
      <c r="K92" s="727"/>
      <c r="L92" s="211"/>
      <c r="M92" s="726"/>
      <c r="N92" s="211"/>
      <c r="O92" s="727"/>
      <c r="P92" s="211"/>
      <c r="Q92" s="726"/>
      <c r="R92" s="211"/>
    </row>
    <row r="93" spans="1:18" s="65" customFormat="1" ht="15.95" customHeight="1">
      <c r="A93" s="178"/>
      <c r="B93" s="179"/>
      <c r="C93" s="178"/>
      <c r="D93" s="178"/>
      <c r="E93" s="276">
        <f>SUM(E84:E91)</f>
        <v>564.86559999999997</v>
      </c>
      <c r="F93" s="276">
        <f>E93+F83</f>
        <v>8290.2768000000015</v>
      </c>
      <c r="G93" s="276">
        <f>SUM(G84:G92)</f>
        <v>547.26700000000005</v>
      </c>
      <c r="H93" s="276">
        <f>G93+H83</f>
        <v>7920.7094999999999</v>
      </c>
      <c r="I93" s="276"/>
      <c r="J93" s="309">
        <f>H93/F93*100</f>
        <v>95.542159702074102</v>
      </c>
      <c r="K93" s="310">
        <f>SUM(K84:K91)</f>
        <v>20105</v>
      </c>
      <c r="L93" s="310">
        <f>K93+L83</f>
        <v>309624.52</v>
      </c>
      <c r="M93" s="276"/>
      <c r="N93" s="309">
        <f>L93/H93</f>
        <v>39.090503192927351</v>
      </c>
      <c r="O93" s="310">
        <f>SUM(O84:O91)</f>
        <v>71441</v>
      </c>
      <c r="P93" s="310">
        <f>O93+P83</f>
        <v>897482</v>
      </c>
      <c r="Q93" s="311"/>
      <c r="R93" s="278">
        <f>P93/H93</f>
        <v>113.3082838096764</v>
      </c>
    </row>
    <row r="94" spans="1:18" s="65" customFormat="1" ht="15.95" customHeight="1">
      <c r="A94" s="269" t="s">
        <v>242</v>
      </c>
      <c r="B94" s="208"/>
      <c r="C94" s="226" t="s">
        <v>23</v>
      </c>
      <c r="D94" s="507" t="s">
        <v>235</v>
      </c>
      <c r="E94" s="733">
        <f>SUM(O207:O208)</f>
        <v>347.6096</v>
      </c>
      <c r="F94" s="211"/>
      <c r="G94" s="351">
        <v>331.46199999999999</v>
      </c>
      <c r="H94" s="270"/>
      <c r="I94" s="665">
        <f>SUM(G94:G95)/E94*100</f>
        <v>96.401250138085942</v>
      </c>
      <c r="J94" s="211"/>
      <c r="K94" s="650">
        <v>11277</v>
      </c>
      <c r="L94" s="211"/>
      <c r="M94" s="652">
        <f>K94/SUM(G94:G95)</f>
        <v>33.652641002685769</v>
      </c>
      <c r="N94" s="211"/>
      <c r="O94" s="650">
        <v>40194</v>
      </c>
      <c r="P94" s="211"/>
      <c r="Q94" s="652">
        <f>O94/SUM(G94:G95)</f>
        <v>119.94628469113698</v>
      </c>
      <c r="R94" s="211"/>
    </row>
    <row r="95" spans="1:18" s="65" customFormat="1" ht="15.95" customHeight="1">
      <c r="A95" s="269"/>
      <c r="B95" s="208"/>
      <c r="C95" s="226"/>
      <c r="D95" s="401" t="s">
        <v>236</v>
      </c>
      <c r="E95" s="733"/>
      <c r="F95" s="211"/>
      <c r="G95" s="351">
        <v>3.6379999999999999</v>
      </c>
      <c r="H95" s="506"/>
      <c r="I95" s="665"/>
      <c r="J95" s="211"/>
      <c r="K95" s="650"/>
      <c r="L95" s="211"/>
      <c r="M95" s="652"/>
      <c r="N95" s="211"/>
      <c r="O95" s="650"/>
      <c r="P95" s="211"/>
      <c r="Q95" s="652"/>
      <c r="R95" s="211"/>
    </row>
    <row r="96" spans="1:18" s="65" customFormat="1" ht="15.95" customHeight="1">
      <c r="A96" s="209"/>
      <c r="B96" s="210"/>
      <c r="C96" s="477" t="s">
        <v>170</v>
      </c>
      <c r="D96" s="505" t="s">
        <v>235</v>
      </c>
      <c r="E96" s="661">
        <f>SUM(O209)</f>
        <v>409.44400000000002</v>
      </c>
      <c r="F96" s="479"/>
      <c r="G96" s="508">
        <f>400.137-G97</f>
        <v>399.32499999999999</v>
      </c>
      <c r="H96" s="508"/>
      <c r="I96" s="728">
        <f>SUM(G96:G97)/E96*100</f>
        <v>97.726917478336475</v>
      </c>
      <c r="J96" s="479"/>
      <c r="K96" s="649">
        <v>13371</v>
      </c>
      <c r="L96" s="479"/>
      <c r="M96" s="651">
        <f>K96/SUM(G96:G97)</f>
        <v>33.4160550011621</v>
      </c>
      <c r="N96" s="479"/>
      <c r="O96" s="649">
        <v>45892</v>
      </c>
      <c r="P96" s="479"/>
      <c r="Q96" s="651">
        <f>O96/SUM(G96:G97)</f>
        <v>114.69071842893808</v>
      </c>
      <c r="R96" s="479"/>
    </row>
    <row r="97" spans="1:18" s="65" customFormat="1" ht="15.95" customHeight="1">
      <c r="A97" s="209"/>
      <c r="B97" s="210"/>
      <c r="C97" s="226"/>
      <c r="D97" s="401" t="s">
        <v>236</v>
      </c>
      <c r="E97" s="646"/>
      <c r="F97" s="211"/>
      <c r="G97" s="506">
        <v>0.81200000000000006</v>
      </c>
      <c r="H97" s="211"/>
      <c r="I97" s="729"/>
      <c r="J97" s="211"/>
      <c r="K97" s="727"/>
      <c r="L97" s="211"/>
      <c r="M97" s="726"/>
      <c r="N97" s="211"/>
      <c r="O97" s="727"/>
      <c r="P97" s="211"/>
      <c r="Q97" s="726"/>
      <c r="R97" s="211"/>
    </row>
    <row r="98" spans="1:18" s="65" customFormat="1" ht="15.95" customHeight="1">
      <c r="A98" s="178"/>
      <c r="B98" s="179"/>
      <c r="C98" s="178"/>
      <c r="D98" s="178"/>
      <c r="E98" s="276">
        <f>SUM(E94:E96)</f>
        <v>757.05359999999996</v>
      </c>
      <c r="F98" s="276">
        <f>E98+F93</f>
        <v>9047.3304000000007</v>
      </c>
      <c r="G98" s="276">
        <f>SUM(G94:G97)</f>
        <v>735.23699999999997</v>
      </c>
      <c r="H98" s="276">
        <f>G98+H93</f>
        <v>8655.9465</v>
      </c>
      <c r="I98" s="276"/>
      <c r="J98" s="309">
        <f>H98/F98*100</f>
        <v>95.674039935581433</v>
      </c>
      <c r="K98" s="310">
        <f>SUM(K94:K96)</f>
        <v>24648</v>
      </c>
      <c r="L98" s="310">
        <f>K98+L93</f>
        <v>334272.52</v>
      </c>
      <c r="M98" s="276"/>
      <c r="N98" s="309">
        <f>L98/H98</f>
        <v>38.617673988627359</v>
      </c>
      <c r="O98" s="310">
        <f>SUM(O94:O96)</f>
        <v>86086</v>
      </c>
      <c r="P98" s="310">
        <f>O98+P93</f>
        <v>983568</v>
      </c>
      <c r="Q98" s="311"/>
      <c r="R98" s="278">
        <f>P98/H98</f>
        <v>113.62916811003858</v>
      </c>
    </row>
    <row r="99" spans="1:18" s="65" customFormat="1" ht="15.95" customHeight="1">
      <c r="A99" s="486"/>
      <c r="B99" s="487"/>
      <c r="C99" s="486" t="s">
        <v>26</v>
      </c>
      <c r="D99" s="512" t="s">
        <v>145</v>
      </c>
      <c r="E99" s="513"/>
      <c r="F99" s="513"/>
      <c r="G99" s="386">
        <v>4.1929999999999996</v>
      </c>
      <c r="H99" s="513"/>
      <c r="I99" s="513"/>
      <c r="J99" s="514"/>
      <c r="K99" s="515"/>
      <c r="L99" s="515"/>
      <c r="M99" s="513"/>
      <c r="N99" s="514"/>
      <c r="O99" s="515"/>
      <c r="P99" s="515"/>
      <c r="Q99" s="516"/>
      <c r="R99" s="517"/>
    </row>
    <row r="100" spans="1:18" s="65" customFormat="1" ht="15.95" customHeight="1">
      <c r="A100" s="269" t="s">
        <v>243</v>
      </c>
      <c r="B100" s="208"/>
      <c r="C100" s="226"/>
      <c r="D100" s="507" t="s">
        <v>235</v>
      </c>
      <c r="E100" s="733">
        <f>SUM(O211:O212)</f>
        <v>418.28489999999999</v>
      </c>
      <c r="F100" s="211"/>
      <c r="G100" s="351">
        <v>405.42399999999998</v>
      </c>
      <c r="H100" s="270"/>
      <c r="I100" s="665">
        <f>SUM(G100:G101)/E100*100</f>
        <v>97.698721612948489</v>
      </c>
      <c r="J100" s="211"/>
      <c r="K100" s="650">
        <v>13897</v>
      </c>
      <c r="L100" s="211"/>
      <c r="M100" s="652">
        <f>K100/SUM(G100:G101)</f>
        <v>34.00634759053392</v>
      </c>
      <c r="N100" s="211"/>
      <c r="O100" s="650">
        <v>47340</v>
      </c>
      <c r="P100" s="211"/>
      <c r="Q100" s="652">
        <f>O100/SUM(G100:G101)</f>
        <v>115.84230373000473</v>
      </c>
      <c r="R100" s="211"/>
    </row>
    <row r="101" spans="1:18" s="65" customFormat="1" ht="15.95" customHeight="1">
      <c r="A101" s="269"/>
      <c r="B101" s="208"/>
      <c r="C101" s="226"/>
      <c r="D101" s="401" t="s">
        <v>236</v>
      </c>
      <c r="E101" s="733"/>
      <c r="F101" s="211"/>
      <c r="G101" s="351">
        <v>3.2349999999999999</v>
      </c>
      <c r="H101" s="506"/>
      <c r="I101" s="665"/>
      <c r="J101" s="211"/>
      <c r="K101" s="650"/>
      <c r="L101" s="211"/>
      <c r="M101" s="652"/>
      <c r="N101" s="211"/>
      <c r="O101" s="650"/>
      <c r="P101" s="211"/>
      <c r="Q101" s="652"/>
      <c r="R101" s="211"/>
    </row>
    <row r="102" spans="1:18" s="65" customFormat="1" ht="15.95" customHeight="1">
      <c r="A102" s="209"/>
      <c r="B102" s="210"/>
      <c r="C102" s="477" t="s">
        <v>23</v>
      </c>
      <c r="D102" s="505" t="s">
        <v>235</v>
      </c>
      <c r="E102" s="661">
        <f>SUM(O213)</f>
        <v>389.89830000000001</v>
      </c>
      <c r="F102" s="479"/>
      <c r="G102" s="508">
        <v>378.64699999999999</v>
      </c>
      <c r="H102" s="508"/>
      <c r="I102" s="728">
        <f>SUM(G102:G103)/E102*100</f>
        <v>98.15816073063155</v>
      </c>
      <c r="J102" s="479"/>
      <c r="K102" s="649">
        <v>12456</v>
      </c>
      <c r="L102" s="479"/>
      <c r="M102" s="651">
        <f>K102/SUM(G102:G103)</f>
        <v>32.546241739980196</v>
      </c>
      <c r="N102" s="479"/>
      <c r="O102" s="649">
        <v>43105</v>
      </c>
      <c r="P102" s="479"/>
      <c r="Q102" s="651">
        <f>O102/SUM(G102:G103)</f>
        <v>112.628913792698</v>
      </c>
      <c r="R102" s="479"/>
    </row>
    <row r="103" spans="1:18" s="65" customFormat="1" ht="15.95" customHeight="1">
      <c r="A103" s="209"/>
      <c r="B103" s="210"/>
      <c r="C103" s="226"/>
      <c r="D103" s="401" t="s">
        <v>236</v>
      </c>
      <c r="E103" s="646"/>
      <c r="F103" s="211"/>
      <c r="G103" s="270">
        <v>4.07</v>
      </c>
      <c r="H103" s="211"/>
      <c r="I103" s="729"/>
      <c r="J103" s="211"/>
      <c r="K103" s="727"/>
      <c r="L103" s="211"/>
      <c r="M103" s="726"/>
      <c r="N103" s="211"/>
      <c r="O103" s="727"/>
      <c r="P103" s="211"/>
      <c r="Q103" s="726"/>
      <c r="R103" s="211"/>
    </row>
    <row r="104" spans="1:18" s="65" customFormat="1" ht="15.95" customHeight="1">
      <c r="A104" s="178"/>
      <c r="B104" s="179"/>
      <c r="C104" s="178"/>
      <c r="D104" s="178"/>
      <c r="E104" s="276">
        <f>SUM(E100:E102)</f>
        <v>808.18319999999994</v>
      </c>
      <c r="F104" s="276">
        <f>E104+F98</f>
        <v>9855.5136000000002</v>
      </c>
      <c r="G104" s="276">
        <f>SUM(G99:G103)</f>
        <v>795.56900000000007</v>
      </c>
      <c r="H104" s="276">
        <f>G104+H98</f>
        <v>9451.5154999999995</v>
      </c>
      <c r="I104" s="276"/>
      <c r="J104" s="309">
        <f>H104/F104*100</f>
        <v>95.900791004945702</v>
      </c>
      <c r="K104" s="310">
        <f>SUM(K100:K102)</f>
        <v>26353</v>
      </c>
      <c r="L104" s="310">
        <f>K104+L98</f>
        <v>360625.52</v>
      </c>
      <c r="M104" s="276"/>
      <c r="N104" s="309">
        <f>L104/H104</f>
        <v>38.155311706360749</v>
      </c>
      <c r="O104" s="310">
        <f>SUM(O100:O102)</f>
        <v>90445</v>
      </c>
      <c r="P104" s="310">
        <f>O104+P98</f>
        <v>1074013</v>
      </c>
      <c r="Q104" s="311"/>
      <c r="R104" s="278">
        <f>P104/H104</f>
        <v>113.63394579419565</v>
      </c>
    </row>
    <row r="105" spans="1:18" s="65" customFormat="1" ht="15.95" customHeight="1">
      <c r="A105" s="269" t="s">
        <v>247</v>
      </c>
      <c r="B105" s="208"/>
      <c r="C105" s="226" t="s">
        <v>26</v>
      </c>
      <c r="D105" s="507" t="s">
        <v>235</v>
      </c>
      <c r="E105" s="733">
        <f>SUM(O215:O216)</f>
        <v>400.75200000000001</v>
      </c>
      <c r="F105" s="211"/>
      <c r="G105" s="351">
        <v>392.745</v>
      </c>
      <c r="H105" s="270"/>
      <c r="I105" s="665">
        <f>SUM(G105:G106)/E105*100</f>
        <v>98.210364514712339</v>
      </c>
      <c r="J105" s="211"/>
      <c r="K105" s="650">
        <v>12195</v>
      </c>
      <c r="L105" s="211"/>
      <c r="M105" s="652">
        <f>K105/SUM(G105:G106)</f>
        <v>30.9848061385233</v>
      </c>
      <c r="N105" s="211"/>
      <c r="O105" s="650">
        <v>44737</v>
      </c>
      <c r="P105" s="211"/>
      <c r="Q105" s="652">
        <f>O105/SUM(G105:G106)</f>
        <v>113.66685299049749</v>
      </c>
      <c r="R105" s="211"/>
    </row>
    <row r="106" spans="1:18" s="65" customFormat="1" ht="15.95" customHeight="1">
      <c r="A106" s="269"/>
      <c r="B106" s="208"/>
      <c r="C106" s="226"/>
      <c r="D106" s="401" t="s">
        <v>236</v>
      </c>
      <c r="E106" s="733"/>
      <c r="F106" s="211"/>
      <c r="G106" s="351">
        <v>0.83499999999999996</v>
      </c>
      <c r="H106" s="506"/>
      <c r="I106" s="665"/>
      <c r="J106" s="211"/>
      <c r="K106" s="650"/>
      <c r="L106" s="211"/>
      <c r="M106" s="652"/>
      <c r="N106" s="211"/>
      <c r="O106" s="650"/>
      <c r="P106" s="211"/>
      <c r="Q106" s="652"/>
      <c r="R106" s="211"/>
    </row>
    <row r="107" spans="1:18" s="65" customFormat="1" ht="15.95" customHeight="1">
      <c r="A107" s="209"/>
      <c r="B107" s="210"/>
      <c r="C107" s="477" t="s">
        <v>23</v>
      </c>
      <c r="D107" s="505" t="s">
        <v>249</v>
      </c>
      <c r="E107" s="661">
        <f>SUM(O217)</f>
        <v>218.74379999999999</v>
      </c>
      <c r="F107" s="479"/>
      <c r="G107" s="508">
        <v>196.52199999999999</v>
      </c>
      <c r="H107" s="508"/>
      <c r="I107" s="728">
        <f>SUM(G107:G108)/E107*100</f>
        <v>93.593509850336332</v>
      </c>
      <c r="J107" s="479"/>
      <c r="K107" s="649">
        <v>8877</v>
      </c>
      <c r="L107" s="479"/>
      <c r="M107" s="651">
        <f>K107/SUM(G107:G108)</f>
        <v>43.359546720070341</v>
      </c>
      <c r="N107" s="479"/>
      <c r="O107" s="649">
        <v>31632</v>
      </c>
      <c r="P107" s="479"/>
      <c r="Q107" s="651">
        <f>O107/SUM(G107:G108)</f>
        <v>154.50593464563084</v>
      </c>
      <c r="R107" s="479"/>
    </row>
    <row r="108" spans="1:18" s="65" customFormat="1" ht="15.95" customHeight="1">
      <c r="A108" s="209"/>
      <c r="B108" s="210"/>
      <c r="C108" s="226"/>
      <c r="D108" s="401" t="s">
        <v>250</v>
      </c>
      <c r="E108" s="646"/>
      <c r="F108" s="211"/>
      <c r="G108" s="270">
        <v>8.2080000000000002</v>
      </c>
      <c r="H108" s="211"/>
      <c r="I108" s="729"/>
      <c r="J108" s="211"/>
      <c r="K108" s="727"/>
      <c r="L108" s="211"/>
      <c r="M108" s="726"/>
      <c r="N108" s="211"/>
      <c r="O108" s="727"/>
      <c r="P108" s="211"/>
      <c r="Q108" s="726"/>
      <c r="R108" s="211"/>
    </row>
    <row r="109" spans="1:18" s="65" customFormat="1" ht="15.95" customHeight="1">
      <c r="A109" s="178"/>
      <c r="B109" s="179"/>
      <c r="C109" s="178"/>
      <c r="D109" s="178"/>
      <c r="E109" s="276">
        <f>SUM(E105:E107)</f>
        <v>619.49580000000003</v>
      </c>
      <c r="F109" s="276">
        <f>E109+F104</f>
        <v>10475.009400000001</v>
      </c>
      <c r="G109" s="276">
        <f>SUM(G105:G108)</f>
        <v>598.30999999999995</v>
      </c>
      <c r="H109" s="276">
        <f>G109+H104</f>
        <v>10049.825499999999</v>
      </c>
      <c r="I109" s="276"/>
      <c r="J109" s="309">
        <f>H109/F109*100</f>
        <v>95.940968797603162</v>
      </c>
      <c r="K109" s="310">
        <f>SUM(K105:K107)</f>
        <v>21072</v>
      </c>
      <c r="L109" s="310">
        <f>K109+L104</f>
        <v>381697.52</v>
      </c>
      <c r="M109" s="276"/>
      <c r="N109" s="309">
        <f>L109/H109</f>
        <v>37.98051219894316</v>
      </c>
      <c r="O109" s="310">
        <f>SUM(O105:O107)</f>
        <v>76369</v>
      </c>
      <c r="P109" s="310">
        <f>O109+P104</f>
        <v>1150382</v>
      </c>
      <c r="Q109" s="311"/>
      <c r="R109" s="278">
        <f>P109/H109</f>
        <v>114.46785817325885</v>
      </c>
    </row>
    <row r="110" spans="1:18" s="65" customFormat="1" ht="15.95" customHeight="1">
      <c r="A110" s="269" t="s">
        <v>251</v>
      </c>
      <c r="B110" s="208"/>
      <c r="C110" s="226" t="s">
        <v>170</v>
      </c>
      <c r="D110" s="507" t="s">
        <v>249</v>
      </c>
      <c r="E110" s="733">
        <f>SUM(O219:O220)</f>
        <v>217.07399999999998</v>
      </c>
      <c r="F110" s="211"/>
      <c r="G110" s="351">
        <v>206.93100000000001</v>
      </c>
      <c r="H110" s="270"/>
      <c r="I110" s="665">
        <f>SUM(G110:G111)/E110*100</f>
        <v>95.686724342850837</v>
      </c>
      <c r="J110" s="211"/>
      <c r="K110" s="650">
        <v>8357</v>
      </c>
      <c r="L110" s="211"/>
      <c r="M110" s="652">
        <f>K110/SUM(G110:G111)</f>
        <v>40.233786366634405</v>
      </c>
      <c r="N110" s="211"/>
      <c r="O110" s="650">
        <v>32740</v>
      </c>
      <c r="P110" s="211"/>
      <c r="Q110" s="652">
        <f>O110/SUM(G110:G111)</f>
        <v>157.62285098044879</v>
      </c>
      <c r="R110" s="211"/>
    </row>
    <row r="111" spans="1:18" s="65" customFormat="1" ht="15.95" customHeight="1">
      <c r="A111" s="269"/>
      <c r="B111" s="208"/>
      <c r="C111" s="226"/>
      <c r="D111" s="401" t="s">
        <v>250</v>
      </c>
      <c r="E111" s="733"/>
      <c r="F111" s="211"/>
      <c r="G111" s="459">
        <v>0.78</v>
      </c>
      <c r="H111" s="506"/>
      <c r="I111" s="665"/>
      <c r="J111" s="211"/>
      <c r="K111" s="650"/>
      <c r="L111" s="211"/>
      <c r="M111" s="652"/>
      <c r="N111" s="211"/>
      <c r="O111" s="650"/>
      <c r="P111" s="211"/>
      <c r="Q111" s="652"/>
      <c r="R111" s="211"/>
    </row>
    <row r="112" spans="1:18" s="65" customFormat="1" ht="15.95" customHeight="1">
      <c r="A112" s="209"/>
      <c r="B112" s="210"/>
      <c r="C112" s="477" t="s">
        <v>26</v>
      </c>
      <c r="D112" s="505" t="s">
        <v>249</v>
      </c>
      <c r="E112" s="661">
        <f>SUM(O221)</f>
        <v>135.25379999999998</v>
      </c>
      <c r="F112" s="479"/>
      <c r="G112" s="508">
        <v>110.846</v>
      </c>
      <c r="H112" s="508"/>
      <c r="I112" s="728">
        <f>SUM(G112:G113)/E112*100</f>
        <v>92.507567255042005</v>
      </c>
      <c r="J112" s="479"/>
      <c r="K112" s="649">
        <v>8083</v>
      </c>
      <c r="L112" s="479"/>
      <c r="M112" s="651">
        <f>K112/SUM(G112:G113)</f>
        <v>64.601982097186692</v>
      </c>
      <c r="N112" s="479"/>
      <c r="O112" s="649">
        <v>26534</v>
      </c>
      <c r="P112" s="479"/>
      <c r="Q112" s="651">
        <f>O112/SUM(G112:G113)</f>
        <v>212.06841432225062</v>
      </c>
      <c r="R112" s="479"/>
    </row>
    <row r="113" spans="1:18" s="65" customFormat="1" ht="15.95" customHeight="1">
      <c r="A113" s="209"/>
      <c r="B113" s="210"/>
      <c r="C113" s="226"/>
      <c r="D113" s="401" t="s">
        <v>250</v>
      </c>
      <c r="E113" s="646"/>
      <c r="F113" s="211"/>
      <c r="G113" s="270">
        <v>14.273999999999999</v>
      </c>
      <c r="H113" s="211"/>
      <c r="I113" s="729"/>
      <c r="J113" s="211"/>
      <c r="K113" s="727"/>
      <c r="L113" s="211"/>
      <c r="M113" s="726"/>
      <c r="N113" s="211"/>
      <c r="O113" s="727"/>
      <c r="P113" s="211"/>
      <c r="Q113" s="726"/>
      <c r="R113" s="211"/>
    </row>
    <row r="114" spans="1:18" s="65" customFormat="1" ht="15.95" customHeight="1">
      <c r="A114" s="178"/>
      <c r="B114" s="179"/>
      <c r="C114" s="178"/>
      <c r="D114" s="178"/>
      <c r="E114" s="276">
        <f>SUM(E110:E112)</f>
        <v>352.32779999999997</v>
      </c>
      <c r="F114" s="276">
        <f>E114+F109</f>
        <v>10827.3372</v>
      </c>
      <c r="G114" s="276">
        <f>SUM(G110:G113)</f>
        <v>332.83100000000002</v>
      </c>
      <c r="H114" s="276">
        <f>G114+H109</f>
        <v>10382.656499999999</v>
      </c>
      <c r="I114" s="276"/>
      <c r="J114" s="309">
        <f>H114/F114*100</f>
        <v>95.892981886626742</v>
      </c>
      <c r="K114" s="310">
        <f>SUM(K110:K112)</f>
        <v>16440</v>
      </c>
      <c r="L114" s="310">
        <f>K114+L109</f>
        <v>398137.52</v>
      </c>
      <c r="M114" s="276"/>
      <c r="N114" s="309">
        <f>L114/H114</f>
        <v>38.34640200222362</v>
      </c>
      <c r="O114" s="310">
        <f>SUM(O110:O112)</f>
        <v>59274</v>
      </c>
      <c r="P114" s="310">
        <f>O114+P109</f>
        <v>1209656</v>
      </c>
      <c r="Q114" s="311"/>
      <c r="R114" s="278">
        <f>P114/H114</f>
        <v>116.50736976610948</v>
      </c>
    </row>
    <row r="115" spans="1:18" s="65" customFormat="1" ht="15.95" customHeight="1">
      <c r="A115" s="269" t="s">
        <v>252</v>
      </c>
      <c r="B115" s="208"/>
      <c r="C115" s="226" t="s">
        <v>170</v>
      </c>
      <c r="D115" s="507" t="s">
        <v>249</v>
      </c>
      <c r="E115" s="733">
        <f>SUM(O223:O224)</f>
        <v>417.45</v>
      </c>
      <c r="F115" s="211"/>
      <c r="G115" s="351">
        <v>406.137</v>
      </c>
      <c r="H115" s="270"/>
      <c r="I115" s="665">
        <f>SUM(G115:G116)/E115*100</f>
        <v>97.673254281949937</v>
      </c>
      <c r="J115" s="211"/>
      <c r="K115" s="650">
        <v>12942</v>
      </c>
      <c r="L115" s="211"/>
      <c r="M115" s="652">
        <f>K115/SUM(G115:G116)</f>
        <v>31.741048764276972</v>
      </c>
      <c r="N115" s="211"/>
      <c r="O115" s="650">
        <v>52499</v>
      </c>
      <c r="P115" s="211"/>
      <c r="Q115" s="652">
        <f>O115/SUM(G115:G116)</f>
        <v>128.75701739111241</v>
      </c>
      <c r="R115" s="211"/>
    </row>
    <row r="116" spans="1:18" s="65" customFormat="1" ht="15.95" customHeight="1">
      <c r="A116" s="269"/>
      <c r="B116" s="208"/>
      <c r="C116" s="226"/>
      <c r="D116" s="401" t="s">
        <v>250</v>
      </c>
      <c r="E116" s="733"/>
      <c r="F116" s="211"/>
      <c r="G116" s="459">
        <v>1.6</v>
      </c>
      <c r="H116" s="506"/>
      <c r="I116" s="665"/>
      <c r="J116" s="211"/>
      <c r="K116" s="650"/>
      <c r="L116" s="211"/>
      <c r="M116" s="652"/>
      <c r="N116" s="211"/>
      <c r="O116" s="650"/>
      <c r="P116" s="211"/>
      <c r="Q116" s="652"/>
      <c r="R116" s="211"/>
    </row>
    <row r="117" spans="1:18" s="65" customFormat="1" ht="15.95" customHeight="1">
      <c r="A117" s="209"/>
      <c r="B117" s="210"/>
      <c r="C117" s="477" t="s">
        <v>26</v>
      </c>
      <c r="D117" s="505" t="s">
        <v>249</v>
      </c>
      <c r="E117" s="661">
        <f>SUM(O225)</f>
        <v>365.68619999999999</v>
      </c>
      <c r="F117" s="479"/>
      <c r="G117" s="508">
        <v>351.202</v>
      </c>
      <c r="H117" s="508"/>
      <c r="I117" s="728">
        <f>SUM(G117:G118)/E117*100</f>
        <v>97.359703483478469</v>
      </c>
      <c r="J117" s="479"/>
      <c r="K117" s="649">
        <v>12145</v>
      </c>
      <c r="L117" s="479"/>
      <c r="M117" s="651">
        <f>K117/SUM(G117:G118)</f>
        <v>34.112198095109697</v>
      </c>
      <c r="N117" s="479"/>
      <c r="O117" s="649">
        <v>47324</v>
      </c>
      <c r="P117" s="479"/>
      <c r="Q117" s="651">
        <f>O117/SUM(G117:G118)</f>
        <v>132.92100968735869</v>
      </c>
      <c r="R117" s="479"/>
    </row>
    <row r="118" spans="1:18" s="65" customFormat="1" ht="15.95" customHeight="1">
      <c r="A118" s="209"/>
      <c r="B118" s="210"/>
      <c r="C118" s="226"/>
      <c r="D118" s="401" t="s">
        <v>250</v>
      </c>
      <c r="E118" s="646"/>
      <c r="F118" s="211"/>
      <c r="G118" s="270">
        <v>4.8289999999999997</v>
      </c>
      <c r="H118" s="211"/>
      <c r="I118" s="729"/>
      <c r="J118" s="211"/>
      <c r="K118" s="727"/>
      <c r="L118" s="211"/>
      <c r="M118" s="726"/>
      <c r="N118" s="211"/>
      <c r="O118" s="727"/>
      <c r="P118" s="211"/>
      <c r="Q118" s="726"/>
      <c r="R118" s="211"/>
    </row>
    <row r="119" spans="1:18" s="65" customFormat="1" ht="15.95" customHeight="1">
      <c r="A119" s="178"/>
      <c r="B119" s="179"/>
      <c r="C119" s="178"/>
      <c r="D119" s="178"/>
      <c r="E119" s="276">
        <f>SUM(E115:E117)</f>
        <v>783.13619999999992</v>
      </c>
      <c r="F119" s="276">
        <f>E119+F114</f>
        <v>11610.473399999999</v>
      </c>
      <c r="G119" s="276">
        <f>SUM(G115:G118)</f>
        <v>763.76800000000003</v>
      </c>
      <c r="H119" s="276">
        <f>G119+H114</f>
        <v>11146.424499999999</v>
      </c>
      <c r="I119" s="276"/>
      <c r="J119" s="309">
        <f>H119/F119*100</f>
        <v>96.003187087961464</v>
      </c>
      <c r="K119" s="310">
        <f>SUM(K115:K117)</f>
        <v>25087</v>
      </c>
      <c r="L119" s="310">
        <f>K119+L114</f>
        <v>423224.52</v>
      </c>
      <c r="M119" s="276"/>
      <c r="N119" s="309">
        <f>L119/H119</f>
        <v>37.969531844045598</v>
      </c>
      <c r="O119" s="310">
        <f>SUM(O115:O117)</f>
        <v>99823</v>
      </c>
      <c r="P119" s="310">
        <f>O119+P114</f>
        <v>1309479</v>
      </c>
      <c r="Q119" s="311"/>
      <c r="R119" s="278">
        <f>P119/H119</f>
        <v>117.47973531781426</v>
      </c>
    </row>
    <row r="120" spans="1:18" s="65" customFormat="1" ht="15.95" customHeight="1">
      <c r="A120" s="269" t="s">
        <v>255</v>
      </c>
      <c r="B120" s="208"/>
      <c r="C120" s="226" t="s">
        <v>23</v>
      </c>
      <c r="D120" s="507" t="s">
        <v>249</v>
      </c>
      <c r="E120" s="733">
        <f>SUM(O227:O228)</f>
        <v>378.2097</v>
      </c>
      <c r="F120" s="211"/>
      <c r="G120" s="351">
        <v>362.19299999999998</v>
      </c>
      <c r="H120" s="270"/>
      <c r="I120" s="665">
        <f>SUM(G120:G121)/E120*100</f>
        <v>97.027918638786886</v>
      </c>
      <c r="J120" s="211"/>
      <c r="K120" s="650">
        <v>11445</v>
      </c>
      <c r="L120" s="211"/>
      <c r="M120" s="652">
        <f>K120/SUM(G120:G121)</f>
        <v>31.187920505546792</v>
      </c>
      <c r="N120" s="211"/>
      <c r="O120" s="650">
        <v>49680</v>
      </c>
      <c r="P120" s="211"/>
      <c r="Q120" s="652">
        <f>O120/SUM(G120:G121)</f>
        <v>135.37928271870376</v>
      </c>
      <c r="R120" s="211"/>
    </row>
    <row r="121" spans="1:18" s="65" customFormat="1" ht="15.95" customHeight="1">
      <c r="A121" s="269"/>
      <c r="B121" s="208"/>
      <c r="C121" s="226"/>
      <c r="D121" s="401" t="s">
        <v>250</v>
      </c>
      <c r="E121" s="733"/>
      <c r="F121" s="211"/>
      <c r="G121" s="459">
        <v>4.7759999999999998</v>
      </c>
      <c r="H121" s="506"/>
      <c r="I121" s="665"/>
      <c r="J121" s="211"/>
      <c r="K121" s="650"/>
      <c r="L121" s="211"/>
      <c r="M121" s="652"/>
      <c r="N121" s="211"/>
      <c r="O121" s="650"/>
      <c r="P121" s="211"/>
      <c r="Q121" s="652"/>
      <c r="R121" s="211"/>
    </row>
    <row r="122" spans="1:18" s="65" customFormat="1" ht="15.95" customHeight="1">
      <c r="A122" s="209"/>
      <c r="B122" s="210"/>
      <c r="C122" s="477" t="s">
        <v>170</v>
      </c>
      <c r="D122" s="505" t="s">
        <v>249</v>
      </c>
      <c r="E122" s="661">
        <f>SUM(O229)</f>
        <v>344.81369999999998</v>
      </c>
      <c r="F122" s="479"/>
      <c r="G122" s="508">
        <v>334.85399999999998</v>
      </c>
      <c r="H122" s="508"/>
      <c r="I122" s="728">
        <f>SUM(G122:G123)/E122*100</f>
        <v>98.055268685669986</v>
      </c>
      <c r="J122" s="479"/>
      <c r="K122" s="649">
        <v>11705</v>
      </c>
      <c r="L122" s="479"/>
      <c r="M122" s="651">
        <f>K122/SUM(G122:G123)</f>
        <v>34.61911578548866</v>
      </c>
      <c r="N122" s="479"/>
      <c r="O122" s="649">
        <v>45199</v>
      </c>
      <c r="P122" s="479"/>
      <c r="Q122" s="651">
        <f>O122/SUM(G122:G123)</f>
        <v>133.68213706862895</v>
      </c>
      <c r="R122" s="479"/>
    </row>
    <row r="123" spans="1:18" s="65" customFormat="1" ht="15.95" customHeight="1">
      <c r="A123" s="209"/>
      <c r="B123" s="210"/>
      <c r="C123" s="226"/>
      <c r="D123" s="401" t="s">
        <v>250</v>
      </c>
      <c r="E123" s="646"/>
      <c r="F123" s="211"/>
      <c r="G123" s="270">
        <v>3.254</v>
      </c>
      <c r="H123" s="211"/>
      <c r="I123" s="729"/>
      <c r="J123" s="211"/>
      <c r="K123" s="727"/>
      <c r="L123" s="211"/>
      <c r="M123" s="726"/>
      <c r="N123" s="211"/>
      <c r="O123" s="727"/>
      <c r="P123" s="211"/>
      <c r="Q123" s="726"/>
      <c r="R123" s="211"/>
    </row>
    <row r="124" spans="1:18" s="65" customFormat="1" ht="15.95" customHeight="1">
      <c r="A124" s="178"/>
      <c r="B124" s="179"/>
      <c r="C124" s="178"/>
      <c r="D124" s="178"/>
      <c r="E124" s="276">
        <f>SUM(E120:E122)</f>
        <v>723.02340000000004</v>
      </c>
      <c r="F124" s="276">
        <f>E124+F119</f>
        <v>12333.496799999999</v>
      </c>
      <c r="G124" s="276">
        <f>SUM(G120:G123)</f>
        <v>705.077</v>
      </c>
      <c r="H124" s="276">
        <f>G124+H119</f>
        <v>11851.501499999998</v>
      </c>
      <c r="I124" s="276"/>
      <c r="J124" s="309">
        <f>H124/F124*100</f>
        <v>96.0919817970845</v>
      </c>
      <c r="K124" s="310">
        <f>SUM(K120:K122)</f>
        <v>23150</v>
      </c>
      <c r="L124" s="310">
        <f>K124+L119</f>
        <v>446374.52</v>
      </c>
      <c r="M124" s="276"/>
      <c r="N124" s="309">
        <f>L124/H124</f>
        <v>37.663963507071244</v>
      </c>
      <c r="O124" s="310">
        <f>SUM(O120:O122)</f>
        <v>94879</v>
      </c>
      <c r="P124" s="310">
        <f>O124+P119</f>
        <v>1404358</v>
      </c>
      <c r="Q124" s="311"/>
      <c r="R124" s="278">
        <f>P124/H124</f>
        <v>118.49620910903147</v>
      </c>
    </row>
    <row r="125" spans="1:18" s="65" customFormat="1" ht="15.95" customHeight="1">
      <c r="A125" s="269" t="s">
        <v>257</v>
      </c>
      <c r="B125" s="208"/>
      <c r="C125" s="226" t="s">
        <v>23</v>
      </c>
      <c r="D125" s="507" t="s">
        <v>249</v>
      </c>
      <c r="E125" s="733">
        <f>SUM(O231:O232)</f>
        <v>389.0634</v>
      </c>
      <c r="F125" s="211"/>
      <c r="G125" s="351">
        <v>380.70299999999997</v>
      </c>
      <c r="H125" s="270"/>
      <c r="I125" s="665">
        <f>SUM(G125:G126)/E125*100</f>
        <v>97.851147139515049</v>
      </c>
      <c r="J125" s="211"/>
      <c r="K125" s="650">
        <v>12204</v>
      </c>
      <c r="L125" s="211"/>
      <c r="M125" s="652">
        <f>K125/SUM(G125:G126)</f>
        <v>32.056484976477726</v>
      </c>
      <c r="N125" s="211"/>
      <c r="O125" s="650">
        <v>48941</v>
      </c>
      <c r="P125" s="211"/>
      <c r="Q125" s="652">
        <f>O125/SUM(G125:G126)</f>
        <v>128.55427984544383</v>
      </c>
      <c r="R125" s="211"/>
    </row>
    <row r="126" spans="1:18" s="65" customFormat="1" ht="15.95" customHeight="1">
      <c r="A126" s="269"/>
      <c r="B126" s="208"/>
      <c r="C126" s="226"/>
      <c r="D126" s="401" t="s">
        <v>250</v>
      </c>
      <c r="E126" s="733"/>
      <c r="F126" s="211"/>
      <c r="G126" s="459"/>
      <c r="H126" s="506"/>
      <c r="I126" s="665"/>
      <c r="J126" s="211"/>
      <c r="K126" s="650"/>
      <c r="L126" s="211"/>
      <c r="M126" s="652"/>
      <c r="N126" s="211"/>
      <c r="O126" s="650"/>
      <c r="P126" s="211"/>
      <c r="Q126" s="652"/>
      <c r="R126" s="211"/>
    </row>
    <row r="127" spans="1:18" s="65" customFormat="1" ht="15.95" customHeight="1">
      <c r="A127" s="209"/>
      <c r="B127" s="210"/>
      <c r="C127" s="477" t="s">
        <v>170</v>
      </c>
      <c r="D127" s="531" t="s">
        <v>156</v>
      </c>
      <c r="E127" s="661">
        <f>SUM(O233)</f>
        <v>189.86520000000002</v>
      </c>
      <c r="F127" s="479"/>
      <c r="G127" s="508">
        <v>161.72200000000001</v>
      </c>
      <c r="H127" s="508"/>
      <c r="I127" s="728">
        <f>SUM(G127:G128)/E127*100</f>
        <v>88.201524028626622</v>
      </c>
      <c r="J127" s="479"/>
      <c r="K127" s="649">
        <v>8674</v>
      </c>
      <c r="L127" s="479"/>
      <c r="M127" s="651">
        <f>K127/SUM(G127:G128)</f>
        <v>51.796206945970475</v>
      </c>
      <c r="N127" s="211"/>
      <c r="O127" s="649">
        <v>16001</v>
      </c>
      <c r="P127" s="211"/>
      <c r="Q127" s="651">
        <f>O127/SUM(G127:G128)</f>
        <v>95.548894090670231</v>
      </c>
      <c r="R127" s="211"/>
    </row>
    <row r="128" spans="1:18" s="65" customFormat="1" ht="15.95" customHeight="1">
      <c r="A128" s="209"/>
      <c r="B128" s="210"/>
      <c r="C128" s="226"/>
      <c r="D128" s="532" t="s">
        <v>162</v>
      </c>
      <c r="E128" s="646"/>
      <c r="F128" s="533"/>
      <c r="G128" s="534">
        <v>5.742</v>
      </c>
      <c r="H128" s="533"/>
      <c r="I128" s="729"/>
      <c r="J128" s="534"/>
      <c r="K128" s="727"/>
      <c r="L128" s="533"/>
      <c r="M128" s="726"/>
      <c r="N128" s="211"/>
      <c r="O128" s="727"/>
      <c r="P128" s="211"/>
      <c r="Q128" s="726"/>
      <c r="R128" s="211"/>
    </row>
    <row r="129" spans="1:18" s="65" customFormat="1" ht="15.95" customHeight="1">
      <c r="A129" s="178"/>
      <c r="B129" s="179"/>
      <c r="C129" s="178"/>
      <c r="D129" s="178"/>
      <c r="E129" s="276">
        <f>SUM(E125:E127)</f>
        <v>578.92859999999996</v>
      </c>
      <c r="F129" s="276">
        <f>E129+F124</f>
        <v>12912.425399999998</v>
      </c>
      <c r="G129" s="276">
        <f>SUM(G125:G128)</f>
        <v>548.16699999999992</v>
      </c>
      <c r="H129" s="276">
        <f>G129+H124</f>
        <v>12399.668499999998</v>
      </c>
      <c r="I129" s="276"/>
      <c r="J129" s="309">
        <f>H129/F129*100</f>
        <v>96.028965247690806</v>
      </c>
      <c r="K129" s="310">
        <f>SUM(K125:K127)</f>
        <v>20878</v>
      </c>
      <c r="L129" s="310">
        <f>K129+L124</f>
        <v>467252.52</v>
      </c>
      <c r="M129" s="276"/>
      <c r="N129" s="309">
        <f>L129/H129</f>
        <v>37.682662242139784</v>
      </c>
      <c r="O129" s="310">
        <f>SUM(O125:O127)</f>
        <v>64942</v>
      </c>
      <c r="P129" s="310">
        <f>O129+P124</f>
        <v>1469300</v>
      </c>
      <c r="Q129" s="311"/>
      <c r="R129" s="278">
        <f>P129/H129</f>
        <v>118.49510331667337</v>
      </c>
    </row>
    <row r="130" spans="1:18" s="65" customFormat="1" ht="15.95" customHeight="1">
      <c r="A130" s="269" t="s">
        <v>265</v>
      </c>
      <c r="B130" s="208"/>
      <c r="C130" s="226" t="s">
        <v>26</v>
      </c>
      <c r="D130" s="531" t="s">
        <v>156</v>
      </c>
      <c r="E130" s="733">
        <f>SUM(O235:O236)</f>
        <v>387.48</v>
      </c>
      <c r="F130" s="211"/>
      <c r="G130" s="351">
        <v>357.43799999999999</v>
      </c>
      <c r="H130" s="270"/>
      <c r="I130" s="665">
        <f>SUM(G130:G132)/E130*100</f>
        <v>95.841591824094124</v>
      </c>
      <c r="J130" s="211"/>
      <c r="K130" s="650">
        <v>12855</v>
      </c>
      <c r="L130" s="211"/>
      <c r="M130" s="652">
        <f>K130/SUM(G130:G132)</f>
        <v>34.615353545145375</v>
      </c>
      <c r="N130" s="211"/>
      <c r="O130" s="650">
        <v>24609</v>
      </c>
      <c r="P130" s="211"/>
      <c r="Q130" s="652">
        <f>O130/SUM(G130:G132)</f>
        <v>66.265984861336634</v>
      </c>
      <c r="R130" s="211"/>
    </row>
    <row r="131" spans="1:18" s="65" customFormat="1" ht="15.95" customHeight="1">
      <c r="A131" s="269"/>
      <c r="B131" s="208"/>
      <c r="C131" s="226"/>
      <c r="D131" s="532" t="s">
        <v>266</v>
      </c>
      <c r="E131" s="733"/>
      <c r="F131" s="211"/>
      <c r="G131" s="351">
        <v>8.9909999999999997</v>
      </c>
      <c r="H131" s="270"/>
      <c r="I131" s="665"/>
      <c r="J131" s="211"/>
      <c r="K131" s="650"/>
      <c r="L131" s="211"/>
      <c r="M131" s="652"/>
      <c r="N131" s="211"/>
      <c r="O131" s="650"/>
      <c r="P131" s="211"/>
      <c r="Q131" s="652"/>
      <c r="R131" s="211"/>
    </row>
    <row r="132" spans="1:18" s="65" customFormat="1" ht="15.95" customHeight="1">
      <c r="A132" s="269"/>
      <c r="B132" s="208"/>
      <c r="C132" s="226"/>
      <c r="D132" s="532" t="s">
        <v>273</v>
      </c>
      <c r="E132" s="733"/>
      <c r="F132" s="211"/>
      <c r="G132" s="459">
        <v>4.9379999999999997</v>
      </c>
      <c r="H132" s="506"/>
      <c r="I132" s="665"/>
      <c r="J132" s="211"/>
      <c r="K132" s="650"/>
      <c r="L132" s="211"/>
      <c r="M132" s="652"/>
      <c r="N132" s="211"/>
      <c r="O132" s="650"/>
      <c r="P132" s="211"/>
      <c r="Q132" s="652"/>
      <c r="R132" s="211"/>
    </row>
    <row r="133" spans="1:18" s="65" customFormat="1" ht="15.95" customHeight="1">
      <c r="A133" s="209"/>
      <c r="B133" s="210"/>
      <c r="C133" s="477" t="s">
        <v>23</v>
      </c>
      <c r="D133" s="531" t="s">
        <v>156</v>
      </c>
      <c r="E133" s="661">
        <f>SUM(O237)</f>
        <v>277.04820000000001</v>
      </c>
      <c r="F133" s="479"/>
      <c r="G133" s="508">
        <v>253.63399999999999</v>
      </c>
      <c r="H133" s="508"/>
      <c r="I133" s="728">
        <f>SUM(G133:G134)/E133*100</f>
        <v>94.987081670265312</v>
      </c>
      <c r="J133" s="479"/>
      <c r="K133" s="649">
        <v>10687</v>
      </c>
      <c r="L133" s="479"/>
      <c r="M133" s="651">
        <f>K133/SUM(G133:G134)</f>
        <v>40.610275117799063</v>
      </c>
      <c r="N133" s="211"/>
      <c r="O133" s="649">
        <v>18726</v>
      </c>
      <c r="P133" s="211"/>
      <c r="Q133" s="651">
        <f>O133/SUM(G133:G134)</f>
        <v>71.158230734154131</v>
      </c>
      <c r="R133" s="211"/>
    </row>
    <row r="134" spans="1:18" s="65" customFormat="1" ht="15.95" customHeight="1">
      <c r="A134" s="209"/>
      <c r="B134" s="210"/>
      <c r="C134" s="226"/>
      <c r="D134" s="532" t="s">
        <v>266</v>
      </c>
      <c r="E134" s="646"/>
      <c r="F134" s="533"/>
      <c r="G134" s="534">
        <v>9.5259999999999998</v>
      </c>
      <c r="H134" s="533"/>
      <c r="I134" s="729"/>
      <c r="J134" s="534"/>
      <c r="K134" s="727"/>
      <c r="L134" s="533"/>
      <c r="M134" s="726"/>
      <c r="N134" s="211"/>
      <c r="O134" s="727"/>
      <c r="P134" s="211"/>
      <c r="Q134" s="726"/>
      <c r="R134" s="211"/>
    </row>
    <row r="135" spans="1:18" s="65" customFormat="1" ht="15.95" customHeight="1">
      <c r="A135" s="178"/>
      <c r="B135" s="179"/>
      <c r="C135" s="178"/>
      <c r="D135" s="178"/>
      <c r="E135" s="276">
        <f>SUM(E130:E133)</f>
        <v>664.52819999999997</v>
      </c>
      <c r="F135" s="276">
        <f>E135+F129</f>
        <v>13576.953599999999</v>
      </c>
      <c r="G135" s="276">
        <f>SUM(G130:G134)</f>
        <v>634.52699999999993</v>
      </c>
      <c r="H135" s="276">
        <f>G135+H129</f>
        <v>13034.195499999998</v>
      </c>
      <c r="I135" s="276"/>
      <c r="J135" s="309">
        <f>H135/F135*100</f>
        <v>96.002357259289738</v>
      </c>
      <c r="K135" s="310">
        <f>SUM(K130:K133)</f>
        <v>23542</v>
      </c>
      <c r="L135" s="310">
        <f>K135+L129+6293</f>
        <v>497087.52</v>
      </c>
      <c r="M135" s="276"/>
      <c r="N135" s="309">
        <f>L135/H135</f>
        <v>38.13718460797984</v>
      </c>
      <c r="O135" s="310">
        <f>SUM(O130:O133)</f>
        <v>43335</v>
      </c>
      <c r="P135" s="310">
        <f>O135+P129</f>
        <v>1512635</v>
      </c>
      <c r="Q135" s="311"/>
      <c r="R135" s="278">
        <f>P135/H135</f>
        <v>116.05127451095852</v>
      </c>
    </row>
    <row r="136" spans="1:18" s="65" customFormat="1" ht="15.95" customHeight="1">
      <c r="A136" s="358"/>
      <c r="B136" s="358"/>
      <c r="C136" s="358"/>
      <c r="D136" s="358"/>
      <c r="E136" s="359"/>
      <c r="F136" s="359"/>
      <c r="G136" s="359"/>
      <c r="H136" s="359"/>
      <c r="I136" s="359"/>
      <c r="J136" s="360"/>
      <c r="K136" s="361"/>
      <c r="L136" s="361"/>
      <c r="M136" s="359"/>
      <c r="N136" s="360"/>
      <c r="O136" s="361"/>
      <c r="P136" s="361"/>
      <c r="Q136" s="362"/>
      <c r="R136" s="363"/>
    </row>
    <row r="137" spans="1:18" s="65" customFormat="1" ht="15.95" customHeight="1">
      <c r="A137" s="358"/>
      <c r="B137" s="358"/>
      <c r="C137" s="358"/>
      <c r="D137" s="358"/>
      <c r="E137" s="359"/>
      <c r="F137" s="359"/>
      <c r="G137" s="359"/>
      <c r="H137" s="359"/>
      <c r="I137" s="359"/>
      <c r="J137" s="360"/>
      <c r="K137" s="361"/>
      <c r="L137" s="361"/>
      <c r="M137" s="359"/>
      <c r="N137" s="360"/>
      <c r="O137" s="361"/>
      <c r="P137" s="361"/>
      <c r="Q137" s="362"/>
      <c r="R137" s="363"/>
    </row>
    <row r="138" spans="1:18" s="65" customFormat="1" ht="14.1" customHeight="1">
      <c r="A138" s="457" t="s">
        <v>0</v>
      </c>
      <c r="B138" s="340"/>
      <c r="C138" s="338" t="s">
        <v>1</v>
      </c>
      <c r="D138" s="707" t="s">
        <v>92</v>
      </c>
      <c r="E138" s="708"/>
      <c r="F138" s="708"/>
      <c r="G138" s="708"/>
      <c r="H138" s="708"/>
      <c r="I138" s="708"/>
      <c r="J138" s="709"/>
      <c r="K138" s="707" t="s">
        <v>93</v>
      </c>
      <c r="L138" s="708"/>
      <c r="M138" s="708"/>
      <c r="N138" s="708"/>
      <c r="O138" s="708"/>
      <c r="P138" s="708"/>
      <c r="Q138" s="708"/>
      <c r="R138" s="709"/>
    </row>
    <row r="139" spans="1:18" s="65" customFormat="1" ht="14.1" customHeight="1">
      <c r="A139" s="317"/>
      <c r="B139" s="339"/>
      <c r="C139" s="301" t="s">
        <v>6</v>
      </c>
      <c r="D139" s="707" t="s">
        <v>82</v>
      </c>
      <c r="E139" s="709"/>
      <c r="F139" s="316" t="s">
        <v>80</v>
      </c>
      <c r="G139" s="316" t="s">
        <v>81</v>
      </c>
      <c r="H139" s="316" t="s">
        <v>56</v>
      </c>
      <c r="I139" s="707" t="s">
        <v>7</v>
      </c>
      <c r="J139" s="709"/>
      <c r="K139" s="707" t="s">
        <v>82</v>
      </c>
      <c r="L139" s="709"/>
      <c r="M139" s="316" t="s">
        <v>80</v>
      </c>
      <c r="N139" s="316" t="s">
        <v>81</v>
      </c>
      <c r="O139" s="316" t="s">
        <v>62</v>
      </c>
      <c r="P139" s="707" t="s">
        <v>7</v>
      </c>
      <c r="Q139" s="708"/>
      <c r="R139" s="709"/>
    </row>
    <row r="140" spans="1:18" s="65" customFormat="1" ht="14.1" customHeight="1">
      <c r="A140" s="305"/>
      <c r="B140" s="318"/>
      <c r="C140" s="319"/>
      <c r="D140" s="320"/>
      <c r="E140" s="190"/>
      <c r="F140" s="191"/>
      <c r="G140" s="192"/>
      <c r="H140" s="193" t="s">
        <v>8</v>
      </c>
      <c r="I140" s="705" t="s">
        <v>8</v>
      </c>
      <c r="J140" s="706"/>
      <c r="K140" s="194"/>
      <c r="L140" s="195"/>
      <c r="M140" s="196"/>
      <c r="N140" s="197"/>
      <c r="O140" s="193" t="s">
        <v>8</v>
      </c>
      <c r="P140" s="198"/>
      <c r="Q140" s="199" t="s">
        <v>8</v>
      </c>
      <c r="R140" s="200"/>
    </row>
    <row r="141" spans="1:18" s="65" customFormat="1" ht="14.1" customHeight="1">
      <c r="A141" s="314"/>
      <c r="B141" s="219"/>
      <c r="C141" s="220"/>
      <c r="D141" s="260"/>
      <c r="E141" s="232"/>
      <c r="F141" s="228"/>
      <c r="G141" s="277"/>
      <c r="H141" s="233"/>
      <c r="I141" s="221"/>
      <c r="J141" s="222"/>
      <c r="K141" s="342"/>
      <c r="L141" s="343"/>
      <c r="M141" s="228"/>
      <c r="N141" s="229"/>
      <c r="O141" s="233"/>
      <c r="P141" s="223"/>
      <c r="Q141" s="224"/>
      <c r="R141" s="225"/>
    </row>
    <row r="142" spans="1:18" s="65" customFormat="1" ht="14.1" customHeight="1">
      <c r="A142" s="215"/>
      <c r="B142" s="230"/>
      <c r="C142" s="213"/>
      <c r="D142" s="241"/>
      <c r="E142" s="242"/>
      <c r="F142" s="215"/>
      <c r="G142" s="216">
        <f>SUM(G141:G141)</f>
        <v>0</v>
      </c>
      <c r="H142" s="214">
        <f>SUM(H141:H141)</f>
        <v>0</v>
      </c>
      <c r="I142" s="669">
        <f>H142</f>
        <v>0</v>
      </c>
      <c r="J142" s="670"/>
      <c r="K142" s="236"/>
      <c r="L142" s="237"/>
      <c r="M142" s="238"/>
      <c r="N142" s="239">
        <f>SUM(N141:N141)</f>
        <v>0</v>
      </c>
      <c r="O142" s="240">
        <f>SUM(O141:O141)</f>
        <v>0</v>
      </c>
      <c r="P142" s="701">
        <f>O142</f>
        <v>0</v>
      </c>
      <c r="Q142" s="702"/>
      <c r="R142" s="231"/>
    </row>
    <row r="143" spans="1:18" s="138" customFormat="1" ht="18" customHeight="1">
      <c r="A143" s="218">
        <v>37989</v>
      </c>
      <c r="B143" s="219"/>
      <c r="C143" s="220" t="s">
        <v>26</v>
      </c>
      <c r="D143" s="364" t="s">
        <v>167</v>
      </c>
      <c r="E143" s="365"/>
      <c r="F143" s="256" t="s">
        <v>168</v>
      </c>
      <c r="G143" s="366">
        <f>13+30+17+16+20+18+19+23+20+23+19+21+25</f>
        <v>264</v>
      </c>
      <c r="H143" s="253">
        <f>G143*1.5621</f>
        <v>412.39440000000002</v>
      </c>
      <c r="I143" s="221"/>
      <c r="J143" s="222"/>
      <c r="K143" s="364" t="s">
        <v>167</v>
      </c>
      <c r="L143" s="365"/>
      <c r="M143" s="256" t="s">
        <v>168</v>
      </c>
      <c r="N143" s="366">
        <f>281/2+89</f>
        <v>229.5</v>
      </c>
      <c r="O143" s="253">
        <f>N143*1.5621</f>
        <v>358.50195000000002</v>
      </c>
      <c r="P143" s="223"/>
      <c r="Q143" s="224"/>
      <c r="R143" s="225"/>
    </row>
    <row r="144" spans="1:18" s="138" customFormat="1" ht="18" customHeight="1">
      <c r="A144" s="218"/>
      <c r="B144" s="219"/>
      <c r="C144" s="213"/>
      <c r="D144" s="344"/>
      <c r="E144" s="345"/>
      <c r="F144" s="346"/>
      <c r="G144" s="347"/>
      <c r="H144" s="348"/>
      <c r="I144" s="669"/>
      <c r="J144" s="670"/>
      <c r="K144" s="344"/>
      <c r="L144" s="345"/>
      <c r="M144" s="346"/>
      <c r="N144" s="347"/>
      <c r="O144" s="348"/>
      <c r="P144" s="349"/>
      <c r="Q144" s="350"/>
      <c r="R144" s="231"/>
    </row>
    <row r="145" spans="1:18" s="138" customFormat="1" ht="18" customHeight="1">
      <c r="A145" s="227"/>
      <c r="B145" s="219"/>
      <c r="C145" s="220" t="s">
        <v>23</v>
      </c>
      <c r="D145" s="364" t="s">
        <v>167</v>
      </c>
      <c r="E145" s="365"/>
      <c r="F145" s="256" t="s">
        <v>168</v>
      </c>
      <c r="G145" s="366">
        <f>160</f>
        <v>160</v>
      </c>
      <c r="H145" s="253">
        <f>G145*1.5621</f>
        <v>249.93600000000001</v>
      </c>
      <c r="I145" s="221"/>
      <c r="J145" s="222"/>
      <c r="K145" s="364" t="s">
        <v>167</v>
      </c>
      <c r="L145" s="365"/>
      <c r="M145" s="256" t="s">
        <v>168</v>
      </c>
      <c r="N145" s="366">
        <f>334/2</f>
        <v>167</v>
      </c>
      <c r="O145" s="253">
        <f>N145*1.5621</f>
        <v>260.8707</v>
      </c>
      <c r="P145" s="223"/>
      <c r="Q145" s="224"/>
      <c r="R145" s="225"/>
    </row>
    <row r="146" spans="1:18" s="138" customFormat="1" ht="18" customHeight="1">
      <c r="A146" s="215"/>
      <c r="B146" s="230"/>
      <c r="C146" s="213"/>
      <c r="D146" s="241"/>
      <c r="E146" s="242"/>
      <c r="F146" s="215"/>
      <c r="G146" s="216">
        <f>SUM(G143:G145)</f>
        <v>424</v>
      </c>
      <c r="H146" s="214">
        <f>SUM(H143:H145)</f>
        <v>662.33040000000005</v>
      </c>
      <c r="I146" s="669">
        <f>H146+I142</f>
        <v>662.33040000000005</v>
      </c>
      <c r="J146" s="670"/>
      <c r="K146" s="236"/>
      <c r="L146" s="237"/>
      <c r="M146" s="238"/>
      <c r="N146" s="239">
        <f>SUM(N143:N145)</f>
        <v>396.5</v>
      </c>
      <c r="O146" s="240">
        <f>SUM(O143:O145)</f>
        <v>619.37265000000002</v>
      </c>
      <c r="P146" s="701">
        <f>O146+P142</f>
        <v>619.37265000000002</v>
      </c>
      <c r="Q146" s="702"/>
      <c r="R146" s="231"/>
    </row>
    <row r="147" spans="1:18" s="138" customFormat="1" ht="18" customHeight="1">
      <c r="A147" s="218">
        <v>38020</v>
      </c>
      <c r="B147" s="219"/>
      <c r="C147" s="220" t="s">
        <v>26</v>
      </c>
      <c r="D147" s="364" t="s">
        <v>167</v>
      </c>
      <c r="E147" s="365"/>
      <c r="F147" s="256" t="s">
        <v>168</v>
      </c>
      <c r="G147" s="366">
        <f>23+19+23+26+26+24+26+23</f>
        <v>190</v>
      </c>
      <c r="H147" s="253">
        <f>G147*1.5621</f>
        <v>296.79900000000004</v>
      </c>
      <c r="I147" s="221"/>
      <c r="J147" s="222"/>
      <c r="K147" s="364" t="s">
        <v>167</v>
      </c>
      <c r="L147" s="365"/>
      <c r="M147" s="256" t="s">
        <v>168</v>
      </c>
      <c r="N147" s="366">
        <f>396/2</f>
        <v>198</v>
      </c>
      <c r="O147" s="253">
        <f>N147*1.5621</f>
        <v>309.29579999999999</v>
      </c>
      <c r="P147" s="223"/>
      <c r="Q147" s="224"/>
      <c r="R147" s="225"/>
    </row>
    <row r="148" spans="1:18" s="138" customFormat="1" ht="18" customHeight="1">
      <c r="A148" s="218"/>
      <c r="B148" s="219"/>
      <c r="C148" s="213"/>
      <c r="D148" s="344"/>
      <c r="E148" s="345"/>
      <c r="F148" s="346"/>
      <c r="G148" s="347"/>
      <c r="H148" s="348"/>
      <c r="I148" s="669"/>
      <c r="J148" s="670"/>
      <c r="K148" s="344"/>
      <c r="L148" s="345"/>
      <c r="M148" s="346"/>
      <c r="N148" s="347"/>
      <c r="O148" s="348"/>
      <c r="P148" s="349"/>
      <c r="Q148" s="350"/>
      <c r="R148" s="231"/>
    </row>
    <row r="149" spans="1:18" s="138" customFormat="1" ht="18" customHeight="1">
      <c r="A149" s="227"/>
      <c r="B149" s="219"/>
      <c r="C149" s="220" t="s">
        <v>23</v>
      </c>
      <c r="D149" s="364" t="s">
        <v>167</v>
      </c>
      <c r="E149" s="365"/>
      <c r="F149" s="256" t="s">
        <v>168</v>
      </c>
      <c r="G149" s="366">
        <f>199</f>
        <v>199</v>
      </c>
      <c r="H149" s="253">
        <f>G149*1.5621</f>
        <v>310.85790000000003</v>
      </c>
      <c r="I149" s="221"/>
      <c r="J149" s="222"/>
      <c r="K149" s="364" t="s">
        <v>167</v>
      </c>
      <c r="L149" s="365"/>
      <c r="M149" s="256" t="s">
        <v>168</v>
      </c>
      <c r="N149" s="366">
        <f>134/2+136</f>
        <v>203</v>
      </c>
      <c r="O149" s="253">
        <f>N149*1.5621</f>
        <v>317.10630000000003</v>
      </c>
      <c r="P149" s="223"/>
      <c r="Q149" s="224"/>
      <c r="R149" s="225"/>
    </row>
    <row r="150" spans="1:18" s="138" customFormat="1" ht="18" customHeight="1">
      <c r="A150" s="215"/>
      <c r="B150" s="230"/>
      <c r="C150" s="213"/>
      <c r="D150" s="241"/>
      <c r="E150" s="242"/>
      <c r="F150" s="215"/>
      <c r="G150" s="216">
        <f>SUM(G147:G149)</f>
        <v>389</v>
      </c>
      <c r="H150" s="214">
        <f>SUM(H147:H149)</f>
        <v>607.65690000000006</v>
      </c>
      <c r="I150" s="669">
        <f>H150+I146</f>
        <v>1269.9873000000002</v>
      </c>
      <c r="J150" s="670"/>
      <c r="K150" s="236"/>
      <c r="L150" s="237"/>
      <c r="M150" s="238"/>
      <c r="N150" s="239">
        <f>SUM(N147:N149)</f>
        <v>401</v>
      </c>
      <c r="O150" s="240">
        <f>SUM(O147:O149)</f>
        <v>626.40210000000002</v>
      </c>
      <c r="P150" s="701">
        <f>O150+P146</f>
        <v>1245.77475</v>
      </c>
      <c r="Q150" s="702"/>
      <c r="R150" s="231"/>
    </row>
    <row r="151" spans="1:18" s="138" customFormat="1" ht="18" customHeight="1">
      <c r="A151" s="218">
        <v>38049</v>
      </c>
      <c r="B151" s="219"/>
      <c r="C151" s="220" t="s">
        <v>170</v>
      </c>
      <c r="D151" s="364" t="s">
        <v>167</v>
      </c>
      <c r="E151" s="365"/>
      <c r="F151" s="256" t="s">
        <v>168</v>
      </c>
      <c r="G151" s="366">
        <f>21+14+20+20+16</f>
        <v>91</v>
      </c>
      <c r="H151" s="253">
        <f>G151*1.5621</f>
        <v>142.15110000000001</v>
      </c>
      <c r="I151" s="221"/>
      <c r="J151" s="222"/>
      <c r="K151" s="364" t="s">
        <v>167</v>
      </c>
      <c r="L151" s="365"/>
      <c r="M151" s="256" t="s">
        <v>168</v>
      </c>
      <c r="N151" s="366">
        <v>133</v>
      </c>
      <c r="O151" s="253">
        <f>N151*1.5621</f>
        <v>207.7593</v>
      </c>
      <c r="P151" s="223"/>
      <c r="Q151" s="224"/>
      <c r="R151" s="225"/>
    </row>
    <row r="152" spans="1:18" s="138" customFormat="1" ht="18" customHeight="1">
      <c r="A152" s="218"/>
      <c r="B152" s="219"/>
      <c r="C152" s="213"/>
      <c r="D152" s="261" t="s">
        <v>54</v>
      </c>
      <c r="E152" s="262"/>
      <c r="F152" s="255" t="s">
        <v>165</v>
      </c>
      <c r="G152" s="229">
        <f>52+54+53+56+57+61+47+45-236</f>
        <v>189</v>
      </c>
      <c r="H152" s="233">
        <f>G152*0.6458</f>
        <v>122.0562</v>
      </c>
      <c r="I152" s="669"/>
      <c r="J152" s="670"/>
      <c r="K152" s="261" t="s">
        <v>54</v>
      </c>
      <c r="L152" s="262"/>
      <c r="M152" s="255" t="s">
        <v>165</v>
      </c>
      <c r="N152" s="229">
        <v>252</v>
      </c>
      <c r="O152" s="233">
        <f>N152*0.6458</f>
        <v>162.74160000000001</v>
      </c>
      <c r="P152" s="349"/>
      <c r="Q152" s="350"/>
      <c r="R152" s="231"/>
    </row>
    <row r="153" spans="1:18" s="138" customFormat="1" ht="18" customHeight="1">
      <c r="A153" s="227"/>
      <c r="B153" s="219"/>
      <c r="C153" s="220" t="s">
        <v>26</v>
      </c>
      <c r="D153" s="364" t="s">
        <v>167</v>
      </c>
      <c r="E153" s="365"/>
      <c r="F153" s="256" t="s">
        <v>168</v>
      </c>
      <c r="G153" s="366">
        <f>30+22+27+22+20+23+27+27+13+20</f>
        <v>231</v>
      </c>
      <c r="H153" s="253">
        <f>G153*1.5621</f>
        <v>360.8451</v>
      </c>
      <c r="I153" s="221"/>
      <c r="J153" s="222"/>
      <c r="K153" s="364" t="s">
        <v>167</v>
      </c>
      <c r="L153" s="365"/>
      <c r="M153" s="256" t="s">
        <v>168</v>
      </c>
      <c r="N153" s="366">
        <v>220</v>
      </c>
      <c r="O153" s="253">
        <f>N153*1.5621</f>
        <v>343.66200000000003</v>
      </c>
      <c r="P153" s="223"/>
      <c r="Q153" s="224"/>
      <c r="R153" s="225"/>
    </row>
    <row r="154" spans="1:18" s="138" customFormat="1" ht="18" customHeight="1">
      <c r="A154" s="437"/>
      <c r="B154" s="438"/>
      <c r="C154" s="439"/>
      <c r="D154" s="261"/>
      <c r="E154" s="262"/>
      <c r="F154" s="255"/>
      <c r="G154" s="229"/>
      <c r="H154" s="233"/>
      <c r="I154" s="440"/>
      <c r="J154" s="441"/>
      <c r="K154" s="261" t="s">
        <v>54</v>
      </c>
      <c r="L154" s="262"/>
      <c r="M154" s="255" t="s">
        <v>165</v>
      </c>
      <c r="N154" s="229">
        <v>36</v>
      </c>
      <c r="O154" s="233">
        <f>N154*0.6458</f>
        <v>23.248800000000003</v>
      </c>
      <c r="P154" s="442"/>
      <c r="Q154" s="280"/>
      <c r="R154" s="443"/>
    </row>
    <row r="155" spans="1:18" s="138" customFormat="1" ht="18" customHeight="1">
      <c r="A155" s="215"/>
      <c r="B155" s="230"/>
      <c r="C155" s="213"/>
      <c r="D155" s="241"/>
      <c r="E155" s="242"/>
      <c r="F155" s="215"/>
      <c r="G155" s="216">
        <f>SUM(G151:G153)</f>
        <v>511</v>
      </c>
      <c r="H155" s="214">
        <f>SUM(H151:H153)</f>
        <v>625.05240000000003</v>
      </c>
      <c r="I155" s="669">
        <f>H155+I150</f>
        <v>1895.0397000000003</v>
      </c>
      <c r="J155" s="670"/>
      <c r="K155" s="236"/>
      <c r="L155" s="237"/>
      <c r="M155" s="238"/>
      <c r="N155" s="239">
        <f>SUM(N151:N153)</f>
        <v>605</v>
      </c>
      <c r="O155" s="240">
        <f>SUM(O151:O154)</f>
        <v>737.4117</v>
      </c>
      <c r="P155" s="701">
        <f>O155+P150</f>
        <v>1983.1864500000001</v>
      </c>
      <c r="Q155" s="702"/>
      <c r="R155" s="231"/>
    </row>
    <row r="156" spans="1:18" s="138" customFormat="1" ht="18" customHeight="1">
      <c r="A156" s="218">
        <v>38080</v>
      </c>
      <c r="B156" s="219"/>
      <c r="C156" s="220" t="s">
        <v>170</v>
      </c>
      <c r="D156" s="364" t="s">
        <v>167</v>
      </c>
      <c r="E156" s="365"/>
      <c r="F156" s="256" t="s">
        <v>168</v>
      </c>
      <c r="G156" s="366">
        <f>18+24</f>
        <v>42</v>
      </c>
      <c r="H156" s="253">
        <f>G156*1.5621</f>
        <v>65.608199999999997</v>
      </c>
      <c r="I156" s="221"/>
      <c r="J156" s="222"/>
      <c r="K156" s="364" t="s">
        <v>167</v>
      </c>
      <c r="L156" s="365"/>
      <c r="M156" s="256" t="s">
        <v>168</v>
      </c>
      <c r="N156" s="366">
        <v>108</v>
      </c>
      <c r="O156" s="253">
        <f>N156*1.5621</f>
        <v>168.70680000000002</v>
      </c>
      <c r="P156" s="223"/>
      <c r="Q156" s="224"/>
      <c r="R156" s="225"/>
    </row>
    <row r="157" spans="1:18" s="138" customFormat="1" ht="18" customHeight="1">
      <c r="A157" s="218"/>
      <c r="B157" s="219"/>
      <c r="C157" s="439"/>
      <c r="D157" s="264"/>
      <c r="E157" s="262"/>
      <c r="F157" s="255"/>
      <c r="G157" s="229"/>
      <c r="H157" s="233"/>
      <c r="I157" s="440"/>
      <c r="J157" s="441"/>
      <c r="K157" s="261" t="s">
        <v>54</v>
      </c>
      <c r="L157" s="262"/>
      <c r="M157" s="255" t="s">
        <v>165</v>
      </c>
      <c r="N157" s="229">
        <v>284</v>
      </c>
      <c r="O157" s="233">
        <f>N157*0.6458</f>
        <v>183.40720000000002</v>
      </c>
      <c r="P157" s="442"/>
      <c r="Q157" s="280"/>
      <c r="R157" s="443"/>
    </row>
    <row r="158" spans="1:18" s="138" customFormat="1" ht="18" customHeight="1">
      <c r="A158" s="218"/>
      <c r="B158" s="219"/>
      <c r="C158" s="213"/>
      <c r="D158" s="261" t="s">
        <v>54</v>
      </c>
      <c r="E158" s="262"/>
      <c r="F158" s="255" t="s">
        <v>165</v>
      </c>
      <c r="G158" s="229">
        <f>48+45+40</f>
        <v>133</v>
      </c>
      <c r="H158" s="233">
        <f>G158*0.6458</f>
        <v>85.891400000000004</v>
      </c>
      <c r="I158" s="669"/>
      <c r="J158" s="670"/>
      <c r="K158" s="446" t="s">
        <v>209</v>
      </c>
      <c r="L158" s="447"/>
      <c r="M158" s="448" t="s">
        <v>210</v>
      </c>
      <c r="N158" s="449">
        <v>21</v>
      </c>
      <c r="O158" s="450">
        <f>N158*1.5622</f>
        <v>32.806200000000004</v>
      </c>
      <c r="P158" s="349"/>
      <c r="Q158" s="350"/>
      <c r="R158" s="231"/>
    </row>
    <row r="159" spans="1:18" s="138" customFormat="1" ht="18" customHeight="1">
      <c r="A159" s="227"/>
      <c r="B159" s="219"/>
      <c r="C159" s="220" t="s">
        <v>26</v>
      </c>
      <c r="D159" s="289" t="s">
        <v>209</v>
      </c>
      <c r="E159" s="365"/>
      <c r="F159" s="256" t="s">
        <v>210</v>
      </c>
      <c r="G159" s="366">
        <f>9+22+19+26+21+239</f>
        <v>336</v>
      </c>
      <c r="H159" s="253">
        <f>G159*1.5622</f>
        <v>524.89920000000006</v>
      </c>
      <c r="I159" s="221"/>
      <c r="J159" s="222"/>
      <c r="K159" s="289" t="s">
        <v>209</v>
      </c>
      <c r="L159" s="365"/>
      <c r="M159" s="256" t="s">
        <v>210</v>
      </c>
      <c r="N159" s="366">
        <v>230</v>
      </c>
      <c r="O159" s="253">
        <f>N159*1.5622</f>
        <v>359.30599999999998</v>
      </c>
      <c r="P159" s="223"/>
      <c r="Q159" s="224"/>
      <c r="R159" s="225"/>
    </row>
    <row r="160" spans="1:18" s="138" customFormat="1" ht="18" customHeight="1">
      <c r="A160" s="437"/>
      <c r="B160" s="438"/>
      <c r="C160" s="439"/>
      <c r="D160" s="261"/>
      <c r="E160" s="262"/>
      <c r="F160" s="255"/>
      <c r="G160" s="229"/>
      <c r="H160" s="233"/>
      <c r="I160" s="440"/>
      <c r="J160" s="441"/>
      <c r="K160" s="261"/>
      <c r="L160" s="262"/>
      <c r="M160" s="255"/>
      <c r="N160" s="229"/>
      <c r="O160" s="233"/>
      <c r="P160" s="442"/>
      <c r="Q160" s="280"/>
      <c r="R160" s="443"/>
    </row>
    <row r="161" spans="1:18" s="138" customFormat="1" ht="18" customHeight="1">
      <c r="A161" s="215"/>
      <c r="B161" s="230"/>
      <c r="C161" s="213"/>
      <c r="D161" s="241"/>
      <c r="E161" s="242"/>
      <c r="F161" s="215"/>
      <c r="G161" s="216">
        <f>SUM(G156:G159)</f>
        <v>511</v>
      </c>
      <c r="H161" s="214">
        <f>SUM(H156:H159)</f>
        <v>676.39880000000005</v>
      </c>
      <c r="I161" s="669">
        <f>H161+I155</f>
        <v>2571.4385000000002</v>
      </c>
      <c r="J161" s="670"/>
      <c r="K161" s="236"/>
      <c r="L161" s="237"/>
      <c r="M161" s="238"/>
      <c r="N161" s="239">
        <f>SUM(N156:N159)</f>
        <v>643</v>
      </c>
      <c r="O161" s="240">
        <f>SUM(O156:O160)</f>
        <v>744.22620000000006</v>
      </c>
      <c r="P161" s="701">
        <f>O161+P155</f>
        <v>2727.4126500000002</v>
      </c>
      <c r="Q161" s="702"/>
      <c r="R161" s="231"/>
    </row>
    <row r="162" spans="1:18" s="138" customFormat="1" ht="18" customHeight="1">
      <c r="A162" s="218">
        <v>38110</v>
      </c>
      <c r="B162" s="219"/>
      <c r="C162" s="220" t="s">
        <v>23</v>
      </c>
      <c r="D162" s="364" t="s">
        <v>167</v>
      </c>
      <c r="E162" s="365"/>
      <c r="F162" s="256" t="s">
        <v>168</v>
      </c>
      <c r="G162" s="366">
        <v>80</v>
      </c>
      <c r="H162" s="253">
        <f>G162*1.5621</f>
        <v>124.968</v>
      </c>
      <c r="I162" s="221"/>
      <c r="J162" s="222"/>
      <c r="K162" s="446" t="s">
        <v>209</v>
      </c>
      <c r="L162" s="447"/>
      <c r="M162" s="448" t="s">
        <v>210</v>
      </c>
      <c r="N162" s="449">
        <f>257</f>
        <v>257</v>
      </c>
      <c r="O162" s="450">
        <f>N162*1.5622</f>
        <v>401.48540000000003</v>
      </c>
      <c r="P162" s="223"/>
      <c r="Q162" s="224"/>
      <c r="R162" s="225"/>
    </row>
    <row r="163" spans="1:18" s="138" customFormat="1" ht="18" customHeight="1">
      <c r="A163" s="218"/>
      <c r="B163" s="219"/>
      <c r="C163" s="439"/>
      <c r="D163" s="261" t="s">
        <v>209</v>
      </c>
      <c r="E163" s="262"/>
      <c r="F163" s="255" t="s">
        <v>210</v>
      </c>
      <c r="G163" s="229">
        <v>188</v>
      </c>
      <c r="H163" s="233">
        <f>G163*1.5622</f>
        <v>293.6936</v>
      </c>
      <c r="I163" s="440"/>
      <c r="J163" s="441"/>
      <c r="K163" s="446"/>
      <c r="L163" s="447"/>
      <c r="M163" s="448"/>
      <c r="N163" s="449"/>
      <c r="O163" s="450"/>
      <c r="P163" s="442"/>
      <c r="Q163" s="280"/>
      <c r="R163" s="443"/>
    </row>
    <row r="164" spans="1:18" s="138" customFormat="1" ht="18" customHeight="1">
      <c r="A164" s="218"/>
      <c r="B164" s="219"/>
      <c r="C164" s="213"/>
      <c r="D164" s="261"/>
      <c r="E164" s="262"/>
      <c r="F164" s="255"/>
      <c r="G164" s="229"/>
      <c r="H164" s="233"/>
      <c r="I164" s="669"/>
      <c r="J164" s="670"/>
      <c r="K164" s="446"/>
      <c r="L164" s="447"/>
      <c r="M164" s="448"/>
      <c r="N164" s="449"/>
      <c r="O164" s="450"/>
      <c r="P164" s="349"/>
      <c r="Q164" s="350"/>
      <c r="R164" s="231"/>
    </row>
    <row r="165" spans="1:18" s="138" customFormat="1" ht="18" customHeight="1">
      <c r="A165" s="227"/>
      <c r="B165" s="219"/>
      <c r="C165" s="220" t="s">
        <v>170</v>
      </c>
      <c r="D165" s="364" t="s">
        <v>167</v>
      </c>
      <c r="E165" s="365"/>
      <c r="F165" s="256" t="s">
        <v>168</v>
      </c>
      <c r="G165" s="366">
        <f>22+23+22+25+32+19+21+23+18+19</f>
        <v>224</v>
      </c>
      <c r="H165" s="253">
        <f>G165*1.5621</f>
        <v>349.91039999999998</v>
      </c>
      <c r="I165" s="221"/>
      <c r="J165" s="222"/>
      <c r="K165" s="364" t="s">
        <v>167</v>
      </c>
      <c r="L165" s="365"/>
      <c r="M165" s="256" t="s">
        <v>168</v>
      </c>
      <c r="N165" s="366">
        <v>222</v>
      </c>
      <c r="O165" s="253">
        <f>N165*1.5621</f>
        <v>346.78620000000001</v>
      </c>
      <c r="P165" s="223"/>
      <c r="Q165" s="224"/>
      <c r="R165" s="225"/>
    </row>
    <row r="166" spans="1:18" s="138" customFormat="1" ht="18" customHeight="1">
      <c r="A166" s="437"/>
      <c r="B166" s="438"/>
      <c r="C166" s="439"/>
      <c r="D166" s="261"/>
      <c r="E166" s="262"/>
      <c r="F166" s="255"/>
      <c r="G166" s="229"/>
      <c r="H166" s="233"/>
      <c r="I166" s="440"/>
      <c r="J166" s="441"/>
      <c r="K166" s="261"/>
      <c r="L166" s="262"/>
      <c r="M166" s="255"/>
      <c r="N166" s="229"/>
      <c r="O166" s="233"/>
      <c r="P166" s="442"/>
      <c r="Q166" s="280"/>
      <c r="R166" s="443"/>
    </row>
    <row r="167" spans="1:18" s="138" customFormat="1" ht="18" customHeight="1">
      <c r="A167" s="215"/>
      <c r="B167" s="230"/>
      <c r="C167" s="213"/>
      <c r="D167" s="241"/>
      <c r="E167" s="242"/>
      <c r="F167" s="215"/>
      <c r="G167" s="216">
        <f>SUM(G162:G165)</f>
        <v>492</v>
      </c>
      <c r="H167" s="214">
        <f>SUM(H162:H165)</f>
        <v>768.572</v>
      </c>
      <c r="I167" s="669">
        <f>H167+I161</f>
        <v>3340.0105000000003</v>
      </c>
      <c r="J167" s="670"/>
      <c r="K167" s="236"/>
      <c r="L167" s="237"/>
      <c r="M167" s="238"/>
      <c r="N167" s="239">
        <f>SUM(N162:N165)</f>
        <v>479</v>
      </c>
      <c r="O167" s="240">
        <f>SUM(O162:O166)</f>
        <v>748.27160000000003</v>
      </c>
      <c r="P167" s="701">
        <f>O167+P161</f>
        <v>3475.6842500000002</v>
      </c>
      <c r="Q167" s="702"/>
      <c r="R167" s="231"/>
    </row>
    <row r="168" spans="1:18" s="138" customFormat="1" ht="18" customHeight="1">
      <c r="A168" s="218">
        <v>38141</v>
      </c>
      <c r="B168" s="219"/>
      <c r="C168" s="220" t="s">
        <v>23</v>
      </c>
      <c r="D168" s="364" t="s">
        <v>167</v>
      </c>
      <c r="E168" s="365"/>
      <c r="F168" s="256" t="s">
        <v>168</v>
      </c>
      <c r="G168" s="366">
        <f>8*19+6*18</f>
        <v>260</v>
      </c>
      <c r="H168" s="253">
        <f>G168*1.5621</f>
        <v>406.14600000000002</v>
      </c>
      <c r="I168" s="221"/>
      <c r="J168" s="222"/>
      <c r="K168" s="364" t="s">
        <v>167</v>
      </c>
      <c r="L168" s="365"/>
      <c r="M168" s="256" t="s">
        <v>168</v>
      </c>
      <c r="N168" s="366">
        <v>247</v>
      </c>
      <c r="O168" s="253">
        <f>N168*1.5621</f>
        <v>385.83870000000002</v>
      </c>
      <c r="P168" s="223"/>
      <c r="Q168" s="224"/>
      <c r="R168" s="225"/>
    </row>
    <row r="169" spans="1:18" s="138" customFormat="1" ht="18" customHeight="1">
      <c r="A169" s="218"/>
      <c r="B169" s="219"/>
      <c r="C169" s="213"/>
      <c r="D169" s="261"/>
      <c r="E169" s="262"/>
      <c r="F169" s="255"/>
      <c r="G169" s="229"/>
      <c r="H169" s="233"/>
      <c r="I169" s="669"/>
      <c r="J169" s="670"/>
      <c r="K169" s="446"/>
      <c r="L169" s="447"/>
      <c r="M169" s="448"/>
      <c r="N169" s="449"/>
      <c r="O169" s="450"/>
      <c r="P169" s="349"/>
      <c r="Q169" s="350"/>
      <c r="R169" s="231"/>
    </row>
    <row r="170" spans="1:18" s="138" customFormat="1" ht="18" customHeight="1">
      <c r="A170" s="227"/>
      <c r="B170" s="219"/>
      <c r="C170" s="220" t="s">
        <v>170</v>
      </c>
      <c r="D170" s="364" t="s">
        <v>167</v>
      </c>
      <c r="E170" s="365"/>
      <c r="F170" s="256" t="s">
        <v>168</v>
      </c>
      <c r="G170" s="366">
        <f>23*2+24+21+22+23+22+22</f>
        <v>180</v>
      </c>
      <c r="H170" s="253">
        <f>G170*1.5621</f>
        <v>281.178</v>
      </c>
      <c r="I170" s="221"/>
      <c r="J170" s="222"/>
      <c r="K170" s="364" t="s">
        <v>167</v>
      </c>
      <c r="L170" s="365"/>
      <c r="M170" s="256" t="s">
        <v>168</v>
      </c>
      <c r="N170" s="366">
        <v>243</v>
      </c>
      <c r="O170" s="253">
        <f>N170*1.5621</f>
        <v>379.59030000000001</v>
      </c>
      <c r="P170" s="223"/>
      <c r="Q170" s="224"/>
      <c r="R170" s="225"/>
    </row>
    <row r="171" spans="1:18" s="138" customFormat="1" ht="18" customHeight="1">
      <c r="A171" s="437"/>
      <c r="B171" s="438"/>
      <c r="C171" s="439"/>
      <c r="D171" s="261" t="s">
        <v>54</v>
      </c>
      <c r="E171" s="262"/>
      <c r="F171" s="255" t="s">
        <v>165</v>
      </c>
      <c r="G171" s="229">
        <f>61+56</f>
        <v>117</v>
      </c>
      <c r="H171" s="233">
        <f>G171*0.6458</f>
        <v>75.558599999999998</v>
      </c>
      <c r="I171" s="440"/>
      <c r="J171" s="441"/>
      <c r="K171" s="261"/>
      <c r="L171" s="262"/>
      <c r="M171" s="255"/>
      <c r="N171" s="229"/>
      <c r="O171" s="233"/>
      <c r="P171" s="442"/>
      <c r="Q171" s="280"/>
      <c r="R171" s="443"/>
    </row>
    <row r="172" spans="1:18" s="138" customFormat="1" ht="18" customHeight="1">
      <c r="A172" s="215"/>
      <c r="B172" s="230"/>
      <c r="C172" s="213"/>
      <c r="D172" s="241"/>
      <c r="E172" s="242"/>
      <c r="F172" s="215"/>
      <c r="G172" s="216">
        <f>SUM(G168:G170)</f>
        <v>440</v>
      </c>
      <c r="H172" s="214">
        <f>SUM(H168:H171)</f>
        <v>762.88260000000002</v>
      </c>
      <c r="I172" s="669">
        <f>H172+I167</f>
        <v>4102.8931000000002</v>
      </c>
      <c r="J172" s="670"/>
      <c r="K172" s="236"/>
      <c r="L172" s="237"/>
      <c r="M172" s="238"/>
      <c r="N172" s="239">
        <f>SUM(N168:N170)</f>
        <v>490</v>
      </c>
      <c r="O172" s="240">
        <f>SUM(O168:O171)</f>
        <v>765.42900000000009</v>
      </c>
      <c r="P172" s="701">
        <f>O172+P167</f>
        <v>4241.1132500000003</v>
      </c>
      <c r="Q172" s="702"/>
      <c r="R172" s="231"/>
    </row>
    <row r="173" spans="1:18" s="138" customFormat="1" ht="18" customHeight="1">
      <c r="A173" s="218">
        <v>38171</v>
      </c>
      <c r="B173" s="219"/>
      <c r="C173" s="220" t="s">
        <v>26</v>
      </c>
      <c r="D173" s="289" t="s">
        <v>54</v>
      </c>
      <c r="E173" s="365"/>
      <c r="F173" s="256" t="s">
        <v>165</v>
      </c>
      <c r="G173" s="366">
        <f>52</f>
        <v>52</v>
      </c>
      <c r="H173" s="253">
        <f>G173*0.6458</f>
        <v>33.581600000000002</v>
      </c>
      <c r="I173" s="221"/>
      <c r="J173" s="222"/>
      <c r="K173" s="289" t="s">
        <v>54</v>
      </c>
      <c r="L173" s="365"/>
      <c r="M173" s="256" t="s">
        <v>165</v>
      </c>
      <c r="N173" s="366">
        <v>169</v>
      </c>
      <c r="O173" s="253">
        <f>N173*0.6458</f>
        <v>109.14020000000001</v>
      </c>
      <c r="P173" s="223"/>
      <c r="Q173" s="224"/>
      <c r="R173" s="225"/>
    </row>
    <row r="174" spans="1:18" s="138" customFormat="1" ht="18" customHeight="1">
      <c r="A174" s="218"/>
      <c r="B174" s="219"/>
      <c r="C174" s="439"/>
      <c r="D174" s="390" t="s">
        <v>75</v>
      </c>
      <c r="E174" s="391"/>
      <c r="F174" s="228" t="s">
        <v>70</v>
      </c>
      <c r="G174" s="277">
        <f>20+24+24+24+23+23+26+24+16</f>
        <v>204</v>
      </c>
      <c r="H174" s="233">
        <f>G174*1.5661</f>
        <v>319.48439999999999</v>
      </c>
      <c r="I174" s="440"/>
      <c r="J174" s="441"/>
      <c r="K174" s="390" t="s">
        <v>75</v>
      </c>
      <c r="L174" s="391"/>
      <c r="M174" s="228" t="s">
        <v>70</v>
      </c>
      <c r="N174" s="277">
        <v>151</v>
      </c>
      <c r="O174" s="233">
        <f>N174*1.5661</f>
        <v>236.4811</v>
      </c>
      <c r="P174" s="442"/>
      <c r="Q174" s="280"/>
      <c r="R174" s="443"/>
    </row>
    <row r="175" spans="1:18" s="138" customFormat="1" ht="18" customHeight="1">
      <c r="A175" s="218"/>
      <c r="B175" s="219"/>
      <c r="C175" s="213"/>
      <c r="D175" s="261"/>
      <c r="E175" s="262"/>
      <c r="F175" s="255"/>
      <c r="G175" s="229"/>
      <c r="H175" s="233"/>
      <c r="I175" s="669"/>
      <c r="J175" s="670"/>
      <c r="K175" s="264" t="s">
        <v>167</v>
      </c>
      <c r="L175" s="262"/>
      <c r="M175" s="255" t="s">
        <v>168</v>
      </c>
      <c r="N175" s="229">
        <v>33</v>
      </c>
      <c r="O175" s="233">
        <f>N175*1.5621</f>
        <v>51.549300000000002</v>
      </c>
      <c r="P175" s="349"/>
      <c r="Q175" s="350"/>
      <c r="R175" s="231"/>
    </row>
    <row r="176" spans="1:18" s="138" customFormat="1" ht="18" customHeight="1">
      <c r="A176" s="227"/>
      <c r="B176" s="219"/>
      <c r="C176" s="220" t="s">
        <v>23</v>
      </c>
      <c r="D176" s="260" t="s">
        <v>75</v>
      </c>
      <c r="E176" s="232"/>
      <c r="F176" s="252" t="s">
        <v>70</v>
      </c>
      <c r="G176" s="334">
        <f>10*23+16*2+17</f>
        <v>279</v>
      </c>
      <c r="H176" s="253">
        <f>G176*1.5661</f>
        <v>436.94190000000003</v>
      </c>
      <c r="I176" s="221"/>
      <c r="J176" s="222"/>
      <c r="K176" s="260" t="s">
        <v>75</v>
      </c>
      <c r="L176" s="232"/>
      <c r="M176" s="252" t="s">
        <v>70</v>
      </c>
      <c r="N176" s="334">
        <f>285-72</f>
        <v>213</v>
      </c>
      <c r="O176" s="253">
        <f>N176*1.5661</f>
        <v>333.57929999999999</v>
      </c>
      <c r="P176" s="223"/>
      <c r="Q176" s="224"/>
      <c r="R176" s="225"/>
    </row>
    <row r="177" spans="1:19" s="138" customFormat="1" ht="18" customHeight="1">
      <c r="A177" s="437"/>
      <c r="B177" s="438"/>
      <c r="C177" s="439"/>
      <c r="D177" s="261"/>
      <c r="E177" s="262"/>
      <c r="F177" s="255"/>
      <c r="G177" s="229"/>
      <c r="H177" s="233"/>
      <c r="I177" s="440"/>
      <c r="J177" s="441"/>
      <c r="K177" s="261" t="s">
        <v>209</v>
      </c>
      <c r="L177" s="262"/>
      <c r="M177" s="255" t="s">
        <v>210</v>
      </c>
      <c r="N177" s="229">
        <v>72</v>
      </c>
      <c r="O177" s="233">
        <f>N177*1.5622+0.004</f>
        <v>112.48240000000001</v>
      </c>
      <c r="P177" s="442"/>
      <c r="Q177" s="280"/>
      <c r="R177" s="443"/>
    </row>
    <row r="178" spans="1:19" s="138" customFormat="1" ht="20.100000000000001" customHeight="1">
      <c r="A178" s="215"/>
      <c r="B178" s="230"/>
      <c r="C178" s="213"/>
      <c r="D178" s="241"/>
      <c r="E178" s="242"/>
      <c r="F178" s="215"/>
      <c r="G178" s="216">
        <f>SUM(G173:G176)</f>
        <v>535</v>
      </c>
      <c r="H178" s="214">
        <f>SUM(H173:H176)</f>
        <v>790.00790000000006</v>
      </c>
      <c r="I178" s="669">
        <f>H178+I172</f>
        <v>4892.9009999999998</v>
      </c>
      <c r="J178" s="670"/>
      <c r="K178" s="236"/>
      <c r="L178" s="237"/>
      <c r="M178" s="238"/>
      <c r="N178" s="239">
        <f>SUM(N173:N176)</f>
        <v>566</v>
      </c>
      <c r="O178" s="240">
        <f>SUM(O173:O177)</f>
        <v>843.23230000000001</v>
      </c>
      <c r="P178" s="701">
        <f>O178+P172</f>
        <v>5084.34555</v>
      </c>
      <c r="Q178" s="702"/>
      <c r="R178" s="231"/>
    </row>
    <row r="179" spans="1:19" s="138" customFormat="1" ht="20.100000000000001" customHeight="1">
      <c r="A179" s="218">
        <v>38202</v>
      </c>
      <c r="B179" s="219"/>
      <c r="C179" s="220" t="s">
        <v>26</v>
      </c>
      <c r="D179" s="289" t="s">
        <v>54</v>
      </c>
      <c r="E179" s="365"/>
      <c r="F179" s="256" t="s">
        <v>165</v>
      </c>
      <c r="G179" s="366">
        <v>42</v>
      </c>
      <c r="H179" s="253">
        <f>G179*0.6458</f>
        <v>27.123600000000003</v>
      </c>
      <c r="I179" s="221"/>
      <c r="J179" s="222"/>
      <c r="K179" s="289" t="s">
        <v>54</v>
      </c>
      <c r="L179" s="365"/>
      <c r="M179" s="256" t="s">
        <v>165</v>
      </c>
      <c r="N179" s="366">
        <f>98+24</f>
        <v>122</v>
      </c>
      <c r="O179" s="253">
        <f>N179*0.6458</f>
        <v>78.787600000000012</v>
      </c>
      <c r="P179" s="223"/>
      <c r="Q179" s="224"/>
      <c r="R179" s="225"/>
    </row>
    <row r="180" spans="1:19" s="138" customFormat="1" ht="20.100000000000001" customHeight="1">
      <c r="A180" s="218"/>
      <c r="B180" s="219"/>
      <c r="C180" s="439"/>
      <c r="D180" s="261"/>
      <c r="E180" s="262"/>
      <c r="F180" s="255"/>
      <c r="G180" s="461"/>
      <c r="H180" s="233"/>
      <c r="I180" s="440"/>
      <c r="J180" s="441"/>
      <c r="K180" s="390" t="s">
        <v>75</v>
      </c>
      <c r="L180" s="391"/>
      <c r="M180" s="228" t="s">
        <v>70</v>
      </c>
      <c r="N180" s="277">
        <v>30</v>
      </c>
      <c r="O180" s="233">
        <f>N180*1.5661</f>
        <v>46.983000000000004</v>
      </c>
      <c r="P180" s="472"/>
      <c r="Q180" s="468"/>
      <c r="R180" s="443"/>
      <c r="S180" s="470"/>
    </row>
    <row r="181" spans="1:19" s="138" customFormat="1" ht="20.100000000000001" customHeight="1">
      <c r="A181" s="218"/>
      <c r="B181" s="219"/>
      <c r="C181" s="439"/>
      <c r="D181" s="261"/>
      <c r="E181" s="262"/>
      <c r="F181" s="255"/>
      <c r="G181" s="461"/>
      <c r="H181" s="233"/>
      <c r="I181" s="440"/>
      <c r="J181" s="441"/>
      <c r="K181" s="466" t="s">
        <v>217</v>
      </c>
      <c r="L181" s="467"/>
      <c r="M181" s="467" t="s">
        <v>151</v>
      </c>
      <c r="N181" s="465">
        <v>2</v>
      </c>
      <c r="O181" s="464">
        <f>N181*1.409</f>
        <v>2.8180000000000001</v>
      </c>
      <c r="P181" s="472"/>
      <c r="Q181" s="280"/>
      <c r="R181" s="443"/>
    </row>
    <row r="182" spans="1:19" s="138" customFormat="1" ht="20.100000000000001" customHeight="1">
      <c r="A182" s="218"/>
      <c r="B182" s="219"/>
      <c r="C182" s="439"/>
      <c r="D182" s="390" t="s">
        <v>75</v>
      </c>
      <c r="E182" s="391"/>
      <c r="F182" s="228" t="s">
        <v>70</v>
      </c>
      <c r="G182" s="277">
        <f>16+19+19+20+20</f>
        <v>94</v>
      </c>
      <c r="H182" s="233">
        <v>147.21100000000001</v>
      </c>
      <c r="I182" s="440"/>
      <c r="J182" s="441"/>
      <c r="K182" s="390" t="s">
        <v>75</v>
      </c>
      <c r="L182" s="391"/>
      <c r="M182" s="228" t="s">
        <v>70</v>
      </c>
      <c r="N182" s="277">
        <f>246-52-72-2-8+72-30</f>
        <v>154</v>
      </c>
      <c r="O182" s="233">
        <f>N182*1.5661</f>
        <v>241.17940000000002</v>
      </c>
      <c r="P182" s="462"/>
      <c r="Q182" s="280"/>
      <c r="R182" s="443"/>
    </row>
    <row r="183" spans="1:19" s="138" customFormat="1" ht="20.100000000000001" customHeight="1">
      <c r="A183" s="218"/>
      <c r="B183" s="219"/>
      <c r="C183" s="213"/>
      <c r="D183" s="264" t="s">
        <v>167</v>
      </c>
      <c r="E183" s="262"/>
      <c r="F183" s="255" t="s">
        <v>168</v>
      </c>
      <c r="G183" s="229">
        <v>41</v>
      </c>
      <c r="H183" s="233">
        <f>G183*1.5621</f>
        <v>64.046099999999996</v>
      </c>
      <c r="I183" s="669"/>
      <c r="J183" s="670"/>
      <c r="K183" s="264" t="s">
        <v>167</v>
      </c>
      <c r="L183" s="262"/>
      <c r="M183" s="255" t="s">
        <v>168</v>
      </c>
      <c r="N183" s="463">
        <v>52.5</v>
      </c>
      <c r="O183" s="233">
        <f>N183*1.5621</f>
        <v>82.010249999999999</v>
      </c>
      <c r="P183" s="473"/>
      <c r="Q183" s="350"/>
      <c r="R183" s="231"/>
    </row>
    <row r="184" spans="1:19" s="138" customFormat="1" ht="20.100000000000001" customHeight="1">
      <c r="A184" s="227"/>
      <c r="B184" s="219"/>
      <c r="C184" s="220" t="s">
        <v>23</v>
      </c>
      <c r="D184" s="289" t="s">
        <v>54</v>
      </c>
      <c r="E184" s="365"/>
      <c r="F184" s="256" t="s">
        <v>165</v>
      </c>
      <c r="G184" s="366">
        <f>66+73+55+76+65</f>
        <v>335</v>
      </c>
      <c r="H184" s="253">
        <f>G184*0.6458</f>
        <v>216.34300000000002</v>
      </c>
      <c r="I184" s="221"/>
      <c r="J184" s="222"/>
      <c r="K184" s="260" t="s">
        <v>75</v>
      </c>
      <c r="L184" s="232"/>
      <c r="M184" s="252" t="s">
        <v>70</v>
      </c>
      <c r="N184" s="334">
        <v>72</v>
      </c>
      <c r="O184" s="253">
        <f>N184*1.5661</f>
        <v>112.75920000000001</v>
      </c>
      <c r="P184" s="223"/>
      <c r="Q184" s="224"/>
      <c r="R184" s="225"/>
    </row>
    <row r="185" spans="1:19" s="138" customFormat="1" ht="20.100000000000001" customHeight="1">
      <c r="A185" s="437"/>
      <c r="B185" s="438"/>
      <c r="C185" s="439"/>
      <c r="D185" s="261" t="s">
        <v>209</v>
      </c>
      <c r="E185" s="262"/>
      <c r="F185" s="255" t="s">
        <v>210</v>
      </c>
      <c r="G185" s="229">
        <f>18+19+19</f>
        <v>56</v>
      </c>
      <c r="H185" s="233">
        <v>87.486999999999995</v>
      </c>
      <c r="I185" s="440"/>
      <c r="J185" s="441"/>
      <c r="K185" s="261" t="s">
        <v>54</v>
      </c>
      <c r="L185" s="262"/>
      <c r="M185" s="255" t="s">
        <v>165</v>
      </c>
      <c r="N185" s="229">
        <f>142+118</f>
        <v>260</v>
      </c>
      <c r="O185" s="233">
        <f>N185*0.6458</f>
        <v>167.90800000000002</v>
      </c>
      <c r="P185" s="442"/>
      <c r="Q185" s="280"/>
      <c r="R185" s="443"/>
    </row>
    <row r="186" spans="1:19" s="138" customFormat="1" ht="20.100000000000001" customHeight="1">
      <c r="A186" s="215"/>
      <c r="B186" s="230"/>
      <c r="C186" s="213"/>
      <c r="D186" s="241"/>
      <c r="E186" s="242"/>
      <c r="F186" s="215"/>
      <c r="G186" s="216">
        <f>SUM(G179:G185)</f>
        <v>568</v>
      </c>
      <c r="H186" s="460">
        <f>SUM(H179:H185)</f>
        <v>542.21069999999997</v>
      </c>
      <c r="I186" s="669">
        <f>H186+I178</f>
        <v>5435.1116999999995</v>
      </c>
      <c r="J186" s="670"/>
      <c r="K186" s="236"/>
      <c r="L186" s="237"/>
      <c r="M186" s="238"/>
      <c r="N186" s="239">
        <f>SUM(N179:N184)</f>
        <v>432.5</v>
      </c>
      <c r="O186" s="240">
        <f>SUM(O179:O185)</f>
        <v>732.44545000000005</v>
      </c>
      <c r="P186" s="701">
        <f>O186+P178</f>
        <v>5816.7910000000002</v>
      </c>
      <c r="Q186" s="702"/>
      <c r="R186" s="231"/>
    </row>
    <row r="187" spans="1:19" s="138" customFormat="1" ht="20.100000000000001" customHeight="1">
      <c r="A187" s="218">
        <v>38233</v>
      </c>
      <c r="B187" s="219"/>
      <c r="C187" s="220" t="s">
        <v>170</v>
      </c>
      <c r="D187" s="289" t="s">
        <v>54</v>
      </c>
      <c r="E187" s="365"/>
      <c r="F187" s="256" t="s">
        <v>165</v>
      </c>
      <c r="G187" s="366">
        <f>66+24+66+68+56+56+70+70+40</f>
        <v>516</v>
      </c>
      <c r="H187" s="253">
        <f>G187*0.6458</f>
        <v>333.2328</v>
      </c>
      <c r="I187" s="221"/>
      <c r="J187" s="222"/>
      <c r="K187" s="289" t="s">
        <v>54</v>
      </c>
      <c r="L187" s="365"/>
      <c r="M187" s="256" t="s">
        <v>165</v>
      </c>
      <c r="N187" s="366">
        <f>368-51</f>
        <v>317</v>
      </c>
      <c r="O187" s="253">
        <v>203.85400000000001</v>
      </c>
      <c r="P187" s="223"/>
      <c r="Q187" s="224"/>
      <c r="R187" s="225"/>
      <c r="S187" s="483"/>
    </row>
    <row r="188" spans="1:19" s="138" customFormat="1" ht="20.100000000000001" customHeight="1">
      <c r="A188" s="218"/>
      <c r="B188" s="219"/>
      <c r="C188" s="213"/>
      <c r="D188" s="264"/>
      <c r="E188" s="262"/>
      <c r="F188" s="255"/>
      <c r="G188" s="229"/>
      <c r="H188" s="233"/>
      <c r="I188" s="669"/>
      <c r="J188" s="670"/>
      <c r="K188" s="523" t="s">
        <v>54</v>
      </c>
      <c r="L188" s="524"/>
      <c r="M188" s="525" t="s">
        <v>152</v>
      </c>
      <c r="N188" s="526">
        <v>51</v>
      </c>
      <c r="O188" s="527">
        <v>33.799999999999997</v>
      </c>
      <c r="P188" s="473"/>
      <c r="Q188" s="350"/>
      <c r="R188" s="231"/>
    </row>
    <row r="189" spans="1:19" s="138" customFormat="1" ht="20.100000000000001" customHeight="1">
      <c r="A189" s="227"/>
      <c r="B189" s="219"/>
      <c r="C189" s="220" t="s">
        <v>26</v>
      </c>
      <c r="D189" s="289" t="s">
        <v>54</v>
      </c>
      <c r="E189" s="365"/>
      <c r="F189" s="256" t="s">
        <v>165</v>
      </c>
      <c r="G189" s="366">
        <f>54+71</f>
        <v>125</v>
      </c>
      <c r="H189" s="253">
        <f>G189*0.6458</f>
        <v>80.725000000000009</v>
      </c>
      <c r="I189" s="221"/>
      <c r="J189" s="222"/>
      <c r="K189" s="289" t="s">
        <v>54</v>
      </c>
      <c r="L189" s="365"/>
      <c r="M189" s="256" t="s">
        <v>165</v>
      </c>
      <c r="N189" s="366">
        <v>58</v>
      </c>
      <c r="O189" s="253">
        <f>N189*0.6458</f>
        <v>37.456400000000002</v>
      </c>
      <c r="P189" s="223"/>
      <c r="Q189" s="224"/>
      <c r="R189" s="225"/>
    </row>
    <row r="190" spans="1:19" s="138" customFormat="1" ht="20.100000000000001" customHeight="1">
      <c r="A190" s="215"/>
      <c r="B190" s="230"/>
      <c r="C190" s="213"/>
      <c r="D190" s="241"/>
      <c r="E190" s="242"/>
      <c r="F190" s="215"/>
      <c r="G190" s="216">
        <f>SUM(G187:G189)</f>
        <v>641</v>
      </c>
      <c r="H190" s="460">
        <f>SUM(H187:H189)</f>
        <v>413.95780000000002</v>
      </c>
      <c r="I190" s="669">
        <f>H190+I186</f>
        <v>5849.0694999999996</v>
      </c>
      <c r="J190" s="670"/>
      <c r="K190" s="236"/>
      <c r="L190" s="237"/>
      <c r="M190" s="238"/>
      <c r="N190" s="239">
        <f>SUM(N187:N189)</f>
        <v>426</v>
      </c>
      <c r="O190" s="240">
        <f>SUM(O187:O189)</f>
        <v>275.11040000000003</v>
      </c>
      <c r="P190" s="701">
        <f>O190+P186</f>
        <v>6091.9014000000006</v>
      </c>
      <c r="Q190" s="702"/>
      <c r="R190" s="231"/>
    </row>
    <row r="191" spans="1:19" s="138" customFormat="1" ht="20.100000000000001" customHeight="1">
      <c r="A191" s="314" t="s">
        <v>224</v>
      </c>
      <c r="B191" s="219"/>
      <c r="C191" s="220" t="s">
        <v>26</v>
      </c>
      <c r="D191" s="289" t="s">
        <v>54</v>
      </c>
      <c r="E191" s="365"/>
      <c r="F191" s="256" t="s">
        <v>165</v>
      </c>
      <c r="G191" s="366">
        <f>52+70</f>
        <v>122</v>
      </c>
      <c r="H191" s="253">
        <f>G191*0.6458</f>
        <v>78.787600000000012</v>
      </c>
      <c r="I191" s="221"/>
      <c r="J191" s="222"/>
      <c r="K191" s="289" t="s">
        <v>54</v>
      </c>
      <c r="L191" s="365"/>
      <c r="M191" s="256" t="s">
        <v>165</v>
      </c>
      <c r="N191" s="366">
        <v>135</v>
      </c>
      <c r="O191" s="253">
        <f>N191*0.6458</f>
        <v>87.183000000000007</v>
      </c>
      <c r="P191" s="223"/>
      <c r="Q191" s="224"/>
      <c r="R191" s="225"/>
    </row>
    <row r="192" spans="1:19" s="138" customFormat="1" ht="20.100000000000001" customHeight="1">
      <c r="A192" s="218"/>
      <c r="B192" s="219"/>
      <c r="C192" s="213"/>
      <c r="D192" s="264"/>
      <c r="E192" s="262"/>
      <c r="F192" s="255"/>
      <c r="G192" s="229"/>
      <c r="H192" s="233"/>
      <c r="I192" s="669"/>
      <c r="J192" s="670"/>
      <c r="K192" s="264"/>
      <c r="L192" s="262"/>
      <c r="M192" s="255"/>
      <c r="N192" s="463"/>
      <c r="O192" s="233"/>
      <c r="P192" s="473"/>
      <c r="Q192" s="350"/>
      <c r="R192" s="231"/>
    </row>
    <row r="193" spans="1:18" s="138" customFormat="1" ht="20.100000000000001" customHeight="1">
      <c r="A193" s="227"/>
      <c r="B193" s="219"/>
      <c r="C193" s="220" t="s">
        <v>23</v>
      </c>
      <c r="D193" s="289"/>
      <c r="E193" s="365"/>
      <c r="F193" s="256"/>
      <c r="G193" s="366"/>
      <c r="H193" s="253"/>
      <c r="I193" s="221"/>
      <c r="J193" s="222"/>
      <c r="K193" s="289" t="s">
        <v>54</v>
      </c>
      <c r="L193" s="365"/>
      <c r="M193" s="256" t="s">
        <v>165</v>
      </c>
      <c r="N193" s="366">
        <v>438</v>
      </c>
      <c r="O193" s="253">
        <f>N193*0.6458</f>
        <v>282.86040000000003</v>
      </c>
      <c r="P193" s="223"/>
      <c r="Q193" s="224"/>
      <c r="R193" s="225"/>
    </row>
    <row r="194" spans="1:18" s="138" customFormat="1" ht="20.100000000000001" customHeight="1">
      <c r="A194" s="215"/>
      <c r="B194" s="230"/>
      <c r="C194" s="213"/>
      <c r="D194" s="241"/>
      <c r="E194" s="242"/>
      <c r="F194" s="215"/>
      <c r="G194" s="216">
        <f>SUM(G191:G193)</f>
        <v>122</v>
      </c>
      <c r="H194" s="460">
        <f>SUM(H191:H193)</f>
        <v>78.787600000000012</v>
      </c>
      <c r="I194" s="669">
        <f>H194+I190</f>
        <v>5927.8570999999993</v>
      </c>
      <c r="J194" s="670"/>
      <c r="K194" s="236"/>
      <c r="L194" s="237"/>
      <c r="M194" s="238"/>
      <c r="N194" s="239">
        <f>SUM(N191:N193)</f>
        <v>573</v>
      </c>
      <c r="O194" s="240">
        <f>SUM(O191:O193)</f>
        <v>370.04340000000002</v>
      </c>
      <c r="P194" s="701">
        <f>O194+P190</f>
        <v>6461.9448000000011</v>
      </c>
      <c r="Q194" s="702"/>
      <c r="R194" s="231"/>
    </row>
    <row r="195" spans="1:18" s="138" customFormat="1" ht="20.100000000000001" customHeight="1">
      <c r="A195" s="314" t="s">
        <v>225</v>
      </c>
      <c r="B195" s="219"/>
      <c r="C195" s="220" t="s">
        <v>170</v>
      </c>
      <c r="D195" s="289"/>
      <c r="E195" s="365"/>
      <c r="F195" s="256"/>
      <c r="G195" s="366"/>
      <c r="H195" s="253"/>
      <c r="I195" s="221"/>
      <c r="J195" s="222"/>
      <c r="K195" s="289" t="s">
        <v>54</v>
      </c>
      <c r="L195" s="365"/>
      <c r="M195" s="256" t="s">
        <v>165</v>
      </c>
      <c r="N195" s="366">
        <v>600</v>
      </c>
      <c r="O195" s="253">
        <f>N195*0.6458</f>
        <v>387.48</v>
      </c>
      <c r="P195" s="223"/>
      <c r="Q195" s="224"/>
      <c r="R195" s="225"/>
    </row>
    <row r="196" spans="1:18" s="138" customFormat="1" ht="20.100000000000001" customHeight="1">
      <c r="A196" s="218"/>
      <c r="B196" s="219"/>
      <c r="C196" s="213"/>
      <c r="D196" s="264"/>
      <c r="E196" s="262"/>
      <c r="F196" s="255"/>
      <c r="G196" s="229"/>
      <c r="H196" s="233"/>
      <c r="I196" s="669"/>
      <c r="J196" s="670"/>
      <c r="K196" s="264"/>
      <c r="L196" s="262"/>
      <c r="M196" s="255"/>
      <c r="N196" s="463"/>
      <c r="O196" s="233"/>
      <c r="P196" s="473"/>
      <c r="Q196" s="350"/>
      <c r="R196" s="231"/>
    </row>
    <row r="197" spans="1:18" s="138" customFormat="1" ht="20.100000000000001" customHeight="1">
      <c r="A197" s="227"/>
      <c r="B197" s="219"/>
      <c r="C197" s="220" t="s">
        <v>26</v>
      </c>
      <c r="D197" s="289"/>
      <c r="E197" s="365"/>
      <c r="F197" s="256"/>
      <c r="G197" s="366"/>
      <c r="H197" s="253"/>
      <c r="I197" s="221"/>
      <c r="J197" s="222"/>
      <c r="K197" s="289" t="s">
        <v>54</v>
      </c>
      <c r="L197" s="365"/>
      <c r="M197" s="256" t="s">
        <v>165</v>
      </c>
      <c r="N197" s="366">
        <v>549</v>
      </c>
      <c r="O197" s="253">
        <f>N197*0.6458</f>
        <v>354.54420000000005</v>
      </c>
      <c r="P197" s="223"/>
      <c r="Q197" s="224"/>
      <c r="R197" s="225"/>
    </row>
    <row r="198" spans="1:18" s="138" customFormat="1" ht="20.100000000000001" customHeight="1">
      <c r="A198" s="215"/>
      <c r="B198" s="230"/>
      <c r="C198" s="213"/>
      <c r="D198" s="241"/>
      <c r="E198" s="242"/>
      <c r="F198" s="215"/>
      <c r="G198" s="216">
        <f>SUM(G195:G197)</f>
        <v>0</v>
      </c>
      <c r="H198" s="460">
        <f>SUM(H195:H197)</f>
        <v>0</v>
      </c>
      <c r="I198" s="669">
        <f>H198+I194</f>
        <v>5927.8570999999993</v>
      </c>
      <c r="J198" s="670"/>
      <c r="K198" s="236"/>
      <c r="L198" s="237"/>
      <c r="M198" s="238"/>
      <c r="N198" s="239">
        <f>SUM(N195:N197)</f>
        <v>1149</v>
      </c>
      <c r="O198" s="240">
        <f>SUM(O195:O197)</f>
        <v>742.02420000000006</v>
      </c>
      <c r="P198" s="701">
        <f>O198+P194</f>
        <v>7203.969000000001</v>
      </c>
      <c r="Q198" s="702"/>
      <c r="R198" s="231"/>
    </row>
    <row r="199" spans="1:18" s="138" customFormat="1" ht="20.100000000000001" customHeight="1">
      <c r="A199" s="314" t="s">
        <v>229</v>
      </c>
      <c r="B199" s="219"/>
      <c r="C199" s="220" t="s">
        <v>170</v>
      </c>
      <c r="D199" s="289" t="s">
        <v>54</v>
      </c>
      <c r="E199" s="365"/>
      <c r="F199" s="256" t="s">
        <v>165</v>
      </c>
      <c r="G199" s="366">
        <f>70+70+68+69+70+42+28</f>
        <v>417</v>
      </c>
      <c r="H199" s="253">
        <f>G199*0.6458</f>
        <v>269.29860000000002</v>
      </c>
      <c r="I199" s="221"/>
      <c r="J199" s="222"/>
      <c r="K199" s="289" t="s">
        <v>54</v>
      </c>
      <c r="L199" s="365"/>
      <c r="M199" s="256" t="s">
        <v>165</v>
      </c>
      <c r="N199" s="366">
        <v>603</v>
      </c>
      <c r="O199" s="253">
        <f>N199*0.6458</f>
        <v>389.41740000000004</v>
      </c>
      <c r="P199" s="223"/>
      <c r="Q199" s="224"/>
      <c r="R199" s="225"/>
    </row>
    <row r="200" spans="1:18" s="138" customFormat="1" ht="20.100000000000001" customHeight="1">
      <c r="A200" s="218"/>
      <c r="B200" s="219"/>
      <c r="C200" s="392"/>
      <c r="D200" s="504" t="s">
        <v>230</v>
      </c>
      <c r="E200" s="447"/>
      <c r="F200" s="448" t="s">
        <v>231</v>
      </c>
      <c r="G200" s="449">
        <f>34+39+38+10</f>
        <v>121</v>
      </c>
      <c r="H200" s="450">
        <f>G200*0.8356</f>
        <v>101.10760000000001</v>
      </c>
      <c r="I200" s="669"/>
      <c r="J200" s="670"/>
      <c r="K200" s="264"/>
      <c r="L200" s="262"/>
      <c r="M200" s="255"/>
      <c r="N200" s="463"/>
      <c r="O200" s="233"/>
      <c r="P200" s="473"/>
      <c r="Q200" s="350"/>
      <c r="R200" s="231"/>
    </row>
    <row r="201" spans="1:18" s="138" customFormat="1" ht="20.100000000000001" customHeight="1">
      <c r="A201" s="227"/>
      <c r="B201" s="219"/>
      <c r="C201" s="290" t="s">
        <v>26</v>
      </c>
      <c r="D201" s="364" t="s">
        <v>230</v>
      </c>
      <c r="E201" s="365"/>
      <c r="F201" s="256" t="s">
        <v>231</v>
      </c>
      <c r="G201" s="366">
        <f>42+46+59</f>
        <v>147</v>
      </c>
      <c r="H201" s="253">
        <f>G201*0.8356</f>
        <v>122.83320000000001</v>
      </c>
      <c r="I201" s="221"/>
      <c r="J201" s="222"/>
      <c r="K201" s="364" t="s">
        <v>230</v>
      </c>
      <c r="L201" s="365"/>
      <c r="M201" s="256" t="s">
        <v>231</v>
      </c>
      <c r="N201" s="366">
        <f>158</f>
        <v>158</v>
      </c>
      <c r="O201" s="253">
        <f>N201*0.8356</f>
        <v>132.0248</v>
      </c>
      <c r="P201" s="223"/>
      <c r="Q201" s="224"/>
      <c r="R201" s="225"/>
    </row>
    <row r="202" spans="1:18" s="138" customFormat="1" ht="20.100000000000001" customHeight="1">
      <c r="A202" s="215"/>
      <c r="B202" s="230"/>
      <c r="C202" s="213"/>
      <c r="D202" s="241"/>
      <c r="E202" s="242"/>
      <c r="F202" s="215"/>
      <c r="G202" s="216">
        <f>SUM(G199:G201)</f>
        <v>685</v>
      </c>
      <c r="H202" s="460">
        <f>SUM(H199:H201)</f>
        <v>493.23940000000005</v>
      </c>
      <c r="I202" s="669">
        <f>H202+I198</f>
        <v>6421.0964999999997</v>
      </c>
      <c r="J202" s="670"/>
      <c r="K202" s="236"/>
      <c r="L202" s="237"/>
      <c r="M202" s="238"/>
      <c r="N202" s="239">
        <f>SUM(N199:N201)</f>
        <v>761</v>
      </c>
      <c r="O202" s="240">
        <f>SUM(O199:O201)</f>
        <v>521.44220000000007</v>
      </c>
      <c r="P202" s="701">
        <f>O202+P198</f>
        <v>7725.4112000000014</v>
      </c>
      <c r="Q202" s="702"/>
      <c r="R202" s="231"/>
    </row>
    <row r="203" spans="1:18" s="138" customFormat="1" ht="20.100000000000001" customHeight="1">
      <c r="A203" s="314" t="s">
        <v>232</v>
      </c>
      <c r="B203" s="219"/>
      <c r="C203" s="220" t="s">
        <v>23</v>
      </c>
      <c r="D203" s="289"/>
      <c r="E203" s="365"/>
      <c r="F203" s="256"/>
      <c r="G203" s="366"/>
      <c r="H203" s="253"/>
      <c r="I203" s="221"/>
      <c r="J203" s="222"/>
      <c r="K203" s="364" t="s">
        <v>230</v>
      </c>
      <c r="L203" s="365"/>
      <c r="M203" s="256" t="s">
        <v>231</v>
      </c>
      <c r="N203" s="366">
        <v>340</v>
      </c>
      <c r="O203" s="253">
        <f>N203*0.8356</f>
        <v>284.10399999999998</v>
      </c>
      <c r="P203" s="223"/>
      <c r="Q203" s="224"/>
      <c r="R203" s="225"/>
    </row>
    <row r="204" spans="1:18" s="138" customFormat="1" ht="20.100000000000001" customHeight="1">
      <c r="A204" s="218"/>
      <c r="B204" s="219"/>
      <c r="C204" s="392"/>
      <c r="D204" s="504" t="s">
        <v>230</v>
      </c>
      <c r="E204" s="447"/>
      <c r="F204" s="448" t="s">
        <v>231</v>
      </c>
      <c r="G204" s="449">
        <f>32+25+27+34+28+31+34+31+33+27+12+30</f>
        <v>344</v>
      </c>
      <c r="H204" s="450">
        <f>G204*0.8356</f>
        <v>287.44639999999998</v>
      </c>
      <c r="I204" s="669"/>
      <c r="J204" s="670"/>
      <c r="K204" s="264"/>
      <c r="L204" s="262"/>
      <c r="M204" s="255"/>
      <c r="N204" s="463"/>
      <c r="O204" s="233"/>
      <c r="P204" s="473"/>
      <c r="Q204" s="350"/>
      <c r="R204" s="231"/>
    </row>
    <row r="205" spans="1:18" s="138" customFormat="1" ht="20.100000000000001" customHeight="1">
      <c r="A205" s="227"/>
      <c r="B205" s="219"/>
      <c r="C205" s="290" t="s">
        <v>170</v>
      </c>
      <c r="D205" s="364" t="s">
        <v>230</v>
      </c>
      <c r="E205" s="365"/>
      <c r="F205" s="256" t="s">
        <v>231</v>
      </c>
      <c r="G205" s="366">
        <f>38+33+33+32+36+27+31+47+34+36+25</f>
        <v>372</v>
      </c>
      <c r="H205" s="253">
        <f>G205*0.8356</f>
        <v>310.84320000000002</v>
      </c>
      <c r="I205" s="221"/>
      <c r="J205" s="222"/>
      <c r="K205" s="364" t="s">
        <v>230</v>
      </c>
      <c r="L205" s="365"/>
      <c r="M205" s="256" t="s">
        <v>231</v>
      </c>
      <c r="N205" s="366">
        <v>336</v>
      </c>
      <c r="O205" s="253">
        <f>N205*0.8356</f>
        <v>280.76159999999999</v>
      </c>
      <c r="P205" s="223"/>
      <c r="Q205" s="224"/>
      <c r="R205" s="225"/>
    </row>
    <row r="206" spans="1:18" s="138" customFormat="1" ht="20.100000000000001" customHeight="1">
      <c r="A206" s="215"/>
      <c r="B206" s="230"/>
      <c r="C206" s="213"/>
      <c r="D206" s="241"/>
      <c r="E206" s="242"/>
      <c r="F206" s="215"/>
      <c r="G206" s="216">
        <f>SUM(G203:G205)</f>
        <v>716</v>
      </c>
      <c r="H206" s="460">
        <f>SUM(H203:H205)</f>
        <v>598.28960000000006</v>
      </c>
      <c r="I206" s="669">
        <f>H206+I202</f>
        <v>7019.3860999999997</v>
      </c>
      <c r="J206" s="670"/>
      <c r="K206" s="236"/>
      <c r="L206" s="237"/>
      <c r="M206" s="238"/>
      <c r="N206" s="239">
        <f>SUM(N203:N205)</f>
        <v>676</v>
      </c>
      <c r="O206" s="240">
        <f>SUM(O203:O205)</f>
        <v>564.86559999999997</v>
      </c>
      <c r="P206" s="701">
        <f>O206+P202</f>
        <v>8290.2768000000015</v>
      </c>
      <c r="Q206" s="702"/>
      <c r="R206" s="231"/>
    </row>
    <row r="207" spans="1:18" s="138" customFormat="1" ht="20.100000000000001" customHeight="1">
      <c r="A207" s="314" t="s">
        <v>241</v>
      </c>
      <c r="B207" s="219"/>
      <c r="C207" s="220" t="s">
        <v>23</v>
      </c>
      <c r="D207" s="289"/>
      <c r="E207" s="365"/>
      <c r="F207" s="256"/>
      <c r="G207" s="366"/>
      <c r="H207" s="253"/>
      <c r="I207" s="221"/>
      <c r="J207" s="222"/>
      <c r="K207" s="364" t="s">
        <v>230</v>
      </c>
      <c r="L207" s="365"/>
      <c r="M207" s="256" t="s">
        <v>231</v>
      </c>
      <c r="N207" s="366">
        <v>416</v>
      </c>
      <c r="O207" s="253">
        <f>N207*0.8356</f>
        <v>347.6096</v>
      </c>
      <c r="P207" s="223"/>
      <c r="Q207" s="224"/>
      <c r="R207" s="225"/>
    </row>
    <row r="208" spans="1:18" s="138" customFormat="1" ht="20.100000000000001" customHeight="1">
      <c r="A208" s="218"/>
      <c r="B208" s="219"/>
      <c r="C208" s="392"/>
      <c r="D208" s="504" t="s">
        <v>230</v>
      </c>
      <c r="E208" s="447"/>
      <c r="F208" s="448" t="s">
        <v>231</v>
      </c>
      <c r="G208" s="449">
        <f>30+37+29+27+34+31+30+34+30+32+34+33+43+32+25</f>
        <v>481</v>
      </c>
      <c r="H208" s="450">
        <f>G208*0.8356</f>
        <v>401.92360000000002</v>
      </c>
      <c r="I208" s="669"/>
      <c r="J208" s="670"/>
      <c r="K208" s="264"/>
      <c r="L208" s="262"/>
      <c r="M208" s="255"/>
      <c r="N208" s="463"/>
      <c r="O208" s="233"/>
      <c r="P208" s="473"/>
      <c r="Q208" s="350"/>
      <c r="R208" s="231"/>
    </row>
    <row r="209" spans="1:18" s="138" customFormat="1" ht="20.100000000000001" customHeight="1">
      <c r="A209" s="227"/>
      <c r="B209" s="219"/>
      <c r="C209" s="290" t="s">
        <v>170</v>
      </c>
      <c r="D209" s="364" t="s">
        <v>230</v>
      </c>
      <c r="E209" s="365"/>
      <c r="F209" s="256" t="s">
        <v>231</v>
      </c>
      <c r="G209" s="366">
        <f>478</f>
        <v>478</v>
      </c>
      <c r="H209" s="253">
        <f>G209*0.8356</f>
        <v>399.41680000000002</v>
      </c>
      <c r="I209" s="221"/>
      <c r="J209" s="222"/>
      <c r="K209" s="364" t="s">
        <v>230</v>
      </c>
      <c r="L209" s="365"/>
      <c r="M209" s="256" t="s">
        <v>231</v>
      </c>
      <c r="N209" s="366">
        <v>490</v>
      </c>
      <c r="O209" s="253">
        <f>N209*0.8356</f>
        <v>409.44400000000002</v>
      </c>
      <c r="P209" s="223"/>
      <c r="Q209" s="224"/>
      <c r="R209" s="225"/>
    </row>
    <row r="210" spans="1:18" s="138" customFormat="1" ht="20.100000000000001" customHeight="1">
      <c r="A210" s="215"/>
      <c r="B210" s="230"/>
      <c r="C210" s="213"/>
      <c r="D210" s="241"/>
      <c r="E210" s="242"/>
      <c r="F210" s="215"/>
      <c r="G210" s="216">
        <f>SUM(G207:G209)</f>
        <v>959</v>
      </c>
      <c r="H210" s="460">
        <f>SUM(H207:H209)</f>
        <v>801.34040000000005</v>
      </c>
      <c r="I210" s="669">
        <f>H210+I206</f>
        <v>7820.7264999999998</v>
      </c>
      <c r="J210" s="670"/>
      <c r="K210" s="236"/>
      <c r="L210" s="237"/>
      <c r="M210" s="238"/>
      <c r="N210" s="239">
        <f>SUM(N207:N209)</f>
        <v>906</v>
      </c>
      <c r="O210" s="240">
        <f>SUM(O207:O209)</f>
        <v>757.05359999999996</v>
      </c>
      <c r="P210" s="701">
        <f>O210+P206</f>
        <v>9047.3304000000007</v>
      </c>
      <c r="Q210" s="702"/>
      <c r="R210" s="231"/>
    </row>
    <row r="211" spans="1:18" s="138" customFormat="1" ht="20.100000000000001" customHeight="1">
      <c r="A211" s="314" t="s">
        <v>244</v>
      </c>
      <c r="B211" s="219"/>
      <c r="C211" s="220" t="s">
        <v>26</v>
      </c>
      <c r="D211" s="504" t="s">
        <v>230</v>
      </c>
      <c r="E211" s="447"/>
      <c r="F211" s="448" t="s">
        <v>231</v>
      </c>
      <c r="G211" s="449">
        <f>37+38+38+42+55+44+38+37+44+30+43+36+24</f>
        <v>506</v>
      </c>
      <c r="H211" s="450">
        <f>G211*0.8349</f>
        <v>422.45939999999996</v>
      </c>
      <c r="I211" s="221"/>
      <c r="J211" s="222"/>
      <c r="K211" s="364" t="s">
        <v>230</v>
      </c>
      <c r="L211" s="365"/>
      <c r="M211" s="256" t="s">
        <v>231</v>
      </c>
      <c r="N211" s="366">
        <v>501</v>
      </c>
      <c r="O211" s="253">
        <f>N211*0.8349</f>
        <v>418.28489999999999</v>
      </c>
      <c r="P211" s="223"/>
      <c r="Q211" s="224"/>
      <c r="R211" s="225"/>
    </row>
    <row r="212" spans="1:18" s="138" customFormat="1" ht="20.100000000000001" customHeight="1">
      <c r="A212" s="218"/>
      <c r="B212" s="219"/>
      <c r="C212" s="392"/>
      <c r="D212" s="504"/>
      <c r="E212" s="447"/>
      <c r="F212" s="448"/>
      <c r="G212" s="449"/>
      <c r="H212" s="450"/>
      <c r="I212" s="669"/>
      <c r="J212" s="670"/>
      <c r="K212" s="264"/>
      <c r="L212" s="262"/>
      <c r="M212" s="255"/>
      <c r="N212" s="463"/>
      <c r="O212" s="233"/>
      <c r="P212" s="473"/>
      <c r="Q212" s="350"/>
      <c r="R212" s="231"/>
    </row>
    <row r="213" spans="1:18" s="138" customFormat="1" ht="20.100000000000001" customHeight="1">
      <c r="A213" s="227"/>
      <c r="B213" s="219"/>
      <c r="C213" s="290" t="s">
        <v>23</v>
      </c>
      <c r="D213" s="364" t="s">
        <v>230</v>
      </c>
      <c r="E213" s="365"/>
      <c r="F213" s="256" t="s">
        <v>231</v>
      </c>
      <c r="G213" s="366">
        <f>42+42+37+38+46+40+20+36+39+36+40+34+34+31</f>
        <v>515</v>
      </c>
      <c r="H213" s="253">
        <f>G213*0.8349</f>
        <v>429.9735</v>
      </c>
      <c r="I213" s="221"/>
      <c r="J213" s="222"/>
      <c r="K213" s="364" t="s">
        <v>230</v>
      </c>
      <c r="L213" s="365"/>
      <c r="M213" s="256" t="s">
        <v>231</v>
      </c>
      <c r="N213" s="366">
        <v>467</v>
      </c>
      <c r="O213" s="253">
        <f>N213*0.8349</f>
        <v>389.89830000000001</v>
      </c>
      <c r="P213" s="223"/>
      <c r="Q213" s="224"/>
      <c r="R213" s="225"/>
    </row>
    <row r="214" spans="1:18" s="138" customFormat="1" ht="20.100000000000001" customHeight="1">
      <c r="A214" s="215"/>
      <c r="B214" s="230"/>
      <c r="C214" s="213"/>
      <c r="D214" s="241"/>
      <c r="E214" s="242"/>
      <c r="F214" s="215"/>
      <c r="G214" s="216">
        <f>SUM(G211:G213)</f>
        <v>1021</v>
      </c>
      <c r="H214" s="460">
        <f>SUM(H211:H213)</f>
        <v>852.43290000000002</v>
      </c>
      <c r="I214" s="669">
        <f>H214+I210</f>
        <v>8673.1594000000005</v>
      </c>
      <c r="J214" s="670"/>
      <c r="K214" s="236"/>
      <c r="L214" s="237"/>
      <c r="M214" s="238"/>
      <c r="N214" s="239">
        <f>SUM(N211:N213)</f>
        <v>968</v>
      </c>
      <c r="O214" s="240">
        <f>SUM(O211:O213)</f>
        <v>808.18319999999994</v>
      </c>
      <c r="P214" s="701">
        <f>O214+P210</f>
        <v>9855.5136000000002</v>
      </c>
      <c r="Q214" s="702"/>
      <c r="R214" s="231"/>
    </row>
    <row r="215" spans="1:18" s="138" customFormat="1" ht="20.100000000000001" customHeight="1">
      <c r="A215" s="530" t="s">
        <v>248</v>
      </c>
      <c r="B215" s="424"/>
      <c r="C215" s="290" t="s">
        <v>26</v>
      </c>
      <c r="D215" s="364" t="s">
        <v>230</v>
      </c>
      <c r="E215" s="365"/>
      <c r="F215" s="256" t="s">
        <v>231</v>
      </c>
      <c r="G215" s="366">
        <f>47+36+39+41+31+29+35+31+39+37+25+46+21</f>
        <v>457</v>
      </c>
      <c r="H215" s="253">
        <f>G215*0.8349</f>
        <v>381.54930000000002</v>
      </c>
      <c r="I215" s="410"/>
      <c r="J215" s="222"/>
      <c r="K215" s="364" t="s">
        <v>230</v>
      </c>
      <c r="L215" s="365"/>
      <c r="M215" s="256" t="s">
        <v>231</v>
      </c>
      <c r="N215" s="366">
        <v>480</v>
      </c>
      <c r="O215" s="253">
        <f>N215*0.8349</f>
        <v>400.75200000000001</v>
      </c>
      <c r="P215" s="223"/>
      <c r="Q215" s="224"/>
      <c r="R215" s="225"/>
    </row>
    <row r="216" spans="1:18" s="138" customFormat="1" ht="20.100000000000001" customHeight="1">
      <c r="A216" s="218"/>
      <c r="B216" s="318"/>
      <c r="C216" s="439"/>
      <c r="D216" s="504" t="s">
        <v>230</v>
      </c>
      <c r="E216" s="447"/>
      <c r="F216" s="448" t="s">
        <v>231</v>
      </c>
      <c r="G216" s="449">
        <v>71</v>
      </c>
      <c r="H216" s="450">
        <f>G216*0.8349</f>
        <v>59.277899999999995</v>
      </c>
      <c r="I216" s="671"/>
      <c r="J216" s="670"/>
      <c r="K216" s="264"/>
      <c r="L216" s="262"/>
      <c r="M216" s="255"/>
      <c r="N216" s="463"/>
      <c r="O216" s="233"/>
      <c r="P216" s="473"/>
      <c r="Q216" s="350"/>
      <c r="R216" s="231"/>
    </row>
    <row r="217" spans="1:18" s="138" customFormat="1" ht="20.100000000000001" customHeight="1">
      <c r="A217" s="227"/>
      <c r="B217" s="219"/>
      <c r="C217" s="290" t="s">
        <v>23</v>
      </c>
      <c r="D217" s="364" t="s">
        <v>230</v>
      </c>
      <c r="E217" s="365"/>
      <c r="F217" s="256" t="s">
        <v>231</v>
      </c>
      <c r="G217" s="366">
        <f>29+48+46+36+37+34+49+40</f>
        <v>319</v>
      </c>
      <c r="H217" s="253">
        <f>G217*0.8349</f>
        <v>266.3331</v>
      </c>
      <c r="I217" s="221"/>
      <c r="J217" s="222"/>
      <c r="K217" s="364" t="s">
        <v>230</v>
      </c>
      <c r="L217" s="365"/>
      <c r="M217" s="256" t="s">
        <v>231</v>
      </c>
      <c r="N217" s="366">
        <v>262</v>
      </c>
      <c r="O217" s="253">
        <f>N217*0.8349</f>
        <v>218.74379999999999</v>
      </c>
      <c r="P217" s="223"/>
      <c r="Q217" s="224"/>
      <c r="R217" s="225"/>
    </row>
    <row r="218" spans="1:18" s="138" customFormat="1" ht="20.100000000000001" customHeight="1">
      <c r="A218" s="215"/>
      <c r="B218" s="230"/>
      <c r="C218" s="213"/>
      <c r="D218" s="241"/>
      <c r="E218" s="242"/>
      <c r="F218" s="215"/>
      <c r="G218" s="216">
        <f>SUM(G215:G217)</f>
        <v>847</v>
      </c>
      <c r="H218" s="460">
        <f>SUM(H215:H217)</f>
        <v>707.16030000000001</v>
      </c>
      <c r="I218" s="669">
        <f>H218+I214</f>
        <v>9380.3197</v>
      </c>
      <c r="J218" s="670"/>
      <c r="K218" s="236"/>
      <c r="L218" s="237"/>
      <c r="M218" s="238"/>
      <c r="N218" s="239">
        <f>SUM(N215:N217)</f>
        <v>742</v>
      </c>
      <c r="O218" s="240">
        <f>SUM(O215:O217)</f>
        <v>619.49580000000003</v>
      </c>
      <c r="P218" s="701">
        <f>O218+P214</f>
        <v>10475.009400000001</v>
      </c>
      <c r="Q218" s="702"/>
      <c r="R218" s="231"/>
    </row>
    <row r="219" spans="1:18" s="138" customFormat="1" ht="20.100000000000001" customHeight="1">
      <c r="A219" s="530" t="s">
        <v>253</v>
      </c>
      <c r="B219" s="424"/>
      <c r="C219" s="290" t="s">
        <v>170</v>
      </c>
      <c r="D219" s="364" t="s">
        <v>230</v>
      </c>
      <c r="E219" s="365"/>
      <c r="F219" s="256" t="s">
        <v>231</v>
      </c>
      <c r="G219" s="366">
        <f>41+36+42+49+39+27</f>
        <v>234</v>
      </c>
      <c r="H219" s="253">
        <f>G219*0.8349</f>
        <v>195.36660000000001</v>
      </c>
      <c r="I219" s="410"/>
      <c r="J219" s="222"/>
      <c r="K219" s="364" t="s">
        <v>230</v>
      </c>
      <c r="L219" s="365"/>
      <c r="M219" s="256" t="s">
        <v>231</v>
      </c>
      <c r="N219" s="366">
        <v>260</v>
      </c>
      <c r="O219" s="253">
        <f>N219*0.8349</f>
        <v>217.07399999999998</v>
      </c>
      <c r="P219" s="223"/>
      <c r="Q219" s="224"/>
      <c r="R219" s="225"/>
    </row>
    <row r="220" spans="1:18" s="138" customFormat="1" ht="20.100000000000001" customHeight="1">
      <c r="A220" s="218"/>
      <c r="B220" s="318"/>
      <c r="C220" s="439"/>
      <c r="D220" s="504"/>
      <c r="E220" s="447"/>
      <c r="F220" s="448"/>
      <c r="G220" s="449"/>
      <c r="H220" s="450"/>
      <c r="I220" s="671"/>
      <c r="J220" s="670"/>
      <c r="K220" s="264"/>
      <c r="L220" s="262"/>
      <c r="M220" s="255"/>
      <c r="N220" s="463"/>
      <c r="O220" s="233"/>
      <c r="P220" s="473"/>
      <c r="Q220" s="350"/>
      <c r="R220" s="231"/>
    </row>
    <row r="221" spans="1:18" s="138" customFormat="1" ht="20.100000000000001" customHeight="1">
      <c r="A221" s="227"/>
      <c r="B221" s="219"/>
      <c r="C221" s="290" t="s">
        <v>26</v>
      </c>
      <c r="D221" s="364" t="s">
        <v>230</v>
      </c>
      <c r="E221" s="365"/>
      <c r="F221" s="256" t="s">
        <v>231</v>
      </c>
      <c r="G221" s="366">
        <f>50+51+54+45</f>
        <v>200</v>
      </c>
      <c r="H221" s="253">
        <f>G221*0.8349</f>
        <v>166.98</v>
      </c>
      <c r="I221" s="221"/>
      <c r="J221" s="222"/>
      <c r="K221" s="364" t="s">
        <v>230</v>
      </c>
      <c r="L221" s="365"/>
      <c r="M221" s="256" t="s">
        <v>231</v>
      </c>
      <c r="N221" s="366">
        <v>162</v>
      </c>
      <c r="O221" s="253">
        <f>N221*0.8349</f>
        <v>135.25379999999998</v>
      </c>
      <c r="P221" s="223"/>
      <c r="Q221" s="224"/>
      <c r="R221" s="225"/>
    </row>
    <row r="222" spans="1:18" s="138" customFormat="1" ht="20.100000000000001" customHeight="1">
      <c r="A222" s="215"/>
      <c r="B222" s="230"/>
      <c r="C222" s="213"/>
      <c r="D222" s="241"/>
      <c r="E222" s="242"/>
      <c r="F222" s="215"/>
      <c r="G222" s="216">
        <f>SUM(G219:G221)</f>
        <v>434</v>
      </c>
      <c r="H222" s="460">
        <f>SUM(H219:H221)</f>
        <v>362.34659999999997</v>
      </c>
      <c r="I222" s="669">
        <f>H222+I218</f>
        <v>9742.6663000000008</v>
      </c>
      <c r="J222" s="670"/>
      <c r="K222" s="236"/>
      <c r="L222" s="237"/>
      <c r="M222" s="238"/>
      <c r="N222" s="239">
        <f>SUM(N219:N221)</f>
        <v>422</v>
      </c>
      <c r="O222" s="240">
        <f>SUM(O219:O221)</f>
        <v>352.32779999999997</v>
      </c>
      <c r="P222" s="723">
        <f>O222+P218</f>
        <v>10827.3372</v>
      </c>
      <c r="Q222" s="724"/>
      <c r="R222" s="725"/>
    </row>
    <row r="223" spans="1:18" s="138" customFormat="1" ht="20.100000000000001" customHeight="1">
      <c r="A223" s="530" t="s">
        <v>254</v>
      </c>
      <c r="B223" s="424"/>
      <c r="C223" s="290" t="s">
        <v>170</v>
      </c>
      <c r="D223" s="364" t="s">
        <v>230</v>
      </c>
      <c r="E223" s="365"/>
      <c r="F223" s="256" t="s">
        <v>231</v>
      </c>
      <c r="G223" s="366">
        <f>42+47+18+24+44+42+39+38+41+42+39+24+35+35</f>
        <v>510</v>
      </c>
      <c r="H223" s="253">
        <f>G223*0.8349</f>
        <v>425.79899999999998</v>
      </c>
      <c r="I223" s="410"/>
      <c r="J223" s="222"/>
      <c r="K223" s="364" t="s">
        <v>230</v>
      </c>
      <c r="L223" s="365"/>
      <c r="M223" s="256" t="s">
        <v>231</v>
      </c>
      <c r="N223" s="366">
        <v>500</v>
      </c>
      <c r="O223" s="253">
        <f>N223*0.8349</f>
        <v>417.45</v>
      </c>
      <c r="P223" s="223"/>
      <c r="Q223" s="224"/>
      <c r="R223" s="225"/>
    </row>
    <row r="224" spans="1:18" s="138" customFormat="1" ht="20.100000000000001" customHeight="1">
      <c r="A224" s="218"/>
      <c r="B224" s="318"/>
      <c r="C224" s="439"/>
      <c r="D224" s="504"/>
      <c r="E224" s="447"/>
      <c r="F224" s="448"/>
      <c r="G224" s="449"/>
      <c r="H224" s="450"/>
      <c r="I224" s="671"/>
      <c r="J224" s="670"/>
      <c r="K224" s="264"/>
      <c r="L224" s="262"/>
      <c r="M224" s="255"/>
      <c r="N224" s="463"/>
      <c r="O224" s="233"/>
      <c r="P224" s="473"/>
      <c r="Q224" s="350"/>
      <c r="R224" s="231"/>
    </row>
    <row r="225" spans="1:18" s="138" customFormat="1" ht="20.100000000000001" customHeight="1">
      <c r="A225" s="227"/>
      <c r="B225" s="219"/>
      <c r="C225" s="290" t="s">
        <v>26</v>
      </c>
      <c r="D225" s="364" t="s">
        <v>230</v>
      </c>
      <c r="E225" s="365"/>
      <c r="F225" s="256" t="s">
        <v>231</v>
      </c>
      <c r="G225" s="366">
        <f>36+43+45+52+48+40+22+27+29+19+22+26+31</f>
        <v>440</v>
      </c>
      <c r="H225" s="253">
        <f>G225*0.8349</f>
        <v>367.35599999999999</v>
      </c>
      <c r="I225" s="221"/>
      <c r="J225" s="222"/>
      <c r="K225" s="364" t="s">
        <v>230</v>
      </c>
      <c r="L225" s="365"/>
      <c r="M225" s="256" t="s">
        <v>231</v>
      </c>
      <c r="N225" s="366">
        <v>438</v>
      </c>
      <c r="O225" s="253">
        <f>N225*0.8349</f>
        <v>365.68619999999999</v>
      </c>
      <c r="P225" s="223"/>
      <c r="Q225" s="224"/>
      <c r="R225" s="225"/>
    </row>
    <row r="226" spans="1:18" s="138" customFormat="1" ht="20.100000000000001" customHeight="1">
      <c r="A226" s="215"/>
      <c r="B226" s="230"/>
      <c r="C226" s="213"/>
      <c r="D226" s="241"/>
      <c r="E226" s="242"/>
      <c r="F226" s="215"/>
      <c r="G226" s="216">
        <f>SUM(G223:G225)</f>
        <v>950</v>
      </c>
      <c r="H226" s="460">
        <f>SUM(H223:H225)</f>
        <v>793.15499999999997</v>
      </c>
      <c r="I226" s="669">
        <f>H226+I222</f>
        <v>10535.821300000001</v>
      </c>
      <c r="J226" s="670"/>
      <c r="K226" s="236"/>
      <c r="L226" s="237"/>
      <c r="M226" s="238"/>
      <c r="N226" s="239">
        <f>SUM(N223:N225)</f>
        <v>938</v>
      </c>
      <c r="O226" s="240">
        <f>SUM(O223:O225)</f>
        <v>783.13619999999992</v>
      </c>
      <c r="P226" s="723">
        <f>O226+P222</f>
        <v>11610.473399999999</v>
      </c>
      <c r="Q226" s="724"/>
      <c r="R226" s="725"/>
    </row>
    <row r="227" spans="1:18" s="138" customFormat="1" ht="20.100000000000001" customHeight="1">
      <c r="A227" s="530" t="s">
        <v>256</v>
      </c>
      <c r="B227" s="424"/>
      <c r="C227" s="290" t="s">
        <v>23</v>
      </c>
      <c r="D227" s="364" t="s">
        <v>230</v>
      </c>
      <c r="E227" s="365"/>
      <c r="F227" s="256" t="s">
        <v>231</v>
      </c>
      <c r="G227" s="366">
        <f>47+33+32+35+42+39+44+52+43+45+32</f>
        <v>444</v>
      </c>
      <c r="H227" s="253">
        <f>G227*0.8349</f>
        <v>370.69560000000001</v>
      </c>
      <c r="I227" s="410"/>
      <c r="J227" s="222"/>
      <c r="K227" s="364" t="s">
        <v>230</v>
      </c>
      <c r="L227" s="365"/>
      <c r="M227" s="256" t="s">
        <v>231</v>
      </c>
      <c r="N227" s="366">
        <v>453</v>
      </c>
      <c r="O227" s="253">
        <f>N227*0.8349</f>
        <v>378.2097</v>
      </c>
      <c r="P227" s="223"/>
      <c r="Q227" s="224"/>
      <c r="R227" s="225"/>
    </row>
    <row r="228" spans="1:18" s="138" customFormat="1" ht="20.100000000000001" customHeight="1">
      <c r="A228" s="218"/>
      <c r="B228" s="318"/>
      <c r="C228" s="439"/>
      <c r="D228" s="504"/>
      <c r="E228" s="447"/>
      <c r="F228" s="448"/>
      <c r="G228" s="449"/>
      <c r="H228" s="450"/>
      <c r="I228" s="671"/>
      <c r="J228" s="670"/>
      <c r="K228" s="264"/>
      <c r="L228" s="262"/>
      <c r="M228" s="255"/>
      <c r="N228" s="463"/>
      <c r="O228" s="233"/>
      <c r="P228" s="473"/>
      <c r="Q228" s="350"/>
      <c r="R228" s="231"/>
    </row>
    <row r="229" spans="1:18" s="138" customFormat="1" ht="20.100000000000001" customHeight="1">
      <c r="A229" s="227"/>
      <c r="B229" s="219"/>
      <c r="C229" s="290" t="s">
        <v>170</v>
      </c>
      <c r="D229" s="364" t="s">
        <v>230</v>
      </c>
      <c r="E229" s="365"/>
      <c r="F229" s="256" t="s">
        <v>231</v>
      </c>
      <c r="G229" s="366">
        <f>23+45+35+33+34+37+37+39+45+40+38</f>
        <v>406</v>
      </c>
      <c r="H229" s="253">
        <f>G229*0.8349</f>
        <v>338.96940000000001</v>
      </c>
      <c r="I229" s="221"/>
      <c r="J229" s="222"/>
      <c r="K229" s="364" t="s">
        <v>230</v>
      </c>
      <c r="L229" s="365"/>
      <c r="M229" s="256" t="s">
        <v>231</v>
      </c>
      <c r="N229" s="366">
        <v>413</v>
      </c>
      <c r="O229" s="253">
        <f>N229*0.8349</f>
        <v>344.81369999999998</v>
      </c>
      <c r="P229" s="223"/>
      <c r="Q229" s="224"/>
      <c r="R229" s="225"/>
    </row>
    <row r="230" spans="1:18" s="138" customFormat="1" ht="20.100000000000001" customHeight="1">
      <c r="A230" s="215"/>
      <c r="B230" s="230"/>
      <c r="C230" s="213"/>
      <c r="D230" s="241"/>
      <c r="E230" s="242"/>
      <c r="F230" s="215"/>
      <c r="G230" s="216">
        <f>SUM(G227:G229)</f>
        <v>850</v>
      </c>
      <c r="H230" s="460">
        <f>SUM(H227:H229)</f>
        <v>709.66499999999996</v>
      </c>
      <c r="I230" s="669">
        <f>H230+I226</f>
        <v>11245.4863</v>
      </c>
      <c r="J230" s="670"/>
      <c r="K230" s="236"/>
      <c r="L230" s="237"/>
      <c r="M230" s="238"/>
      <c r="N230" s="239">
        <f>SUM(N227:N229)</f>
        <v>866</v>
      </c>
      <c r="O230" s="240">
        <f>SUM(O227:O229)</f>
        <v>723.02340000000004</v>
      </c>
      <c r="P230" s="723">
        <f>O230+P226</f>
        <v>12333.496799999999</v>
      </c>
      <c r="Q230" s="724"/>
      <c r="R230" s="725"/>
    </row>
    <row r="231" spans="1:18" s="138" customFormat="1" ht="20.100000000000001" customHeight="1">
      <c r="A231" s="530" t="s">
        <v>258</v>
      </c>
      <c r="B231" s="424"/>
      <c r="C231" s="290" t="s">
        <v>23</v>
      </c>
      <c r="D231" s="289" t="s">
        <v>54</v>
      </c>
      <c r="E231" s="365"/>
      <c r="F231" s="256" t="s">
        <v>165</v>
      </c>
      <c r="G231" s="366">
        <f>53+53+53</f>
        <v>159</v>
      </c>
      <c r="H231" s="253">
        <f>G231*0.6458</f>
        <v>102.68220000000001</v>
      </c>
      <c r="I231" s="410"/>
      <c r="J231" s="222"/>
      <c r="K231" s="364" t="s">
        <v>230</v>
      </c>
      <c r="L231" s="365"/>
      <c r="M231" s="256" t="s">
        <v>231</v>
      </c>
      <c r="N231" s="366">
        <v>466</v>
      </c>
      <c r="O231" s="253">
        <f>N231*0.8349</f>
        <v>389.0634</v>
      </c>
      <c r="P231" s="223"/>
      <c r="Q231" s="224"/>
      <c r="R231" s="225"/>
    </row>
    <row r="232" spans="1:18" s="138" customFormat="1" ht="20.100000000000001" customHeight="1">
      <c r="A232" s="218"/>
      <c r="B232" s="318"/>
      <c r="C232" s="439"/>
      <c r="D232" s="264" t="s">
        <v>230</v>
      </c>
      <c r="E232" s="262"/>
      <c r="F232" s="255" t="s">
        <v>231</v>
      </c>
      <c r="G232" s="229">
        <f>20+40+37+36+38+38+43+27+33+32+41+30+30</f>
        <v>445</v>
      </c>
      <c r="H232" s="233">
        <f>G232*0.8349</f>
        <v>371.53049999999996</v>
      </c>
      <c r="I232" s="671"/>
      <c r="J232" s="670"/>
      <c r="K232" s="264"/>
      <c r="L232" s="262"/>
      <c r="M232" s="255"/>
      <c r="N232" s="463"/>
      <c r="O232" s="233"/>
      <c r="P232" s="473"/>
      <c r="Q232" s="350"/>
      <c r="R232" s="231"/>
    </row>
    <row r="233" spans="1:18" s="138" customFormat="1" ht="20.100000000000001" customHeight="1">
      <c r="A233" s="227"/>
      <c r="B233" s="219"/>
      <c r="C233" s="290" t="s">
        <v>170</v>
      </c>
      <c r="D233" s="289" t="s">
        <v>54</v>
      </c>
      <c r="E233" s="365"/>
      <c r="F233" s="256" t="s">
        <v>165</v>
      </c>
      <c r="G233" s="366">
        <f>55+71+68+69+62+35</f>
        <v>360</v>
      </c>
      <c r="H233" s="253">
        <f>G233*0.6458</f>
        <v>232.48800000000003</v>
      </c>
      <c r="I233" s="221"/>
      <c r="J233" s="222"/>
      <c r="K233" s="289" t="s">
        <v>54</v>
      </c>
      <c r="L233" s="365"/>
      <c r="M233" s="256" t="s">
        <v>165</v>
      </c>
      <c r="N233" s="366">
        <v>294</v>
      </c>
      <c r="O233" s="253">
        <f>N233*0.6458</f>
        <v>189.86520000000002</v>
      </c>
      <c r="P233" s="223"/>
      <c r="Q233" s="224"/>
      <c r="R233" s="225"/>
    </row>
    <row r="234" spans="1:18" s="138" customFormat="1" ht="20.100000000000001" customHeight="1">
      <c r="A234" s="215"/>
      <c r="B234" s="230"/>
      <c r="C234" s="213"/>
      <c r="D234" s="241"/>
      <c r="E234" s="242"/>
      <c r="F234" s="215"/>
      <c r="G234" s="216">
        <f>SUM(G231:G233)</f>
        <v>964</v>
      </c>
      <c r="H234" s="460">
        <f>SUM(H231:H233)</f>
        <v>706.70069999999998</v>
      </c>
      <c r="I234" s="669">
        <f>H234+I230</f>
        <v>11952.187</v>
      </c>
      <c r="J234" s="670"/>
      <c r="K234" s="236"/>
      <c r="L234" s="237"/>
      <c r="M234" s="238"/>
      <c r="N234" s="239">
        <f>SUM(N231:N233)</f>
        <v>760</v>
      </c>
      <c r="O234" s="240">
        <f>SUM(O231:O233)</f>
        <v>578.92859999999996</v>
      </c>
      <c r="P234" s="723">
        <f>O234+P230</f>
        <v>12912.425399999998</v>
      </c>
      <c r="Q234" s="724"/>
      <c r="R234" s="725"/>
    </row>
    <row r="235" spans="1:18" s="138" customFormat="1" ht="20.100000000000001" customHeight="1">
      <c r="A235" s="530" t="s">
        <v>264</v>
      </c>
      <c r="B235" s="424"/>
      <c r="C235" s="290" t="s">
        <v>26</v>
      </c>
      <c r="D235" s="289" t="s">
        <v>54</v>
      </c>
      <c r="E235" s="365"/>
      <c r="F235" s="256" t="s">
        <v>165</v>
      </c>
      <c r="G235" s="366">
        <f>67+69+66+71+70+64+52+42+65</f>
        <v>566</v>
      </c>
      <c r="H235" s="253">
        <f>G235*0.6458</f>
        <v>365.52280000000002</v>
      </c>
      <c r="I235" s="410"/>
      <c r="J235" s="222"/>
      <c r="K235" s="289" t="s">
        <v>54</v>
      </c>
      <c r="L235" s="365"/>
      <c r="M235" s="256" t="s">
        <v>165</v>
      </c>
      <c r="N235" s="366">
        <v>600</v>
      </c>
      <c r="O235" s="253">
        <f>N235*0.6458</f>
        <v>387.48</v>
      </c>
      <c r="P235" s="223"/>
      <c r="Q235" s="224"/>
      <c r="R235" s="225"/>
    </row>
    <row r="236" spans="1:18" s="138" customFormat="1" ht="20.100000000000001" customHeight="1">
      <c r="A236" s="218"/>
      <c r="B236" s="318"/>
      <c r="C236" s="439"/>
      <c r="D236" s="264"/>
      <c r="E236" s="262"/>
      <c r="F236" s="255"/>
      <c r="G236" s="229"/>
      <c r="H236" s="233"/>
      <c r="I236" s="671"/>
      <c r="J236" s="670"/>
      <c r="K236" s="264"/>
      <c r="L236" s="262"/>
      <c r="M236" s="255"/>
      <c r="N236" s="463"/>
      <c r="O236" s="233"/>
      <c r="P236" s="473"/>
      <c r="Q236" s="350"/>
      <c r="R236" s="231"/>
    </row>
    <row r="237" spans="1:18" s="138" customFormat="1" ht="20.100000000000001" customHeight="1">
      <c r="A237" s="227"/>
      <c r="B237" s="219"/>
      <c r="C237" s="290" t="s">
        <v>23</v>
      </c>
      <c r="D237" s="289" t="s">
        <v>54</v>
      </c>
      <c r="E237" s="365"/>
      <c r="F237" s="256" t="s">
        <v>165</v>
      </c>
      <c r="G237" s="366">
        <f>62*7+63</f>
        <v>497</v>
      </c>
      <c r="H237" s="253">
        <f>G237*0.6458</f>
        <v>320.96260000000001</v>
      </c>
      <c r="I237" s="221"/>
      <c r="J237" s="222"/>
      <c r="K237" s="289" t="s">
        <v>54</v>
      </c>
      <c r="L237" s="365"/>
      <c r="M237" s="256" t="s">
        <v>165</v>
      </c>
      <c r="N237" s="366">
        <v>429</v>
      </c>
      <c r="O237" s="253">
        <f>N237*0.6458</f>
        <v>277.04820000000001</v>
      </c>
      <c r="P237" s="223"/>
      <c r="Q237" s="224"/>
      <c r="R237" s="225"/>
    </row>
    <row r="238" spans="1:18" s="138" customFormat="1" ht="20.100000000000001" customHeight="1">
      <c r="A238" s="215"/>
      <c r="B238" s="230"/>
      <c r="C238" s="213"/>
      <c r="D238" s="241"/>
      <c r="E238" s="242"/>
      <c r="F238" s="215"/>
      <c r="G238" s="216">
        <f>SUM(G235:G237)</f>
        <v>1063</v>
      </c>
      <c r="H238" s="460">
        <f>SUM(H235:H237)</f>
        <v>686.48540000000003</v>
      </c>
      <c r="I238" s="669">
        <f>H238+I234</f>
        <v>12638.672399999999</v>
      </c>
      <c r="J238" s="670"/>
      <c r="K238" s="236"/>
      <c r="L238" s="237"/>
      <c r="M238" s="238"/>
      <c r="N238" s="239">
        <f>SUM(N235:N237)</f>
        <v>1029</v>
      </c>
      <c r="O238" s="240">
        <f>SUM(O235:O237)</f>
        <v>664.52819999999997</v>
      </c>
      <c r="P238" s="723">
        <f>O238+P234</f>
        <v>13576.953599999999</v>
      </c>
      <c r="Q238" s="724"/>
      <c r="R238" s="725"/>
    </row>
    <row r="239" spans="1:18" s="138" customFormat="1" ht="20.100000000000001" customHeight="1">
      <c r="A239" s="243"/>
      <c r="B239" s="244"/>
      <c r="C239" s="244"/>
      <c r="D239" s="245"/>
      <c r="E239" s="245"/>
      <c r="F239" s="243"/>
      <c r="G239" s="474"/>
      <c r="H239" s="474"/>
      <c r="I239" s="246"/>
      <c r="J239" s="246"/>
      <c r="K239" s="281"/>
      <c r="L239" s="282"/>
      <c r="M239" s="283"/>
      <c r="N239" s="247"/>
      <c r="O239" s="248"/>
      <c r="P239" s="249"/>
      <c r="Q239" s="249"/>
      <c r="R239" s="250"/>
    </row>
    <row r="240" spans="1:18" s="138" customFormat="1" ht="20.100000000000001" customHeight="1">
      <c r="A240" s="243"/>
      <c r="B240" s="244"/>
      <c r="C240" s="244"/>
      <c r="D240" s="245"/>
      <c r="E240" s="245"/>
      <c r="F240" s="243"/>
      <c r="G240" s="280"/>
      <c r="H240" s="474"/>
      <c r="I240" s="246"/>
      <c r="J240" s="246"/>
      <c r="K240" s="281"/>
      <c r="L240" s="282"/>
      <c r="M240" s="283"/>
      <c r="N240" s="247"/>
      <c r="O240" s="248"/>
      <c r="P240" s="249"/>
      <c r="Q240" s="249"/>
      <c r="R240" s="250"/>
    </row>
    <row r="241" spans="1:25" s="138" customFormat="1" ht="23.25" customHeight="1">
      <c r="A241" s="243"/>
      <c r="B241" s="244"/>
      <c r="C241" s="244"/>
      <c r="D241" s="245"/>
      <c r="E241" s="245"/>
      <c r="F241" s="659" t="s">
        <v>33</v>
      </c>
      <c r="G241" s="659"/>
      <c r="H241" s="659"/>
      <c r="I241" s="246"/>
      <c r="J241" s="246"/>
      <c r="K241" s="281"/>
      <c r="L241" s="282"/>
      <c r="M241" s="283"/>
      <c r="N241" s="247"/>
      <c r="O241" s="248"/>
      <c r="P241" s="659" t="s">
        <v>34</v>
      </c>
      <c r="Q241" s="659"/>
      <c r="R241" s="659"/>
    </row>
    <row r="242" spans="1:25" s="138" customFormat="1" ht="23.25" customHeight="1">
      <c r="A242" s="243"/>
      <c r="B242" s="244"/>
      <c r="C242" s="244"/>
      <c r="D242" s="245"/>
      <c r="E242" s="245"/>
      <c r="F242" s="337"/>
      <c r="G242" s="337"/>
      <c r="H242" s="337"/>
      <c r="I242" s="246"/>
      <c r="J242" s="246"/>
      <c r="K242" s="281"/>
      <c r="L242" s="282"/>
      <c r="M242" s="283"/>
      <c r="N242" s="247"/>
      <c r="O242" s="248"/>
      <c r="P242" s="337"/>
      <c r="Q242" s="337"/>
      <c r="R242" s="337"/>
    </row>
    <row r="243" spans="1:25" s="138" customFormat="1" ht="23.25" customHeight="1">
      <c r="A243" s="243"/>
      <c r="B243" s="244"/>
      <c r="C243" s="244"/>
      <c r="D243" s="245"/>
      <c r="E243" s="245"/>
      <c r="F243" s="337"/>
      <c r="G243" s="337"/>
      <c r="H243" s="337"/>
      <c r="I243" s="246"/>
      <c r="J243" s="246"/>
      <c r="K243" s="653"/>
      <c r="L243" s="653"/>
      <c r="M243" s="283"/>
      <c r="N243" s="247"/>
      <c r="O243" s="471"/>
      <c r="P243" s="337"/>
      <c r="Q243" s="337"/>
      <c r="R243" s="337"/>
    </row>
    <row r="244" spans="1:25" s="138" customFormat="1" ht="18" customHeight="1">
      <c r="A244" s="243"/>
      <c r="B244" s="244"/>
      <c r="C244" s="244"/>
      <c r="D244" s="251"/>
      <c r="E244" s="245"/>
      <c r="F244" s="703" t="s">
        <v>61</v>
      </c>
      <c r="G244" s="703"/>
      <c r="H244" s="703"/>
      <c r="I244" s="246"/>
      <c r="J244" s="246"/>
      <c r="K244" s="63"/>
      <c r="L244" s="63"/>
      <c r="M244" s="63"/>
      <c r="N244" s="247"/>
      <c r="O244" s="248"/>
      <c r="P244" s="704" t="s">
        <v>28</v>
      </c>
      <c r="Q244" s="704"/>
      <c r="R244" s="704"/>
    </row>
    <row r="245" spans="1:25" s="138" customFormat="1" ht="18" customHeight="1">
      <c r="A245" s="243"/>
      <c r="B245" s="244"/>
      <c r="C245" s="244"/>
      <c r="D245" s="251"/>
      <c r="E245" s="245"/>
      <c r="F245" s="243"/>
      <c r="G245" s="243"/>
      <c r="H245" s="243"/>
      <c r="I245" s="246"/>
      <c r="J245" s="246"/>
      <c r="K245" s="63"/>
      <c r="L245" s="63"/>
      <c r="M245" s="63"/>
      <c r="N245" s="247"/>
      <c r="O245" s="248"/>
      <c r="P245" s="249"/>
      <c r="Q245" s="249"/>
      <c r="R245" s="249"/>
    </row>
    <row r="246" spans="1:25" s="138" customFormat="1" ht="18" customHeight="1">
      <c r="A246" s="243"/>
      <c r="B246" s="244"/>
      <c r="C246" s="244"/>
      <c r="D246" s="251"/>
      <c r="E246" s="245"/>
      <c r="F246" s="243"/>
      <c r="G246" s="243"/>
      <c r="H246" s="243"/>
      <c r="I246" s="246"/>
      <c r="J246" s="246"/>
      <c r="K246" s="63"/>
      <c r="L246" s="63"/>
      <c r="M246" s="63"/>
      <c r="N246" s="247"/>
      <c r="O246" s="248"/>
      <c r="P246" s="249"/>
      <c r="Q246" s="249"/>
      <c r="R246" s="249"/>
      <c r="V246" s="138">
        <v>1126140</v>
      </c>
      <c r="W246" s="138">
        <v>1126548</v>
      </c>
      <c r="X246" s="138">
        <f>W246-V246</f>
        <v>408</v>
      </c>
      <c r="Y246" s="138">
        <f>X246*15.4</f>
        <v>6283.2</v>
      </c>
    </row>
    <row r="247" spans="1:25" s="65" customFormat="1" ht="17.100000000000001" customHeight="1">
      <c r="A247" s="180"/>
      <c r="B247" s="180"/>
      <c r="C247" s="180"/>
      <c r="D247" s="180"/>
      <c r="E247" s="454"/>
      <c r="F247" s="181"/>
      <c r="G247" s="182"/>
      <c r="H247" s="182"/>
      <c r="I247" s="182"/>
      <c r="J247" s="182"/>
      <c r="K247" s="185"/>
      <c r="L247" s="185"/>
      <c r="M247" s="185"/>
      <c r="N247" s="183"/>
      <c r="O247" s="184"/>
      <c r="P247" s="184"/>
      <c r="Q247" s="185"/>
      <c r="R247" s="186"/>
      <c r="V247" s="323">
        <v>142350</v>
      </c>
      <c r="W247" s="323">
        <v>142460</v>
      </c>
      <c r="X247" s="138">
        <f>W247-V247</f>
        <v>110</v>
      </c>
      <c r="Y247" s="138">
        <f>X247*15.4</f>
        <v>1694</v>
      </c>
    </row>
    <row r="248" spans="1:25" s="65" customFormat="1" ht="17.100000000000001" customHeight="1">
      <c r="A248" s="180"/>
      <c r="B248" s="180"/>
      <c r="C248" s="180"/>
      <c r="D248" s="180"/>
      <c r="E248" s="180" t="s">
        <v>98</v>
      </c>
      <c r="F248" s="181" t="s">
        <v>32</v>
      </c>
      <c r="G248" s="182" t="s">
        <v>99</v>
      </c>
      <c r="H248" s="182"/>
      <c r="I248" s="182" t="s">
        <v>4</v>
      </c>
      <c r="J248" s="182"/>
      <c r="K248" s="185" t="s">
        <v>106</v>
      </c>
      <c r="L248" s="185" t="s">
        <v>107</v>
      </c>
      <c r="M248" s="185"/>
      <c r="N248" s="271"/>
      <c r="O248" s="138">
        <v>207489</v>
      </c>
      <c r="P248" s="138">
        <v>141127</v>
      </c>
      <c r="Q248" s="138">
        <v>83417</v>
      </c>
      <c r="R248" s="185"/>
      <c r="V248" s="323">
        <v>411531</v>
      </c>
      <c r="W248" s="323">
        <v>412229</v>
      </c>
      <c r="X248" s="138">
        <f>W248-V248</f>
        <v>698</v>
      </c>
      <c r="Y248" s="138">
        <f>X248*15.4</f>
        <v>10749.2</v>
      </c>
    </row>
    <row r="249" spans="1:25" s="41" customFormat="1" ht="17.100000000000001" customHeight="1">
      <c r="A249" s="8"/>
      <c r="B249" s="8"/>
      <c r="C249" s="8"/>
      <c r="D249" s="657"/>
      <c r="E249" s="657"/>
      <c r="F249" s="657"/>
      <c r="G249" s="657"/>
      <c r="H249" s="57"/>
      <c r="I249" s="49"/>
      <c r="J249" s="43"/>
      <c r="K249" s="44"/>
      <c r="L249" s="49"/>
      <c r="M249" s="58"/>
      <c r="N249" s="85"/>
      <c r="O249" s="138">
        <v>207750</v>
      </c>
      <c r="P249" s="138">
        <v>141685</v>
      </c>
      <c r="Q249" s="138">
        <v>83887</v>
      </c>
      <c r="R249" s="184"/>
      <c r="V249" s="323"/>
      <c r="W249" s="323"/>
      <c r="X249" s="323"/>
      <c r="Y249" s="323">
        <f>SUM(Y246:Y248)</f>
        <v>18726.400000000001</v>
      </c>
    </row>
    <row r="250" spans="1:25" s="41" customFormat="1" ht="17.100000000000001" customHeight="1">
      <c r="A250" s="8"/>
      <c r="B250" s="8"/>
      <c r="C250" s="8"/>
      <c r="D250" s="432" t="s">
        <v>211</v>
      </c>
      <c r="E250" s="58">
        <f t="shared" ref="E250:E292" si="0">SUMIF($D$10:$D$248,D250,$E$10:$E$248)</f>
        <v>0</v>
      </c>
      <c r="F250" s="58">
        <f>SUMIF($D$10:$D249,D250,$G$10:$G249)</f>
        <v>3.5910000000000002</v>
      </c>
      <c r="G250" s="61">
        <f>SUMIF($D$10:$D249,D250,$K$10:$K249)</f>
        <v>0</v>
      </c>
      <c r="H250" s="58"/>
      <c r="I250" s="61">
        <f>SUMIF($D$10:$D249,D250,$O$10:$O249)</f>
        <v>0</v>
      </c>
      <c r="J250" s="325"/>
      <c r="K250" s="44"/>
      <c r="L250" s="50"/>
      <c r="M250" s="61"/>
      <c r="N250" s="11"/>
      <c r="O250" s="138">
        <v>213364</v>
      </c>
      <c r="P250" s="138">
        <v>143348</v>
      </c>
      <c r="Q250" s="138">
        <v>86453</v>
      </c>
      <c r="R250" s="321"/>
    </row>
    <row r="251" spans="1:25" s="41" customFormat="1" ht="17.100000000000001" customHeight="1">
      <c r="A251" s="8"/>
      <c r="B251" s="8"/>
      <c r="C251" s="8"/>
      <c r="D251" s="432" t="s">
        <v>212</v>
      </c>
      <c r="E251" s="58">
        <f t="shared" si="0"/>
        <v>0</v>
      </c>
      <c r="F251" s="58">
        <f>SUMIF($D$10:$D250,D251,$G$10:$G250)</f>
        <v>5.3559999999999999</v>
      </c>
      <c r="G251" s="61">
        <f>SUMIF($D$10:$D250,D251,$K$10:$K250)</f>
        <v>0</v>
      </c>
      <c r="H251" s="58"/>
      <c r="I251" s="61">
        <f>SUMIF($D$10:$D250,D251,$O$10:$O250)</f>
        <v>0</v>
      </c>
      <c r="J251" s="325"/>
      <c r="K251" s="44"/>
      <c r="L251" s="50"/>
      <c r="M251" s="61"/>
      <c r="N251" s="11"/>
      <c r="O251" s="49">
        <f>O249-O248</f>
        <v>261</v>
      </c>
      <c r="P251" s="49">
        <f>P249-P248</f>
        <v>558</v>
      </c>
      <c r="Q251" s="49">
        <f>Q249-Q248</f>
        <v>470</v>
      </c>
      <c r="R251" s="321">
        <f>SUM(O251:Q251)</f>
        <v>1289</v>
      </c>
      <c r="S251" s="458"/>
      <c r="T251" s="323"/>
    </row>
    <row r="252" spans="1:25" s="41" customFormat="1" ht="17.100000000000001" customHeight="1">
      <c r="A252" s="8"/>
      <c r="B252" s="8"/>
      <c r="C252" s="8"/>
      <c r="D252" s="432" t="s">
        <v>214</v>
      </c>
      <c r="E252" s="58">
        <f t="shared" si="0"/>
        <v>0</v>
      </c>
      <c r="F252" s="58">
        <f>SUMIF($D$10:$D251,D252,$G$10:$G251)</f>
        <v>0.58399999999999996</v>
      </c>
      <c r="G252" s="61">
        <f>SUMIF($D$10:$D251,D252,$K$10:$K251)</f>
        <v>0</v>
      </c>
      <c r="H252" s="58"/>
      <c r="I252" s="61">
        <f>SUMIF($D$10:$D251,D252,$O$10:$O251)</f>
        <v>0</v>
      </c>
      <c r="J252" s="325"/>
      <c r="K252" s="44"/>
      <c r="L252" s="50"/>
      <c r="M252" s="61"/>
      <c r="N252" s="11"/>
      <c r="O252" s="49"/>
      <c r="P252" s="49"/>
      <c r="Q252" s="49"/>
      <c r="R252" s="321"/>
      <c r="S252" s="458"/>
      <c r="T252" s="323"/>
    </row>
    <row r="253" spans="1:25" s="41" customFormat="1" ht="17.100000000000001" customHeight="1">
      <c r="A253" s="8"/>
      <c r="B253" s="8"/>
      <c r="C253" s="8"/>
      <c r="D253" s="432" t="s">
        <v>207</v>
      </c>
      <c r="E253" s="58">
        <f t="shared" si="0"/>
        <v>760.79140000000007</v>
      </c>
      <c r="F253" s="58">
        <f>SUMIF($D$10:$D252,D253,$G$10:$G252)</f>
        <v>695.81299999999999</v>
      </c>
      <c r="G253" s="61">
        <f>SUMIF($D$10:$D252,D253,$K$10:$K252)</f>
        <v>25521</v>
      </c>
      <c r="H253" s="58"/>
      <c r="I253" s="61">
        <f>SUMIF($D$10:$D252,D253,$O$10:$O252)</f>
        <v>57966</v>
      </c>
      <c r="J253" s="325"/>
      <c r="K253" s="44"/>
      <c r="L253" s="50"/>
      <c r="M253" s="61"/>
      <c r="N253" s="11"/>
      <c r="O253" s="49">
        <f>O250-O249</f>
        <v>5614</v>
      </c>
      <c r="P253" s="49">
        <f>P250-P249</f>
        <v>1663</v>
      </c>
      <c r="Q253" s="49">
        <f>Q250-Q249</f>
        <v>2566</v>
      </c>
      <c r="R253" s="321">
        <f>SUM(O253:Q253)</f>
        <v>9843</v>
      </c>
      <c r="S253" s="458">
        <f>R253+R251</f>
        <v>11132</v>
      </c>
      <c r="T253" s="509">
        <f>S253*0.96</f>
        <v>10686.72</v>
      </c>
    </row>
    <row r="254" spans="1:25" s="41" customFormat="1" ht="17.100000000000001" customHeight="1">
      <c r="A254" s="8"/>
      <c r="B254" s="8"/>
      <c r="C254" s="8"/>
      <c r="D254" s="432" t="s">
        <v>208</v>
      </c>
      <c r="E254" s="58">
        <f t="shared" si="0"/>
        <v>0</v>
      </c>
      <c r="F254" s="58">
        <f>SUMIF($D$10:$D253,D254,$G$10:$G253)</f>
        <v>26.869</v>
      </c>
      <c r="G254" s="61">
        <f>SUMIF($D$10:$D253,D254,$K$10:$K253)</f>
        <v>0</v>
      </c>
      <c r="H254" s="58"/>
      <c r="I254" s="61">
        <f>SUMIF($D$10:$D253,D254,$O$10:$O253)</f>
        <v>0</v>
      </c>
      <c r="J254" s="325"/>
      <c r="K254" s="44"/>
      <c r="L254" s="50"/>
      <c r="M254" s="61"/>
      <c r="N254" s="11"/>
      <c r="O254" s="49"/>
      <c r="P254" s="49"/>
      <c r="Q254" s="49"/>
      <c r="R254" s="321"/>
    </row>
    <row r="255" spans="1:25" s="41" customFormat="1" ht="17.100000000000001" customHeight="1">
      <c r="A255" s="8"/>
      <c r="B255" s="8"/>
      <c r="C255" s="8"/>
      <c r="D255" s="531" t="s">
        <v>156</v>
      </c>
      <c r="E255" s="58">
        <f t="shared" si="0"/>
        <v>854.39339999999993</v>
      </c>
      <c r="F255" s="58">
        <f>SUMIF($D$10:$D254,D255,$G$10:$G254)</f>
        <v>772.79399999999998</v>
      </c>
      <c r="G255" s="61">
        <f>SUMIF($D$10:$D254,D255,$K$10:$K254)</f>
        <v>32216</v>
      </c>
      <c r="H255" s="58"/>
      <c r="I255" s="61">
        <f>SUMIF($D$10:$D254,D255,$O$10:$O254)</f>
        <v>59336</v>
      </c>
      <c r="J255" s="325"/>
      <c r="K255" s="44"/>
      <c r="L255" s="50"/>
      <c r="M255" s="61"/>
      <c r="N255" s="11"/>
      <c r="O255" s="49"/>
      <c r="P255" s="49"/>
      <c r="Q255" s="49"/>
      <c r="R255" s="321"/>
      <c r="S255" s="41" t="s">
        <v>260</v>
      </c>
      <c r="T255" s="41" t="s">
        <v>261</v>
      </c>
      <c r="U255" s="41" t="s">
        <v>263</v>
      </c>
      <c r="V255" s="41" t="s">
        <v>262</v>
      </c>
    </row>
    <row r="256" spans="1:25" s="41" customFormat="1" ht="17.100000000000001" customHeight="1">
      <c r="A256" s="8"/>
      <c r="B256" s="8"/>
      <c r="C256" s="8"/>
      <c r="D256" s="532" t="s">
        <v>162</v>
      </c>
      <c r="E256" s="58">
        <f t="shared" si="0"/>
        <v>0</v>
      </c>
      <c r="F256" s="58">
        <f>SUMIF($D$10:$D255,D256,$G$10:$G255)</f>
        <v>5.742</v>
      </c>
      <c r="G256" s="61">
        <f>SUMIF($D$10:$D255,D256,$K$10:$K255)</f>
        <v>0</v>
      </c>
      <c r="H256" s="58"/>
      <c r="I256" s="61">
        <f>SUMIF($D$10:$D255,D256,$O$10:$O255)</f>
        <v>0</v>
      </c>
      <c r="J256" s="325"/>
      <c r="K256" s="44"/>
      <c r="L256" s="50"/>
      <c r="M256" s="61"/>
      <c r="N256" s="11"/>
      <c r="O256" s="49"/>
      <c r="P256" s="49"/>
      <c r="Q256" s="49"/>
      <c r="R256" s="321"/>
      <c r="S256" s="41">
        <v>1058378</v>
      </c>
      <c r="T256" s="41">
        <v>1126140</v>
      </c>
      <c r="U256" s="41">
        <f>T256-S256</f>
        <v>67762</v>
      </c>
      <c r="V256" s="323">
        <f>U256*15.4</f>
        <v>1043534.8</v>
      </c>
    </row>
    <row r="257" spans="1:22" s="41" customFormat="1" ht="17.100000000000001" customHeight="1">
      <c r="A257" s="8"/>
      <c r="B257" s="8"/>
      <c r="C257" s="8"/>
      <c r="D257" s="432" t="s">
        <v>132</v>
      </c>
      <c r="E257" s="58">
        <f t="shared" si="0"/>
        <v>757.52340000000004</v>
      </c>
      <c r="F257" s="58">
        <f>SUMIF($D$10:$D252,D257,$G$10:$G252)</f>
        <v>703.95100000000002</v>
      </c>
      <c r="G257" s="61">
        <f>SUMIF($D$10:$D254,D257,$K$10:$K254)</f>
        <v>25924</v>
      </c>
      <c r="H257" s="58"/>
      <c r="I257" s="61">
        <f>SUMIF($D$10:$D254,D257,$O$10:$O254)</f>
        <v>59480</v>
      </c>
      <c r="J257" s="325"/>
      <c r="K257" s="44"/>
      <c r="L257" s="50"/>
      <c r="M257" s="61"/>
      <c r="N257" s="11"/>
      <c r="O257" s="49"/>
      <c r="P257" s="49"/>
      <c r="Q257" s="49"/>
      <c r="R257" s="321"/>
      <c r="S257" s="41">
        <v>137666</v>
      </c>
      <c r="T257" s="41">
        <v>142350</v>
      </c>
      <c r="U257" s="41">
        <f>T257-S257</f>
        <v>4684</v>
      </c>
      <c r="V257" s="323">
        <f>U257*15.4</f>
        <v>72133.600000000006</v>
      </c>
    </row>
    <row r="258" spans="1:22" s="41" customFormat="1" ht="17.100000000000001" customHeight="1">
      <c r="A258" s="8"/>
      <c r="B258" s="8"/>
      <c r="C258" s="8"/>
      <c r="D258" s="432" t="s">
        <v>226</v>
      </c>
      <c r="E258" s="58">
        <f t="shared" si="0"/>
        <v>0</v>
      </c>
      <c r="F258" s="58">
        <f>SUMIF($D$10:$D253,D258,$G$10:$G253)</f>
        <v>0.51800000000000002</v>
      </c>
      <c r="G258" s="61">
        <f>SUMIF($D$10:$D257,D258,$K$10:$K257)</f>
        <v>0</v>
      </c>
      <c r="H258" s="58"/>
      <c r="I258" s="61">
        <f>SUMIF($D$10:$D257,D258,$O$10:$O257)</f>
        <v>0</v>
      </c>
      <c r="J258" s="325"/>
      <c r="K258" s="44"/>
      <c r="L258" s="50"/>
      <c r="M258" s="61"/>
      <c r="N258" s="11"/>
      <c r="O258" s="49"/>
      <c r="P258" s="49"/>
      <c r="Q258" s="49"/>
      <c r="R258" s="321"/>
      <c r="S258" s="41">
        <v>386970</v>
      </c>
      <c r="T258" s="41">
        <v>411531</v>
      </c>
      <c r="U258" s="41">
        <f>T258-S258</f>
        <v>24561</v>
      </c>
      <c r="V258" s="323">
        <f>U258*15.4</f>
        <v>378239.4</v>
      </c>
    </row>
    <row r="259" spans="1:22" s="41" customFormat="1" ht="17.100000000000001" customHeight="1">
      <c r="A259" s="8"/>
      <c r="B259" s="8"/>
      <c r="C259" s="8"/>
      <c r="D259" s="476" t="s">
        <v>227</v>
      </c>
      <c r="E259" s="58">
        <f t="shared" si="0"/>
        <v>0</v>
      </c>
      <c r="F259" s="58">
        <f>SUMIF($D$10:$D254,D259,$G$10:$G254)</f>
        <v>15.507999999999999</v>
      </c>
      <c r="G259" s="61">
        <f>SUMIF($D$10:$D258,D259,$K$10:$K258)</f>
        <v>0</v>
      </c>
      <c r="H259" s="58"/>
      <c r="I259" s="61">
        <f>SUMIF($D$10:$D258,D259,$O$10:$O258)</f>
        <v>0</v>
      </c>
      <c r="J259" s="325"/>
      <c r="K259" s="44"/>
      <c r="L259" s="50"/>
      <c r="M259" s="61"/>
      <c r="N259" s="11"/>
      <c r="O259" s="49"/>
      <c r="P259" s="49"/>
      <c r="Q259" s="49"/>
      <c r="R259" s="321"/>
      <c r="V259" s="323">
        <f>SUM(V256:V258)</f>
        <v>1493907.8000000003</v>
      </c>
    </row>
    <row r="260" spans="1:22" s="41" customFormat="1" ht="17.100000000000001" customHeight="1">
      <c r="A260" s="8"/>
      <c r="B260" s="8"/>
      <c r="C260" s="8"/>
      <c r="D260" s="476" t="s">
        <v>133</v>
      </c>
      <c r="E260" s="58">
        <f t="shared" si="0"/>
        <v>0</v>
      </c>
      <c r="F260" s="58">
        <f>SUMIF($D$10:$D257,D260,$G$10:$G257)</f>
        <v>0.39400000000000002</v>
      </c>
      <c r="G260" s="61">
        <f>SUMIF($D$10:$D259,D260,$K$10:$K259)</f>
        <v>0</v>
      </c>
      <c r="H260" s="58"/>
      <c r="I260" s="61">
        <f>SUMIF($D$10:$D259,D260,$O$10:$O259)</f>
        <v>0</v>
      </c>
      <c r="J260" s="325"/>
      <c r="K260" s="44"/>
      <c r="L260" s="50"/>
      <c r="M260" s="61"/>
      <c r="N260" s="11"/>
      <c r="O260" s="49"/>
      <c r="P260" s="49"/>
      <c r="Q260" s="49"/>
      <c r="R260" s="321"/>
    </row>
    <row r="261" spans="1:22" s="41" customFormat="1" ht="17.100000000000001" customHeight="1">
      <c r="A261" s="8"/>
      <c r="B261" s="8"/>
      <c r="C261" s="8"/>
      <c r="D261" s="432" t="s">
        <v>41</v>
      </c>
      <c r="E261" s="58">
        <f t="shared" si="0"/>
        <v>518.32120000000009</v>
      </c>
      <c r="F261" s="58">
        <f>SUMIF($D$10:$D258,D261,$G$10:$G258)</f>
        <v>469.06299999999999</v>
      </c>
      <c r="G261" s="61">
        <f>SUMIF($D$10:$D260,D261,$K$10:$K260)</f>
        <v>19364.72</v>
      </c>
      <c r="H261" s="58"/>
      <c r="I261" s="61">
        <f>SUMIF($D$10:$D260,D261,$O$10:$O260)</f>
        <v>43474</v>
      </c>
      <c r="J261" s="325"/>
      <c r="K261" s="44"/>
      <c r="L261" s="50"/>
      <c r="M261" s="61"/>
      <c r="N261" s="11"/>
      <c r="O261" s="49"/>
      <c r="P261" s="49"/>
      <c r="Q261" s="49"/>
      <c r="R261" s="321"/>
      <c r="S261" s="41">
        <v>121575</v>
      </c>
      <c r="T261" s="41">
        <v>133967</v>
      </c>
      <c r="U261" s="41">
        <f>T261-S261</f>
        <v>12392</v>
      </c>
      <c r="V261" s="323">
        <f>U261*0.6</f>
        <v>7435.2</v>
      </c>
    </row>
    <row r="262" spans="1:22" s="41" customFormat="1" ht="17.100000000000001" customHeight="1">
      <c r="A262" s="8"/>
      <c r="B262" s="8"/>
      <c r="C262" s="8"/>
      <c r="D262" s="432" t="s">
        <v>219</v>
      </c>
      <c r="E262" s="58">
        <f t="shared" si="0"/>
        <v>0</v>
      </c>
      <c r="F262" s="58">
        <f>SUMIF($D$10:$D259,D262,$G$10:$G259)</f>
        <v>11.539</v>
      </c>
      <c r="G262" s="61">
        <f>SUMIF($D$10:$D261,D262,$K$10:$K261)</f>
        <v>0</v>
      </c>
      <c r="H262" s="58"/>
      <c r="I262" s="61">
        <f>SUMIF($D$10:$D261,D262,$O$10:$O261)</f>
        <v>0</v>
      </c>
      <c r="J262" s="325"/>
      <c r="K262" s="44"/>
      <c r="L262" s="50"/>
      <c r="M262" s="61"/>
      <c r="N262" s="11"/>
      <c r="O262" s="49"/>
      <c r="P262" s="49"/>
      <c r="Q262" s="49"/>
      <c r="R262" s="321"/>
      <c r="S262" s="41">
        <v>39515</v>
      </c>
      <c r="T262" s="41">
        <v>44684</v>
      </c>
      <c r="U262" s="41">
        <f>T262-S262</f>
        <v>5169</v>
      </c>
      <c r="V262" s="323">
        <f>U262*0.6</f>
        <v>3101.4</v>
      </c>
    </row>
    <row r="263" spans="1:22" s="41" customFormat="1" ht="17.100000000000001" customHeight="1">
      <c r="A263" s="8"/>
      <c r="B263" s="8"/>
      <c r="C263" s="8"/>
      <c r="D263" s="432" t="s">
        <v>220</v>
      </c>
      <c r="E263" s="58">
        <f t="shared" si="0"/>
        <v>0</v>
      </c>
      <c r="F263" s="58">
        <f>SUMIF($D$10:$D260,D263,$G$10:$G260)</f>
        <v>4.1219999999999999</v>
      </c>
      <c r="G263" s="61">
        <f>SUMIF($D$10:$D262,D263,$K$10:$K262)</f>
        <v>0</v>
      </c>
      <c r="H263" s="58"/>
      <c r="I263" s="61">
        <f>SUMIF($D$10:$D262,D263,$O$10:$O262)</f>
        <v>0</v>
      </c>
      <c r="J263" s="325"/>
      <c r="K263" s="44"/>
      <c r="L263" s="50"/>
      <c r="M263" s="61"/>
      <c r="N263" s="11"/>
      <c r="O263" s="49"/>
      <c r="P263" s="49"/>
      <c r="Q263" s="49"/>
      <c r="R263" s="321"/>
      <c r="S263" s="41">
        <v>49997</v>
      </c>
      <c r="T263" s="41">
        <v>56658</v>
      </c>
      <c r="U263" s="41">
        <f>T263-S263</f>
        <v>6661</v>
      </c>
      <c r="V263" s="323">
        <f>U263*0.6</f>
        <v>3996.6</v>
      </c>
    </row>
    <row r="264" spans="1:22" s="41" customFormat="1" ht="17.100000000000001" customHeight="1">
      <c r="A264" s="8"/>
      <c r="B264" s="8"/>
      <c r="C264" s="8"/>
      <c r="D264" s="432" t="s">
        <v>234</v>
      </c>
      <c r="E264" s="58">
        <f t="shared" si="0"/>
        <v>0</v>
      </c>
      <c r="F264" s="58">
        <f>SUMIF($D$10:$D261,D264,$G$10:$G261)</f>
        <v>0.61199999999999999</v>
      </c>
      <c r="G264" s="61">
        <f>SUMIF($D$10:$D263,D264,$K$10:$K263)</f>
        <v>9510</v>
      </c>
      <c r="H264" s="58"/>
      <c r="I264" s="61">
        <f>SUMIF($D$10:$D263,D264,$O$10:$O263)</f>
        <v>36652</v>
      </c>
      <c r="J264" s="325"/>
      <c r="K264" s="44"/>
      <c r="L264" s="50"/>
      <c r="M264" s="61"/>
      <c r="N264" s="11"/>
      <c r="O264" s="49"/>
      <c r="P264" s="49"/>
      <c r="Q264" s="49"/>
      <c r="R264" s="321"/>
      <c r="V264" s="323">
        <f>SUM(V261:V263)</f>
        <v>14533.2</v>
      </c>
    </row>
    <row r="265" spans="1:22" s="41" customFormat="1" ht="17.100000000000001" customHeight="1">
      <c r="A265" s="8"/>
      <c r="B265" s="8"/>
      <c r="C265" s="8"/>
      <c r="D265" s="432" t="s">
        <v>143</v>
      </c>
      <c r="E265" s="58">
        <f t="shared" si="0"/>
        <v>781.41800000000012</v>
      </c>
      <c r="F265" s="58">
        <f>SUMIF($D$10:$D262,D265,$G$10:$G262)</f>
        <v>740.45900000000006</v>
      </c>
      <c r="G265" s="61">
        <f>SUMIF($D$10:$D264,D265,$K$10:$K264)</f>
        <v>28891.440000000002</v>
      </c>
      <c r="H265" s="58"/>
      <c r="I265" s="61">
        <f>SUMIF($D$10:$D264,D265,$O$10:$O264)</f>
        <v>74352</v>
      </c>
      <c r="J265" s="325"/>
      <c r="K265" s="44"/>
      <c r="L265" s="50"/>
      <c r="M265" s="61"/>
      <c r="N265" s="11"/>
      <c r="O265" s="49"/>
      <c r="P265" s="49"/>
      <c r="Q265" s="49"/>
      <c r="R265" s="321"/>
    </row>
    <row r="266" spans="1:22" s="41" customFormat="1" ht="17.100000000000001" customHeight="1">
      <c r="A266" s="8"/>
      <c r="B266" s="8"/>
      <c r="C266" s="8"/>
      <c r="D266" s="432" t="s">
        <v>144</v>
      </c>
      <c r="E266" s="58">
        <f t="shared" si="0"/>
        <v>0</v>
      </c>
      <c r="F266" s="58">
        <f>SUMIF($D$10:$D263,D266,$G$10:$G263)</f>
        <v>0</v>
      </c>
      <c r="G266" s="61">
        <f>SUMIF($D$10:$D265,D266,$K$10:$K265)</f>
        <v>0</v>
      </c>
      <c r="H266" s="58"/>
      <c r="I266" s="61">
        <f>SUMIF($D$10:$D265,D266,$O$10:$O265)</f>
        <v>0</v>
      </c>
      <c r="J266" s="325"/>
      <c r="K266" s="44"/>
      <c r="L266" s="50"/>
      <c r="M266" s="61"/>
      <c r="N266" s="11"/>
      <c r="O266" s="49"/>
      <c r="P266" s="49"/>
      <c r="Q266" s="49"/>
      <c r="R266" s="321"/>
    </row>
    <row r="267" spans="1:22" s="41" customFormat="1" ht="17.100000000000001" customHeight="1">
      <c r="A267" s="8"/>
      <c r="B267" s="8"/>
      <c r="C267" s="8"/>
      <c r="D267" s="432" t="s">
        <v>222</v>
      </c>
      <c r="E267" s="58">
        <f t="shared" si="0"/>
        <v>0</v>
      </c>
      <c r="F267" s="58">
        <f>SUMIF($D$10:$D264,D267,$G$10:$G264)</f>
        <v>0.20699999999999999</v>
      </c>
      <c r="G267" s="61">
        <f>SUMIF($D$10:$D266,D267,$K$10:$K266)</f>
        <v>0</v>
      </c>
      <c r="H267" s="58"/>
      <c r="I267" s="61">
        <f>SUMIF($D$10:$D266,D267,$O$10:$O266)</f>
        <v>0</v>
      </c>
      <c r="J267" s="325"/>
      <c r="K267" s="44"/>
      <c r="L267" s="50"/>
      <c r="M267" s="61"/>
      <c r="N267" s="11"/>
      <c r="O267" s="49"/>
      <c r="P267" s="49"/>
      <c r="Q267" s="49"/>
      <c r="R267" s="321"/>
    </row>
    <row r="268" spans="1:22" s="41" customFormat="1" ht="17.100000000000001" customHeight="1">
      <c r="A268" s="8"/>
      <c r="B268" s="8"/>
      <c r="C268" s="8"/>
      <c r="D268" s="432" t="s">
        <v>145</v>
      </c>
      <c r="E268" s="58">
        <f t="shared" si="0"/>
        <v>0</v>
      </c>
      <c r="F268" s="58">
        <f>SUMIF($D$10:$D265,D268,$G$10:$G265)</f>
        <v>7.1159999999999997</v>
      </c>
      <c r="G268" s="61">
        <f>SUMIF($D$10:$D267,D268,$K$10:$K267)</f>
        <v>0</v>
      </c>
      <c r="H268" s="58"/>
      <c r="I268" s="61">
        <f>SUMIF($D$10:$D267,D268,$O$10:$O267)</f>
        <v>0</v>
      </c>
      <c r="J268" s="325"/>
      <c r="K268" s="44"/>
      <c r="L268" s="50"/>
      <c r="M268" s="61"/>
      <c r="N268" s="11"/>
      <c r="O268" s="49"/>
      <c r="P268" s="49"/>
      <c r="Q268" s="49"/>
      <c r="R268" s="321"/>
    </row>
    <row r="269" spans="1:22" s="41" customFormat="1" ht="17.100000000000001" customHeight="1">
      <c r="A269" s="8"/>
      <c r="B269" s="8"/>
      <c r="C269" s="8"/>
      <c r="D269" s="432"/>
      <c r="E269" s="58">
        <f t="shared" si="0"/>
        <v>0</v>
      </c>
      <c r="F269" s="58">
        <f>SUMIF($D$10:$D266,D269,$G$10:$G266)</f>
        <v>0</v>
      </c>
      <c r="G269" s="61">
        <f>SUMIF($D$10:$D268,D269,$K$10:$K268)</f>
        <v>0</v>
      </c>
      <c r="H269" s="58"/>
      <c r="I269" s="61">
        <f>SUMIF($D$10:$D268,D269,$O$10:$O268)</f>
        <v>0</v>
      </c>
      <c r="J269" s="325"/>
      <c r="K269" s="44"/>
      <c r="L269" s="50"/>
      <c r="M269" s="61"/>
      <c r="N269" s="11"/>
      <c r="O269" s="49"/>
      <c r="P269" s="49"/>
      <c r="Q269" s="49"/>
      <c r="R269" s="321"/>
    </row>
    <row r="270" spans="1:22" s="41" customFormat="1" ht="17.100000000000001" customHeight="1">
      <c r="A270" s="8"/>
      <c r="B270" s="8"/>
      <c r="C270" s="8"/>
      <c r="D270" s="432" t="s">
        <v>114</v>
      </c>
      <c r="E270" s="58">
        <f t="shared" si="0"/>
        <v>379.59030000000001</v>
      </c>
      <c r="F270" s="58">
        <f>SUMIF($D$10:$D267,D270,$G$10:$G267)</f>
        <v>722.71600000000001</v>
      </c>
      <c r="G270" s="61">
        <f>SUMIF($D$10:$D269,D270,$K$10:$K269)</f>
        <v>13374</v>
      </c>
      <c r="H270" s="58"/>
      <c r="I270" s="61">
        <f>SUMIF($D$10:$D269,D270,$O$10:$O269)</f>
        <v>38700</v>
      </c>
      <c r="J270" s="325"/>
      <c r="K270" s="44"/>
      <c r="L270" s="50"/>
      <c r="M270" s="61"/>
      <c r="N270" s="11"/>
      <c r="O270" s="49"/>
      <c r="P270" s="49"/>
      <c r="Q270" s="49"/>
      <c r="R270" s="321"/>
    </row>
    <row r="271" spans="1:22" s="41" customFormat="1" ht="17.100000000000001" customHeight="1">
      <c r="A271" s="8"/>
      <c r="B271" s="8"/>
      <c r="C271" s="8"/>
      <c r="D271" s="432" t="s">
        <v>115</v>
      </c>
      <c r="E271" s="58">
        <f t="shared" si="0"/>
        <v>0</v>
      </c>
      <c r="F271" s="58">
        <f>SUMIF($D$10:$D268,D271,$G$10:$G268)</f>
        <v>2.7679999999999998</v>
      </c>
      <c r="G271" s="61">
        <f>SUMIF($D$10:$D270,D271,$K$10:$K270)</f>
        <v>0</v>
      </c>
      <c r="H271" s="58"/>
      <c r="I271" s="61">
        <f>SUMIF($D$10:$D270,D271,$O$10:$O270)</f>
        <v>0</v>
      </c>
      <c r="J271" s="325"/>
      <c r="K271" s="44"/>
      <c r="L271" s="50"/>
      <c r="M271" s="61"/>
      <c r="N271" s="11"/>
      <c r="O271" s="49"/>
      <c r="P271" s="49"/>
      <c r="Q271" s="49"/>
      <c r="R271" s="321"/>
    </row>
    <row r="272" spans="1:22" s="41" customFormat="1" ht="17.100000000000001" customHeight="1">
      <c r="A272" s="8"/>
      <c r="B272" s="8"/>
      <c r="C272" s="8"/>
      <c r="D272" s="432" t="s">
        <v>40</v>
      </c>
      <c r="E272" s="58">
        <f t="shared" si="0"/>
        <v>1295.01055</v>
      </c>
      <c r="F272" s="58">
        <f>SUMIF($D$10:$D269,D272,$G$10:$G269)</f>
        <v>878.94400000000007</v>
      </c>
      <c r="G272" s="61">
        <f>SUMIF($D$10:$D271,D272,$K$10:$K271)</f>
        <v>41482</v>
      </c>
      <c r="H272" s="58"/>
      <c r="I272" s="61">
        <f>SUMIF($D$10:$D271,D272,$O$10:$O271)</f>
        <v>121228</v>
      </c>
      <c r="J272" s="325"/>
      <c r="K272" s="44"/>
      <c r="L272" s="50"/>
      <c r="M272" s="61"/>
      <c r="N272" s="11"/>
      <c r="O272" s="49"/>
      <c r="P272" s="49"/>
      <c r="Q272" s="49"/>
      <c r="R272" s="321"/>
    </row>
    <row r="273" spans="1:18" s="41" customFormat="1" ht="17.100000000000001" customHeight="1">
      <c r="A273" s="8"/>
      <c r="B273" s="8"/>
      <c r="C273" s="8"/>
      <c r="D273" s="432" t="s">
        <v>213</v>
      </c>
      <c r="E273" s="58">
        <f t="shared" si="0"/>
        <v>0</v>
      </c>
      <c r="F273" s="58">
        <f>SUMIF($D$10:$D270,D273,$G$10:$G270)</f>
        <v>0</v>
      </c>
      <c r="G273" s="61">
        <f>SUMIF($D$10:$D272,D273,$K$10:$K272)</f>
        <v>0</v>
      </c>
      <c r="H273" s="58"/>
      <c r="I273" s="61"/>
      <c r="J273" s="325"/>
      <c r="K273" s="44"/>
      <c r="L273" s="50"/>
      <c r="M273" s="61"/>
      <c r="N273" s="11"/>
      <c r="O273" s="49"/>
      <c r="P273" s="49"/>
      <c r="Q273" s="49"/>
      <c r="R273" s="321"/>
    </row>
    <row r="274" spans="1:18" s="41" customFormat="1" ht="17.100000000000001" customHeight="1">
      <c r="A274" s="8"/>
      <c r="B274" s="8"/>
      <c r="C274" s="8"/>
      <c r="D274" s="432" t="s">
        <v>141</v>
      </c>
      <c r="E274" s="58">
        <f t="shared" si="0"/>
        <v>0</v>
      </c>
      <c r="F274" s="58">
        <f>SUMIF($D$10:$D271,D274,$G$10:$G271)</f>
        <v>1.536</v>
      </c>
      <c r="G274" s="61">
        <f>SUMIF($D$10:$D273,D274,$K$10:$K273)</f>
        <v>0</v>
      </c>
      <c r="H274" s="58"/>
      <c r="I274" s="61">
        <f>SUMIF($D$10:$D272,D274,$O$10:$O272)</f>
        <v>0</v>
      </c>
      <c r="J274" s="325"/>
      <c r="K274" s="44"/>
      <c r="L274" s="50"/>
      <c r="M274" s="61"/>
      <c r="N274" s="11"/>
      <c r="O274" s="49"/>
      <c r="P274" s="49"/>
      <c r="Q274" s="49"/>
      <c r="R274" s="321"/>
    </row>
    <row r="275" spans="1:18" s="41" customFormat="1" ht="17.100000000000001" customHeight="1">
      <c r="A275" s="8"/>
      <c r="B275" s="8"/>
      <c r="C275" s="8"/>
      <c r="D275" s="432" t="s">
        <v>116</v>
      </c>
      <c r="E275" s="58">
        <f t="shared" si="0"/>
        <v>0</v>
      </c>
      <c r="F275" s="58">
        <f>SUMIF($D$10:$D272,D275,$G$10:$G272)</f>
        <v>0.996</v>
      </c>
      <c r="G275" s="61">
        <f>SUMIF($D$10:$D274,D275,$K$10:$K274)</f>
        <v>0</v>
      </c>
      <c r="H275" s="58"/>
      <c r="I275" s="61">
        <f>SUMIF($D$10:$D274,D275,$O$10:$O274)</f>
        <v>0</v>
      </c>
      <c r="J275" s="325"/>
      <c r="K275" s="44"/>
      <c r="L275" s="50"/>
      <c r="M275" s="61"/>
      <c r="N275" s="11"/>
      <c r="O275" s="49"/>
      <c r="P275" s="49"/>
      <c r="Q275" s="49"/>
      <c r="R275" s="321"/>
    </row>
    <row r="276" spans="1:18" s="41" customFormat="1" ht="17.100000000000001" customHeight="1">
      <c r="A276" s="8"/>
      <c r="B276" s="8"/>
      <c r="C276" s="8"/>
      <c r="D276" s="432" t="s">
        <v>140</v>
      </c>
      <c r="E276" s="58">
        <f t="shared" si="0"/>
        <v>0</v>
      </c>
      <c r="F276" s="58">
        <f>SUMIF($D$10:$D273,D276,$G$10:$G273)</f>
        <v>1.0449999999999999</v>
      </c>
      <c r="G276" s="61">
        <f>SUMIF($D$10:$D275,D276,$K$10:$K275)</f>
        <v>0</v>
      </c>
      <c r="H276" s="58"/>
      <c r="I276" s="61">
        <f>SUMIF($D$10:$D275,D276,$O$10:$O275)</f>
        <v>0</v>
      </c>
      <c r="J276" s="325"/>
      <c r="K276" s="44"/>
      <c r="L276" s="50"/>
      <c r="M276" s="61"/>
      <c r="N276" s="11"/>
      <c r="O276" s="49"/>
      <c r="P276" s="49"/>
      <c r="Q276" s="49"/>
      <c r="R276" s="321"/>
    </row>
    <row r="277" spans="1:18" s="41" customFormat="1" ht="17.100000000000001" customHeight="1">
      <c r="A277" s="8"/>
      <c r="B277" s="8"/>
      <c r="C277" s="8"/>
      <c r="D277" s="432" t="s">
        <v>45</v>
      </c>
      <c r="E277" s="58">
        <f t="shared" si="0"/>
        <v>732.62490000000003</v>
      </c>
      <c r="F277" s="58">
        <f>SUMIF($D$10:$D274,D277,$G$10:$G274)</f>
        <v>693.39300000000003</v>
      </c>
      <c r="G277" s="61">
        <f>SUMIF($D$10:$D276,D277,$K$10:$K276)</f>
        <v>24802</v>
      </c>
      <c r="H277" s="58"/>
      <c r="I277" s="61">
        <f>SUMIF($D$10:$D276,D277,$O$10:$O276)</f>
        <v>79849</v>
      </c>
      <c r="J277" s="325"/>
      <c r="K277" s="44"/>
      <c r="L277" s="50"/>
      <c r="M277" s="61"/>
      <c r="N277" s="11"/>
      <c r="O277" s="49"/>
      <c r="P277" s="49"/>
      <c r="Q277" s="49"/>
      <c r="R277" s="321"/>
    </row>
    <row r="278" spans="1:18" s="41" customFormat="1" ht="17.100000000000001" customHeight="1">
      <c r="A278" s="8"/>
      <c r="B278" s="8"/>
      <c r="C278" s="8"/>
      <c r="D278" s="432" t="s">
        <v>46</v>
      </c>
      <c r="E278" s="58">
        <f t="shared" si="0"/>
        <v>0</v>
      </c>
      <c r="F278" s="58">
        <f>SUMIF($D$10:$D275,D278,$G$10:$G275)</f>
        <v>0</v>
      </c>
      <c r="G278" s="61">
        <f>SUMIF($D$10:$D277,D278,$K$10:$K277)</f>
        <v>0</v>
      </c>
      <c r="H278" s="58"/>
      <c r="I278" s="61">
        <f>SUMIF($D$10:$D277,D278,$O$10:$O277)</f>
        <v>0</v>
      </c>
      <c r="J278" s="325"/>
      <c r="K278" s="44"/>
      <c r="L278" s="50"/>
      <c r="M278" s="61"/>
      <c r="N278" s="11"/>
      <c r="O278" s="49"/>
      <c r="P278" s="49"/>
      <c r="Q278" s="49"/>
      <c r="R278" s="321"/>
    </row>
    <row r="279" spans="1:18" s="41" customFormat="1" ht="17.100000000000001" customHeight="1">
      <c r="A279" s="8"/>
      <c r="B279" s="8"/>
      <c r="C279" s="8"/>
      <c r="D279" s="324" t="s">
        <v>108</v>
      </c>
      <c r="E279" s="58">
        <f t="shared" si="0"/>
        <v>1439.4382000000001</v>
      </c>
      <c r="F279" s="58">
        <f>SUMIF($D$10:$D274,D279,$G$10:$G274)</f>
        <v>992.13200000000006</v>
      </c>
      <c r="G279" s="61">
        <f>SUMIF($D$10:$D278,D279,$K$10:$K278)</f>
        <v>47371</v>
      </c>
      <c r="H279" s="58"/>
      <c r="I279" s="61">
        <f>SUMIF($D$10:$D278,D279,$O$10:$O278)</f>
        <v>163072</v>
      </c>
      <c r="J279" s="325"/>
      <c r="K279" s="44"/>
      <c r="L279" s="50"/>
      <c r="M279" s="61"/>
      <c r="N279" s="11"/>
      <c r="O279" s="49"/>
      <c r="P279" s="49"/>
      <c r="Q279" s="49"/>
      <c r="R279" s="321"/>
    </row>
    <row r="280" spans="1:18" s="41" customFormat="1" ht="17.100000000000001" customHeight="1">
      <c r="A280" s="8"/>
      <c r="B280" s="8"/>
      <c r="C280" s="8"/>
      <c r="D280" s="324" t="s">
        <v>109</v>
      </c>
      <c r="E280" s="58">
        <f t="shared" si="0"/>
        <v>0</v>
      </c>
      <c r="F280" s="58">
        <f>SUMIF($D$10:$D275,D280,$G$10:$G275)</f>
        <v>3.262</v>
      </c>
      <c r="G280" s="61">
        <f>SUMIF($D$10:$D279,D280,$K$10:$K279)</f>
        <v>0</v>
      </c>
      <c r="H280" s="58"/>
      <c r="I280" s="61">
        <f>SUMIF($D$10:$D279,D280,$O$10:$O279)</f>
        <v>0</v>
      </c>
      <c r="J280" s="325"/>
      <c r="K280" s="44"/>
      <c r="L280" s="50"/>
      <c r="M280" s="61"/>
      <c r="N280" s="11"/>
      <c r="O280" s="49"/>
      <c r="P280" s="49"/>
      <c r="Q280" s="49"/>
      <c r="R280" s="321"/>
    </row>
    <row r="281" spans="1:18" s="41" customFormat="1" ht="17.100000000000001" customHeight="1">
      <c r="A281" s="8"/>
      <c r="B281" s="8"/>
      <c r="C281" s="8"/>
      <c r="D281" s="324" t="s">
        <v>110</v>
      </c>
      <c r="E281" s="58">
        <f t="shared" si="0"/>
        <v>0</v>
      </c>
      <c r="F281" s="58">
        <f>SUMIF($D$10:$D276,D281,$G$10:$G276)</f>
        <v>0</v>
      </c>
      <c r="G281" s="61">
        <f>SUMIF($D$10:$D280,D281,$K$10:$K280)</f>
        <v>0</v>
      </c>
      <c r="H281" s="58"/>
      <c r="I281" s="61">
        <f>SUMIF($D$10:$D280,D281,$O$10:$O280)</f>
        <v>0</v>
      </c>
      <c r="J281" s="325"/>
      <c r="K281" s="44"/>
      <c r="L281" s="50"/>
      <c r="M281" s="61"/>
      <c r="N281" s="11"/>
      <c r="O281" s="49"/>
      <c r="P281" s="49"/>
      <c r="Q281" s="49"/>
      <c r="R281" s="321"/>
    </row>
    <row r="282" spans="1:18" s="41" customFormat="1" ht="17.100000000000001" customHeight="1">
      <c r="A282" s="8"/>
      <c r="B282" s="8"/>
      <c r="C282" s="8"/>
      <c r="D282" s="324" t="s">
        <v>112</v>
      </c>
      <c r="E282" s="58">
        <f t="shared" si="0"/>
        <v>0</v>
      </c>
      <c r="F282" s="58">
        <f>SUMIF($D$10:$D279,D282,$G$10:$G279)</f>
        <v>378.96899999999999</v>
      </c>
      <c r="G282" s="61">
        <f>SUMIF($D$10:$D281,D282,$K$10:$K281)</f>
        <v>0</v>
      </c>
      <c r="H282" s="58"/>
      <c r="I282" s="61">
        <f>SUMIF($D$10:$D281,D282,$O$10:$O281)</f>
        <v>0</v>
      </c>
      <c r="J282" s="325"/>
      <c r="K282" s="44"/>
      <c r="L282" s="50"/>
      <c r="M282" s="61"/>
      <c r="N282" s="11"/>
      <c r="O282" s="49"/>
      <c r="P282" s="49"/>
      <c r="Q282" s="49"/>
      <c r="R282" s="321"/>
    </row>
    <row r="283" spans="1:18" s="41" customFormat="1" ht="17.100000000000001" customHeight="1">
      <c r="A283" s="8"/>
      <c r="B283" s="8"/>
      <c r="C283" s="8"/>
      <c r="D283" s="324" t="s">
        <v>206</v>
      </c>
      <c r="E283" s="58">
        <f t="shared" si="0"/>
        <v>0</v>
      </c>
      <c r="F283" s="58">
        <f>SUMIF($D$10:$D280,D283,$G$10:$G280)</f>
        <v>2.8079999999999998</v>
      </c>
      <c r="G283" s="61">
        <f>SUMIF($D$10:$D282,D283,$K$10:$K282)</f>
        <v>0</v>
      </c>
      <c r="H283" s="58"/>
      <c r="I283" s="61">
        <f>SUMIF($D$10:$D282,D283,$O$10:$O282)</f>
        <v>0</v>
      </c>
      <c r="J283" s="325"/>
      <c r="K283" s="44"/>
      <c r="L283" s="50"/>
      <c r="M283" s="61"/>
      <c r="N283" s="11"/>
      <c r="O283" s="49"/>
      <c r="P283" s="49"/>
      <c r="Q283" s="49"/>
      <c r="R283" s="321"/>
    </row>
    <row r="284" spans="1:18" s="41" customFormat="1" ht="17.100000000000001" customHeight="1">
      <c r="A284" s="8"/>
      <c r="B284" s="8"/>
      <c r="C284" s="8"/>
      <c r="D284" s="432" t="s">
        <v>238</v>
      </c>
      <c r="E284" s="58">
        <f t="shared" si="0"/>
        <v>0</v>
      </c>
      <c r="F284" s="58">
        <f>SUMIF($D$10:$D281,D284,$G$10:$G281)</f>
        <v>251.6095</v>
      </c>
      <c r="G284" s="61">
        <f>SUMIF($D$10:$D283,D284,$K$10:$K283)</f>
        <v>0</v>
      </c>
      <c r="H284" s="58"/>
      <c r="I284" s="61">
        <f>SUMIF($D$10:$D283,D284,$O$10:$O283)</f>
        <v>0</v>
      </c>
      <c r="J284" s="325"/>
      <c r="K284" s="44"/>
      <c r="L284" s="50"/>
      <c r="M284" s="61"/>
      <c r="N284" s="11"/>
      <c r="O284" s="49"/>
      <c r="P284" s="49"/>
      <c r="Q284" s="49"/>
      <c r="R284" s="321"/>
    </row>
    <row r="285" spans="1:18" s="41" customFormat="1" ht="17.100000000000001" customHeight="1">
      <c r="A285" s="8"/>
      <c r="B285" s="8"/>
      <c r="C285" s="8"/>
      <c r="D285" s="432" t="s">
        <v>237</v>
      </c>
      <c r="E285" s="58">
        <f t="shared" si="0"/>
        <v>0</v>
      </c>
      <c r="F285" s="58">
        <f>SUMIF($D$10:$D282,D285,$G$10:$G282)</f>
        <v>0.503</v>
      </c>
      <c r="G285" s="61">
        <f>SUMIF($D$10:$D284,D285,$K$10:$K284)</f>
        <v>0</v>
      </c>
      <c r="H285" s="58"/>
      <c r="I285" s="61">
        <f>SUMIF($D$10:$D284,D285,$O$10:$O284)</f>
        <v>0</v>
      </c>
      <c r="J285" s="325"/>
      <c r="K285" s="44"/>
      <c r="L285" s="50"/>
      <c r="M285" s="61"/>
      <c r="N285" s="11"/>
      <c r="O285" s="49"/>
      <c r="P285" s="49"/>
      <c r="Q285" s="49"/>
      <c r="R285" s="321"/>
    </row>
    <row r="286" spans="1:18" s="41" customFormat="1" ht="17.100000000000001" customHeight="1">
      <c r="A286" s="8"/>
      <c r="B286" s="8"/>
      <c r="C286" s="8"/>
      <c r="D286" s="507" t="s">
        <v>249</v>
      </c>
      <c r="E286" s="58">
        <f t="shared" si="0"/>
        <v>2466.2946000000002</v>
      </c>
      <c r="F286" s="58">
        <f>SUMIF($D$10:$D283,D286,$G$10:$G283)</f>
        <v>2349.3879999999999</v>
      </c>
      <c r="G286" s="61">
        <f>SUMIF($D$10:$D285,D286,$K$10:$K285)</f>
        <v>85758</v>
      </c>
      <c r="H286" s="58"/>
      <c r="I286" s="61">
        <f>SUMIF($D$10:$D285,D286,$O$10:$O285)</f>
        <v>334549</v>
      </c>
      <c r="J286" s="325"/>
      <c r="K286" s="44"/>
      <c r="L286" s="50"/>
      <c r="M286" s="61"/>
      <c r="N286" s="11"/>
      <c r="O286" s="49"/>
      <c r="P286" s="49"/>
      <c r="Q286" s="49"/>
      <c r="R286" s="321"/>
    </row>
    <row r="287" spans="1:18" s="41" customFormat="1" ht="17.100000000000001" customHeight="1">
      <c r="A287" s="8"/>
      <c r="B287" s="8"/>
      <c r="C287" s="8"/>
      <c r="D287" s="401" t="s">
        <v>250</v>
      </c>
      <c r="E287" s="58">
        <f t="shared" si="0"/>
        <v>0</v>
      </c>
      <c r="F287" s="58">
        <f>SUMIF($D$10:$D284,D287,$G$10:$G284)</f>
        <v>37.720999999999997</v>
      </c>
      <c r="G287" s="61">
        <f>SUMIF($D$10:$D286,D287,$K$10:$K286)</f>
        <v>0</v>
      </c>
      <c r="H287" s="58"/>
      <c r="I287" s="61">
        <f>SUMIF($D$10:$D286,D287,$O$10:$O286)</f>
        <v>0</v>
      </c>
      <c r="J287" s="325"/>
      <c r="K287" s="44"/>
      <c r="L287" s="50"/>
      <c r="M287" s="61"/>
      <c r="N287" s="11"/>
      <c r="O287" s="49"/>
      <c r="P287" s="49"/>
      <c r="Q287" s="49"/>
      <c r="R287" s="321"/>
    </row>
    <row r="288" spans="1:18" s="41" customFormat="1" ht="17.100000000000001" customHeight="1">
      <c r="A288" s="8"/>
      <c r="B288" s="8"/>
      <c r="C288" s="8"/>
      <c r="D288" s="507" t="s">
        <v>235</v>
      </c>
      <c r="E288" s="58">
        <f t="shared" si="0"/>
        <v>2662.8791999999999</v>
      </c>
      <c r="F288" s="58">
        <f>SUMIF($D$10:$D283,D288,$G$10:$G283)</f>
        <v>2307.8384999999998</v>
      </c>
      <c r="G288" s="61">
        <f>SUMIF($D$10:$D287,D288,$K$10:$K287)</f>
        <v>81698</v>
      </c>
      <c r="H288" s="58"/>
      <c r="I288" s="61">
        <f>SUMIF($D$10:$D285,D288,$O$10:$O285)</f>
        <v>278479</v>
      </c>
      <c r="J288" s="325"/>
      <c r="K288" s="44"/>
      <c r="L288" s="50"/>
      <c r="M288" s="61"/>
      <c r="N288" s="11"/>
      <c r="O288" s="49"/>
      <c r="P288" s="49"/>
      <c r="Q288" s="49"/>
      <c r="R288" s="321"/>
    </row>
    <row r="289" spans="1:18" s="41" customFormat="1" ht="17.100000000000001" customHeight="1">
      <c r="A289" s="8"/>
      <c r="B289" s="8"/>
      <c r="C289" s="8"/>
      <c r="D289" s="401" t="s">
        <v>236</v>
      </c>
      <c r="E289" s="58">
        <f t="shared" si="0"/>
        <v>0</v>
      </c>
      <c r="F289" s="58">
        <f>SUMIF($D$10:$D284,D289,$G$10:$G284)</f>
        <v>22.284500000000001</v>
      </c>
      <c r="G289" s="61">
        <f>SUMIF($D$10:$D288,D289,$K$10:$K288)</f>
        <v>0</v>
      </c>
      <c r="H289" s="58"/>
      <c r="I289" s="61">
        <f>SUMIF($D$10:$D288,D289,$O$10:$O288)</f>
        <v>0</v>
      </c>
      <c r="J289" s="325"/>
      <c r="K289" s="44"/>
      <c r="L289" s="50"/>
      <c r="M289" s="61"/>
      <c r="N289" s="11"/>
      <c r="O289" s="49"/>
      <c r="P289" s="49"/>
      <c r="Q289" s="49"/>
      <c r="R289" s="321"/>
    </row>
    <row r="290" spans="1:18" s="41" customFormat="1" ht="17.100000000000001" customHeight="1">
      <c r="A290" s="8"/>
      <c r="B290" s="8"/>
      <c r="C290" s="8"/>
      <c r="D290" s="401" t="s">
        <v>182</v>
      </c>
      <c r="E290" s="58">
        <f t="shared" si="0"/>
        <v>928.66845000000001</v>
      </c>
      <c r="F290" s="58">
        <f>SUMIF($D$10:$D285,D290,$G$10:$G285)</f>
        <v>894.8125</v>
      </c>
      <c r="G290" s="61">
        <f>SUMIF($D$10:$D289,D290,$K$10:$K289)</f>
        <v>31931</v>
      </c>
      <c r="H290" s="58"/>
      <c r="I290" s="61">
        <f>SUMIF($D$10:$D289,D290,$O$10:$O289)</f>
        <v>118826</v>
      </c>
      <c r="J290" s="325"/>
      <c r="K290" s="44"/>
      <c r="L290" s="50"/>
      <c r="M290" s="61"/>
      <c r="N290" s="11"/>
      <c r="O290" s="49"/>
      <c r="P290" s="49"/>
      <c r="Q290" s="49"/>
      <c r="R290" s="321"/>
    </row>
    <row r="291" spans="1:18" s="41" customFormat="1" ht="17.100000000000001" customHeight="1">
      <c r="A291" s="8"/>
      <c r="B291" s="8"/>
      <c r="C291" s="8"/>
      <c r="D291" s="401" t="s">
        <v>183</v>
      </c>
      <c r="E291" s="58">
        <f t="shared" si="0"/>
        <v>0</v>
      </c>
      <c r="F291" s="58">
        <f>SUMIF($D$10:$D288,D291,$G$10:$G288)</f>
        <v>3.7765</v>
      </c>
      <c r="G291" s="61">
        <f>SUMIF($D$10:$D290,D291,$K$10:$K290)</f>
        <v>0</v>
      </c>
      <c r="H291" s="58"/>
      <c r="I291" s="61">
        <f>SUMIF($D$10:$D290,D291,$O$10:$O290)</f>
        <v>0</v>
      </c>
      <c r="J291" s="325"/>
      <c r="K291" s="44"/>
      <c r="L291" s="50"/>
      <c r="M291" s="61"/>
      <c r="N291" s="11"/>
      <c r="O291" s="49"/>
      <c r="P291" s="49"/>
      <c r="Q291" s="49"/>
      <c r="R291" s="321"/>
    </row>
    <row r="292" spans="1:18" s="41" customFormat="1" ht="16.5" customHeight="1">
      <c r="A292" s="8"/>
      <c r="B292" s="8"/>
      <c r="C292" s="8"/>
      <c r="D292" s="476" t="s">
        <v>100</v>
      </c>
      <c r="E292" s="58">
        <f t="shared" si="0"/>
        <v>0</v>
      </c>
      <c r="F292" s="58"/>
      <c r="G292" s="61">
        <f>SUMIF($D$10:$D291,D292,$K$10:$K291)</f>
        <v>22951.360000000001</v>
      </c>
      <c r="H292" s="58"/>
      <c r="I292" s="61">
        <f>SUMIF($D$10:$D291,D292,$O$10:$O291)</f>
        <v>46672</v>
      </c>
      <c r="J292" s="325"/>
      <c r="K292" s="44"/>
      <c r="L292" s="50"/>
      <c r="M292" s="61"/>
      <c r="N292" s="11"/>
      <c r="O292" s="49"/>
      <c r="P292" s="49"/>
      <c r="Q292" s="49"/>
      <c r="R292" s="321"/>
    </row>
    <row r="293" spans="1:18" s="41" customFormat="1" ht="17.100000000000001" customHeight="1">
      <c r="A293" s="8"/>
      <c r="B293" s="8"/>
      <c r="C293" s="8"/>
      <c r="D293" s="327"/>
      <c r="E293" s="455">
        <f>SUM(E250:E292)</f>
        <v>13576.953599999999</v>
      </c>
      <c r="F293" s="455">
        <f>SUM(F250:F292)</f>
        <v>13010.740499999998</v>
      </c>
      <c r="G293" s="658">
        <f>SUM(G250:G292)</f>
        <v>490794.52</v>
      </c>
      <c r="H293" s="658"/>
      <c r="I293" s="658">
        <f>SUM(I250:I292)</f>
        <v>1512635</v>
      </c>
      <c r="J293" s="658"/>
      <c r="K293" s="44"/>
      <c r="L293" s="49"/>
      <c r="M293" s="61"/>
      <c r="N293" s="11"/>
      <c r="O293" s="35"/>
      <c r="P293" s="35"/>
      <c r="Q293" s="35"/>
      <c r="R293" s="11"/>
    </row>
    <row r="294" spans="1:18" s="41" customFormat="1" ht="17.100000000000001" customHeight="1">
      <c r="A294" s="8"/>
      <c r="B294" s="8"/>
      <c r="C294" s="8"/>
      <c r="D294" s="327"/>
      <c r="E294" s="329"/>
      <c r="F294" s="58">
        <f>SUMIF($D$10:$D292,D294,$G$10:$G292)</f>
        <v>0</v>
      </c>
      <c r="G294" s="58"/>
      <c r="H294" s="58"/>
      <c r="I294" s="61"/>
      <c r="J294" s="325"/>
      <c r="K294" s="44"/>
      <c r="L294" s="49"/>
      <c r="M294" s="61"/>
      <c r="N294" s="11"/>
      <c r="O294" s="35"/>
      <c r="P294" s="35"/>
      <c r="Q294" s="35"/>
      <c r="R294" s="11"/>
    </row>
    <row r="295" spans="1:18" s="41" customFormat="1" ht="17.100000000000001" customHeight="1">
      <c r="A295" s="8"/>
      <c r="B295" s="8"/>
      <c r="C295" s="8"/>
      <c r="D295" s="327"/>
      <c r="E295" s="331"/>
      <c r="F295" s="333"/>
      <c r="G295" s="58"/>
      <c r="H295" s="58"/>
      <c r="I295" s="61"/>
      <c r="J295" s="325"/>
      <c r="K295" s="44"/>
      <c r="L295" s="49"/>
      <c r="M295" s="61"/>
      <c r="N295" s="11"/>
      <c r="O295" s="35"/>
      <c r="P295" s="35"/>
      <c r="Q295" s="35"/>
      <c r="R295" s="11"/>
    </row>
    <row r="296" spans="1:18" s="41" customFormat="1" ht="17.100000000000001" customHeight="1">
      <c r="A296" s="8"/>
      <c r="B296" s="8"/>
      <c r="C296" s="8"/>
      <c r="D296" s="327" t="s">
        <v>98</v>
      </c>
      <c r="E296" s="331"/>
      <c r="F296" s="89"/>
      <c r="G296" s="58"/>
      <c r="H296" s="61"/>
      <c r="I296" s="58"/>
      <c r="J296" s="58"/>
      <c r="K296" s="44"/>
      <c r="L296" s="49"/>
      <c r="M296" s="61"/>
      <c r="N296" s="11"/>
      <c r="O296" s="35"/>
      <c r="P296" s="35"/>
      <c r="Q296" s="35"/>
      <c r="R296" s="11"/>
    </row>
    <row r="297" spans="1:18" s="41" customFormat="1" ht="17.100000000000001" customHeight="1">
      <c r="A297" s="8"/>
      <c r="B297" s="8"/>
      <c r="C297" s="8"/>
      <c r="D297" s="327"/>
      <c r="E297" s="331"/>
      <c r="F297" s="330"/>
      <c r="G297" s="58"/>
      <c r="H297" s="61"/>
      <c r="I297" s="58"/>
      <c r="J297" s="58"/>
      <c r="K297" s="44"/>
      <c r="L297" s="63"/>
      <c r="M297" s="87"/>
      <c r="N297" s="45"/>
      <c r="O297" s="46"/>
      <c r="P297" s="46"/>
      <c r="Q297" s="40"/>
      <c r="R297" s="44"/>
    </row>
    <row r="298" spans="1:18" s="41" customFormat="1" ht="17.100000000000001" customHeight="1">
      <c r="A298" s="8"/>
      <c r="B298" s="8"/>
      <c r="C298" s="8"/>
      <c r="D298" s="327"/>
      <c r="E298" s="331"/>
      <c r="F298" s="327"/>
      <c r="G298" s="58"/>
      <c r="H298" s="61"/>
      <c r="I298" s="58"/>
      <c r="J298" s="58"/>
      <c r="K298" s="44"/>
      <c r="L298" s="63"/>
      <c r="M298" s="61"/>
      <c r="N298" s="45"/>
      <c r="O298" s="46"/>
      <c r="P298" s="46"/>
      <c r="Q298" s="40"/>
      <c r="R298" s="44"/>
    </row>
    <row r="299" spans="1:18" s="41" customFormat="1" ht="20.100000000000001" customHeight="1">
      <c r="A299" s="8"/>
      <c r="B299" s="8"/>
      <c r="C299" s="8"/>
      <c r="D299" s="11"/>
      <c r="E299" s="42"/>
      <c r="F299" s="11"/>
      <c r="G299" s="50"/>
      <c r="H299" s="49"/>
      <c r="I299" s="50"/>
      <c r="J299" s="50"/>
      <c r="K299" s="44"/>
      <c r="L299" s="63"/>
      <c r="M299" s="87"/>
      <c r="N299" s="45"/>
      <c r="O299" s="46"/>
      <c r="P299" s="46"/>
      <c r="Q299" s="40"/>
      <c r="R299" s="44"/>
    </row>
    <row r="300" spans="1:18" s="41" customFormat="1" ht="20.100000000000001" customHeight="1">
      <c r="A300" s="8"/>
      <c r="B300" s="8"/>
      <c r="C300" s="8"/>
      <c r="D300" s="11"/>
      <c r="E300" s="42"/>
      <c r="F300" s="11"/>
      <c r="G300" s="50"/>
      <c r="H300" s="63"/>
      <c r="I300" s="50"/>
      <c r="J300" s="50"/>
      <c r="K300" s="44"/>
      <c r="L300" s="63"/>
      <c r="M300" s="61"/>
      <c r="N300" s="45"/>
      <c r="O300" s="46"/>
      <c r="P300" s="46"/>
      <c r="Q300" s="40"/>
      <c r="R300" s="44"/>
    </row>
    <row r="301" spans="1:18" s="41" customFormat="1" ht="20.100000000000001" customHeight="1">
      <c r="A301" s="8"/>
      <c r="B301" s="8"/>
      <c r="C301" s="8"/>
      <c r="D301" s="11"/>
      <c r="E301" s="42"/>
      <c r="F301" s="11"/>
      <c r="G301" s="50"/>
      <c r="H301" s="49"/>
      <c r="I301" s="50"/>
      <c r="J301" s="50"/>
      <c r="K301" s="44"/>
      <c r="L301" s="63"/>
      <c r="M301" s="87"/>
      <c r="N301" s="45"/>
      <c r="O301" s="46"/>
      <c r="P301" s="46"/>
      <c r="Q301" s="40"/>
      <c r="R301" s="44"/>
    </row>
    <row r="302" spans="1:18" s="41" customFormat="1" ht="20.100000000000001" customHeight="1">
      <c r="A302" s="8"/>
      <c r="B302" s="8"/>
      <c r="C302" s="8"/>
      <c r="D302" s="11"/>
      <c r="E302" s="42"/>
      <c r="F302" s="11"/>
      <c r="G302" s="50"/>
      <c r="H302" s="63"/>
      <c r="I302" s="50"/>
      <c r="J302" s="50"/>
      <c r="K302" s="44"/>
      <c r="L302" s="63"/>
      <c r="M302" s="87"/>
      <c r="N302" s="106"/>
      <c r="O302" s="46"/>
      <c r="P302" s="46"/>
      <c r="Q302" s="40"/>
      <c r="R302" s="44"/>
    </row>
    <row r="303" spans="1:18" s="41" customFormat="1" ht="20.100000000000001" customHeight="1">
      <c r="A303" s="8"/>
      <c r="B303" s="8"/>
      <c r="C303" s="8"/>
      <c r="D303" s="11"/>
      <c r="E303" s="42"/>
      <c r="F303" s="11"/>
      <c r="G303" s="50"/>
      <c r="H303" s="49"/>
      <c r="I303" s="50"/>
      <c r="J303" s="50"/>
      <c r="K303" s="44"/>
      <c r="L303" s="63"/>
      <c r="M303" s="87"/>
      <c r="N303" s="45"/>
      <c r="O303" s="46"/>
      <c r="P303" s="46"/>
      <c r="Q303" s="40"/>
      <c r="R303" s="44"/>
    </row>
    <row r="304" spans="1:18" s="41" customFormat="1" ht="20.100000000000001" customHeight="1">
      <c r="A304" s="8"/>
      <c r="B304" s="8"/>
      <c r="C304" s="8"/>
      <c r="D304" s="11"/>
      <c r="E304" s="42"/>
      <c r="F304" s="11"/>
      <c r="G304" s="50"/>
      <c r="H304" s="63"/>
      <c r="I304" s="50"/>
      <c r="J304" s="50"/>
      <c r="K304" s="44"/>
      <c r="L304" s="63"/>
      <c r="M304" s="87"/>
      <c r="N304" s="45"/>
      <c r="O304" s="46"/>
      <c r="P304" s="46"/>
      <c r="Q304" s="40"/>
      <c r="R304" s="44"/>
    </row>
    <row r="305" spans="1:19" s="41" customFormat="1" ht="20.100000000000001" customHeight="1">
      <c r="A305" s="8"/>
      <c r="B305" s="8"/>
      <c r="C305" s="8"/>
      <c r="D305" s="11"/>
      <c r="E305" s="42"/>
      <c r="F305" s="11"/>
      <c r="G305" s="50"/>
      <c r="H305" s="49"/>
      <c r="I305" s="50"/>
      <c r="J305" s="50"/>
      <c r="K305" s="44"/>
      <c r="L305" s="63"/>
      <c r="M305" s="87"/>
      <c r="N305" s="106"/>
      <c r="O305" s="46"/>
      <c r="P305" s="46"/>
      <c r="Q305" s="40"/>
      <c r="R305" s="44"/>
    </row>
    <row r="306" spans="1:19" s="41" customFormat="1" ht="20.100000000000001" customHeight="1">
      <c r="A306" s="8"/>
      <c r="B306" s="8"/>
      <c r="C306" s="8"/>
      <c r="D306" s="11"/>
      <c r="E306" s="42"/>
      <c r="F306" s="11"/>
      <c r="G306" s="50"/>
      <c r="H306" s="63"/>
      <c r="I306" s="50"/>
      <c r="J306" s="50"/>
      <c r="K306" s="44"/>
      <c r="L306" s="63"/>
      <c r="M306" s="87"/>
      <c r="N306" s="45"/>
      <c r="O306" s="46"/>
      <c r="P306" s="46"/>
      <c r="Q306" s="40"/>
      <c r="R306" s="44"/>
    </row>
    <row r="307" spans="1:19" s="41" customFormat="1" ht="20.100000000000001" customHeight="1">
      <c r="A307" s="8"/>
      <c r="B307" s="8"/>
      <c r="C307" s="8"/>
      <c r="D307" s="11"/>
      <c r="E307" s="42"/>
      <c r="F307" s="11"/>
      <c r="G307" s="50"/>
      <c r="H307" s="49"/>
      <c r="I307" s="50"/>
      <c r="J307" s="50"/>
      <c r="K307" s="44"/>
      <c r="L307" s="63"/>
      <c r="M307" s="87"/>
      <c r="N307" s="106"/>
      <c r="O307" s="46"/>
      <c r="P307" s="46"/>
      <c r="Q307" s="40"/>
      <c r="R307" s="44"/>
    </row>
    <row r="308" spans="1:19" s="41" customFormat="1" ht="20.100000000000001" customHeight="1">
      <c r="A308" s="8"/>
      <c r="B308" s="8"/>
      <c r="C308" s="8"/>
      <c r="D308" s="11"/>
      <c r="E308" s="42"/>
      <c r="F308" s="11"/>
      <c r="G308" s="50"/>
      <c r="H308" s="50"/>
      <c r="I308" s="50"/>
      <c r="J308" s="50"/>
      <c r="K308" s="44"/>
      <c r="L308" s="63"/>
      <c r="M308" s="87"/>
      <c r="N308" s="45"/>
      <c r="O308" s="46"/>
      <c r="P308" s="46"/>
      <c r="Q308" s="40"/>
      <c r="R308" s="44"/>
    </row>
    <row r="309" spans="1:19" s="41" customFormat="1" ht="48" customHeight="1">
      <c r="A309" s="8"/>
      <c r="B309" s="8"/>
      <c r="C309" s="660" t="s">
        <v>239</v>
      </c>
      <c r="D309" s="660"/>
      <c r="E309" s="660"/>
      <c r="F309" s="660"/>
      <c r="G309" s="660"/>
      <c r="H309" s="660"/>
      <c r="I309" s="660"/>
      <c r="J309" s="660"/>
      <c r="K309" s="660"/>
      <c r="L309" s="60"/>
      <c r="M309" s="88"/>
      <c r="N309" s="50"/>
      <c r="O309" s="49"/>
      <c r="P309" s="49"/>
      <c r="Q309" s="40"/>
      <c r="R309" s="44"/>
    </row>
    <row r="310" spans="1:19" s="41" customFormat="1" ht="27" customHeight="1" thickBot="1">
      <c r="A310" s="656" t="s">
        <v>240</v>
      </c>
      <c r="B310" s="656"/>
      <c r="C310" s="656"/>
      <c r="D310" s="656"/>
      <c r="E310" s="656"/>
      <c r="F310" s="656"/>
      <c r="G310" s="656"/>
      <c r="H310" s="656"/>
      <c r="I310" s="656"/>
      <c r="J310" s="656"/>
      <c r="K310" s="656"/>
      <c r="L310" s="62"/>
      <c r="M310" s="88"/>
      <c r="N310" s="45"/>
      <c r="O310" s="46"/>
      <c r="P310" s="46"/>
      <c r="Q310" s="40"/>
      <c r="R310" s="44"/>
    </row>
    <row r="311" spans="1:19" s="41" customFormat="1" ht="20.100000000000001" customHeight="1" thickTop="1" thickBot="1">
      <c r="A311" s="67"/>
      <c r="B311" s="134"/>
      <c r="C311" s="70" t="s">
        <v>55</v>
      </c>
      <c r="D311" s="70" t="s">
        <v>51</v>
      </c>
      <c r="E311" s="71" t="s">
        <v>31</v>
      </c>
      <c r="F311" s="72" t="s">
        <v>29</v>
      </c>
      <c r="G311" s="81" t="s">
        <v>62</v>
      </c>
      <c r="H311" s="81" t="s">
        <v>30</v>
      </c>
      <c r="I311" s="81" t="s">
        <v>62</v>
      </c>
      <c r="J311" s="75"/>
      <c r="K311" s="110" t="s">
        <v>101</v>
      </c>
      <c r="L311" s="110" t="s">
        <v>159</v>
      </c>
      <c r="M311" s="90" t="s">
        <v>160</v>
      </c>
      <c r="N311" s="92"/>
      <c r="O311" s="94"/>
      <c r="P311" s="93"/>
      <c r="Q311" s="94" t="s">
        <v>29</v>
      </c>
      <c r="R311" s="95" t="s">
        <v>30</v>
      </c>
      <c r="S311" s="41" t="s">
        <v>63</v>
      </c>
    </row>
    <row r="312" spans="1:19" s="41" customFormat="1" ht="20.100000000000001" customHeight="1" thickTop="1">
      <c r="A312" s="68"/>
      <c r="B312" s="135"/>
      <c r="C312" s="73"/>
      <c r="D312" s="73"/>
      <c r="E312" s="74"/>
      <c r="F312" s="73" t="s">
        <v>57</v>
      </c>
      <c r="G312" s="82" t="s">
        <v>8</v>
      </c>
      <c r="H312" s="82" t="s">
        <v>57</v>
      </c>
      <c r="I312" s="266" t="s">
        <v>8</v>
      </c>
      <c r="J312" s="267"/>
      <c r="K312" s="110" t="s">
        <v>158</v>
      </c>
      <c r="L312" s="111"/>
      <c r="M312" s="91"/>
      <c r="N312" s="96"/>
      <c r="O312" s="94"/>
      <c r="P312" s="112"/>
      <c r="Q312" s="94"/>
      <c r="R312" s="97"/>
    </row>
    <row r="313" spans="1:19" s="41" customFormat="1" ht="20.100000000000001" customHeight="1">
      <c r="A313" s="68"/>
      <c r="B313" s="55"/>
      <c r="C313" s="69">
        <v>1</v>
      </c>
      <c r="D313" s="260" t="s">
        <v>75</v>
      </c>
      <c r="E313" s="228" t="s">
        <v>70</v>
      </c>
      <c r="F313" s="265">
        <f>SUMIF($F$141:$F254,E313,$G$141:$G254)</f>
        <v>577</v>
      </c>
      <c r="G313" s="83">
        <f>SUMIF($F$141:$F254,E313,$H$141:$H254)</f>
        <v>903.6373000000001</v>
      </c>
      <c r="H313" s="108">
        <f>SUMIF($M$141:$M254,E313,$N$141:$N254)</f>
        <v>620</v>
      </c>
      <c r="I313" s="519">
        <f>SUMIF($M$141:$M254,E313,$O$141:$O254)</f>
        <v>970.98199999999997</v>
      </c>
      <c r="J313" s="520"/>
      <c r="K313" s="125"/>
      <c r="L313" s="124"/>
      <c r="M313" s="78">
        <f>K313+F313-H313</f>
        <v>-43</v>
      </c>
      <c r="N313" s="83"/>
      <c r="O313" s="127"/>
      <c r="P313" s="98"/>
      <c r="Q313" s="99"/>
      <c r="R313" s="100"/>
      <c r="S313" s="104" t="e">
        <f>SUM(G313+I313)/SUM(F313+H313)*#REF!</f>
        <v>#REF!</v>
      </c>
    </row>
    <row r="314" spans="1:19" s="41" customFormat="1" ht="20.100000000000001" customHeight="1">
      <c r="A314" s="68"/>
      <c r="B314" s="55"/>
      <c r="C314" s="69"/>
      <c r="D314" s="260" t="s">
        <v>218</v>
      </c>
      <c r="E314" s="469" t="s">
        <v>151</v>
      </c>
      <c r="F314" s="265">
        <f>SUMIF($F$141:$F292,E314,$G$141:$G292)</f>
        <v>0</v>
      </c>
      <c r="G314" s="83">
        <f>SUMIF($F$141:$F292,E314,$H$141:$H292)</f>
        <v>0</v>
      </c>
      <c r="H314" s="108">
        <f>SUMIF($M$141:$M292,E314,$N$141:$N292)</f>
        <v>2</v>
      </c>
      <c r="I314" s="519">
        <f>SUMIF($M$141:$M257,E314,$O$141:$O257)</f>
        <v>2.8180000000000001</v>
      </c>
      <c r="J314" s="520"/>
      <c r="K314" s="125"/>
      <c r="L314" s="124"/>
      <c r="M314" s="78"/>
      <c r="N314" s="83"/>
      <c r="O314" s="127"/>
      <c r="P314" s="98"/>
      <c r="Q314" s="99"/>
      <c r="R314" s="100"/>
      <c r="S314" s="104"/>
    </row>
    <row r="315" spans="1:19" s="41" customFormat="1" ht="20.100000000000001" customHeight="1">
      <c r="A315" s="68"/>
      <c r="B315" s="55"/>
      <c r="C315" s="69"/>
      <c r="D315" s="289" t="s">
        <v>209</v>
      </c>
      <c r="E315" s="256" t="s">
        <v>210</v>
      </c>
      <c r="F315" s="265">
        <f>SUMIF($F$141:$F254,E315,$G$141:$G254)</f>
        <v>580</v>
      </c>
      <c r="G315" s="83">
        <f>SUMIF($F$141:$F254,E315,$H$141:$H254)</f>
        <v>906.07980000000009</v>
      </c>
      <c r="H315" s="108">
        <f>SUMIF($M$141:$M254,E315,$N$141:$N254)</f>
        <v>580</v>
      </c>
      <c r="I315" s="519">
        <f>SUMIF($M$141:$M258,E315,$O$141:$O258)</f>
        <v>906.08</v>
      </c>
      <c r="J315" s="520"/>
      <c r="K315" s="124"/>
      <c r="L315" s="124"/>
      <c r="M315" s="78">
        <f>K315+F315-H315</f>
        <v>0</v>
      </c>
      <c r="N315" s="83"/>
      <c r="O315" s="127"/>
      <c r="P315" s="98"/>
      <c r="Q315" s="99"/>
      <c r="R315" s="100"/>
      <c r="S315" s="104"/>
    </row>
    <row r="316" spans="1:19" s="41" customFormat="1" ht="20.100000000000001" customHeight="1">
      <c r="A316" s="68"/>
      <c r="B316" s="55"/>
      <c r="C316" s="69"/>
      <c r="D316" s="344" t="s">
        <v>167</v>
      </c>
      <c r="E316" s="346" t="s">
        <v>168</v>
      </c>
      <c r="F316" s="265">
        <f>SUMIF($F$141:$F257,E316,$G$141:$G257)</f>
        <v>1962</v>
      </c>
      <c r="G316" s="83">
        <f>SUMIF($F$141:$F257,E316,$H$141:$H257)</f>
        <v>3064.8402000000001</v>
      </c>
      <c r="H316" s="108">
        <f>SUMIF($M$141:$M257,E316,$N$141:$N257)</f>
        <v>2056</v>
      </c>
      <c r="I316" s="519">
        <f>SUMIF($M$141:$M259,E316,$O$141:$O259)</f>
        <v>3211.6776</v>
      </c>
      <c r="J316" s="520"/>
      <c r="K316" s="124"/>
      <c r="L316" s="124"/>
      <c r="M316" s="78">
        <f>K316+F316-H316</f>
        <v>-94</v>
      </c>
      <c r="N316" s="83"/>
      <c r="O316" s="127"/>
      <c r="P316" s="98"/>
      <c r="Q316" s="99"/>
      <c r="R316" s="100"/>
      <c r="S316" s="104"/>
    </row>
    <row r="317" spans="1:19" s="41" customFormat="1" ht="20.100000000000001" customHeight="1">
      <c r="A317" s="68"/>
      <c r="B317" s="55"/>
      <c r="C317" s="69"/>
      <c r="D317" s="364" t="s">
        <v>230</v>
      </c>
      <c r="E317" s="365" t="s">
        <v>231</v>
      </c>
      <c r="F317" s="265">
        <f>SUMIF($F$141:$F258,E317,$G$141:$G258)</f>
        <v>6490</v>
      </c>
      <c r="G317" s="83">
        <f>SUMIF($F$141:$F258,E317,$H$141:$H258)</f>
        <v>5419.8610999999992</v>
      </c>
      <c r="H317" s="108">
        <f>SUMIF($M$141:$M258,E317,$N$141:$N258)</f>
        <v>6142</v>
      </c>
      <c r="I317" s="519">
        <f>SUMIF($M$141:$M260,E317,$O$141:$O260)</f>
        <v>5129.1737999999996</v>
      </c>
      <c r="J317" s="520"/>
      <c r="K317" s="124"/>
      <c r="L317" s="124"/>
      <c r="M317" s="78"/>
      <c r="N317" s="83"/>
      <c r="O317" s="127"/>
      <c r="P317" s="98"/>
      <c r="Q317" s="99"/>
      <c r="R317" s="100"/>
      <c r="S317" s="104"/>
    </row>
    <row r="318" spans="1:19" s="41" customFormat="1" ht="20.100000000000001" customHeight="1">
      <c r="A318" s="68"/>
      <c r="B318" s="55"/>
      <c r="C318" s="69"/>
      <c r="D318" s="446" t="s">
        <v>245</v>
      </c>
      <c r="E318" s="448" t="s">
        <v>152</v>
      </c>
      <c r="F318" s="265">
        <f>SUMIF($F$141:$F259,E318,$G$141:$G259)</f>
        <v>0</v>
      </c>
      <c r="G318" s="83">
        <f>SUMIF($F$141:$F259,E318,$H$141:$H259)</f>
        <v>0</v>
      </c>
      <c r="H318" s="108">
        <f>SUMIF($M$141:$M259,E318,$N$141:$N259)</f>
        <v>51</v>
      </c>
      <c r="I318" s="519">
        <f>SUMIF($M$141:$M261,E318,$O$141:$O261)</f>
        <v>33.799999999999997</v>
      </c>
      <c r="J318" s="520"/>
      <c r="K318" s="124"/>
      <c r="L318" s="124"/>
      <c r="M318" s="78"/>
      <c r="N318" s="83"/>
      <c r="O318" s="127"/>
      <c r="P318" s="98"/>
      <c r="Q318" s="99"/>
      <c r="R318" s="100"/>
      <c r="S318" s="104"/>
    </row>
    <row r="319" spans="1:19" s="41" customFormat="1" ht="20.100000000000001" customHeight="1">
      <c r="A319" s="68"/>
      <c r="B319" s="55"/>
      <c r="C319" s="69"/>
      <c r="D319" s="234" t="s">
        <v>54</v>
      </c>
      <c r="E319" s="255" t="s">
        <v>165</v>
      </c>
      <c r="F319" s="265">
        <f>SUMIF($F$141:$F292,E319,$G$141:$G292)</f>
        <v>3630</v>
      </c>
      <c r="G319" s="381">
        <f>SUMIF($F$141:$F292,E319,$H$141:$H292)</f>
        <v>2344.2539999999999</v>
      </c>
      <c r="H319" s="108">
        <f>SUMIF($M$141:$M254,E319,$N$141:$N254)</f>
        <v>5146</v>
      </c>
      <c r="I319" s="521">
        <f>SUMIF($M$141:$M259,E319,$O$141:$O259)</f>
        <v>3322.4222000000004</v>
      </c>
      <c r="J319" s="522"/>
      <c r="K319" s="124"/>
      <c r="L319" s="124"/>
      <c r="M319" s="78">
        <f>K319+F319-H319</f>
        <v>-1516</v>
      </c>
      <c r="N319" s="83"/>
      <c r="O319" s="127"/>
      <c r="P319" s="98"/>
      <c r="Q319" s="99"/>
      <c r="R319" s="100"/>
      <c r="S319" s="104"/>
    </row>
    <row r="320" spans="1:19" s="41" customFormat="1" ht="20.100000000000001" customHeight="1" thickBot="1">
      <c r="A320" s="84"/>
      <c r="B320" s="137"/>
      <c r="C320" s="76"/>
      <c r="D320" s="76"/>
      <c r="E320" s="76"/>
      <c r="F320" s="130">
        <f>SUM(F313:F319)</f>
        <v>13239</v>
      </c>
      <c r="G320" s="131">
        <f>SUM(G313:G319)</f>
        <v>12638.672399999999</v>
      </c>
      <c r="H320" s="33">
        <f>SUM(H313:H319)</f>
        <v>14597</v>
      </c>
      <c r="I320" s="693">
        <f>SUM(I313:I319)</f>
        <v>13576.953600000001</v>
      </c>
      <c r="J320" s="694"/>
      <c r="K320" s="132"/>
      <c r="L320" s="132"/>
      <c r="M320" s="133"/>
      <c r="N320" s="131"/>
      <c r="O320" s="131"/>
      <c r="P320" s="131">
        <f>SUM(P313:P319)</f>
        <v>0</v>
      </c>
      <c r="Q320" s="131">
        <f>SUM(Q313:Q319)</f>
        <v>0</v>
      </c>
      <c r="R320" s="131">
        <f>SUM(R313:R319)</f>
        <v>0</v>
      </c>
      <c r="S320" s="105" t="e">
        <f>SUM(S312:S319)</f>
        <v>#REF!</v>
      </c>
    </row>
    <row r="321" spans="1:19" ht="20.100000000000001" customHeight="1" thickTop="1">
      <c r="A321" s="5"/>
      <c r="B321" s="5"/>
      <c r="C321" s="39"/>
      <c r="D321" s="12" t="s">
        <v>77</v>
      </c>
      <c r="E321" s="12"/>
      <c r="F321" s="12"/>
      <c r="G321" s="51"/>
      <c r="H321" s="51"/>
      <c r="I321" s="268"/>
      <c r="J321" s="39"/>
      <c r="K321" s="12"/>
      <c r="L321" s="38"/>
      <c r="M321" s="48"/>
      <c r="N321" s="128"/>
      <c r="O321" s="129"/>
      <c r="P321" s="129"/>
      <c r="Q321" s="129"/>
      <c r="R321" s="54"/>
      <c r="S321" s="104"/>
    </row>
    <row r="322" spans="1:19" ht="20.100000000000001" customHeight="1">
      <c r="A322" s="5"/>
      <c r="B322" s="5"/>
      <c r="C322" s="39"/>
      <c r="D322" s="12" t="s">
        <v>78</v>
      </c>
      <c r="E322" s="34"/>
      <c r="F322" s="265">
        <f>SUMIF($F$141:$F292,E313,$G$141:$G292)</f>
        <v>577</v>
      </c>
      <c r="G322" s="59"/>
      <c r="H322" s="50"/>
      <c r="I322" s="103"/>
      <c r="J322" s="64"/>
      <c r="K322" s="12"/>
      <c r="L322" s="38"/>
      <c r="M322" s="48"/>
      <c r="N322" s="12"/>
      <c r="O322" s="12"/>
      <c r="P322" s="12"/>
      <c r="Q322" s="12"/>
      <c r="R322" s="5"/>
    </row>
    <row r="323" spans="1:19" ht="20.100000000000001" customHeight="1">
      <c r="A323" s="5"/>
      <c r="B323" s="5"/>
      <c r="C323" s="39"/>
      <c r="D323" s="12"/>
      <c r="E323" s="12"/>
      <c r="F323" s="12"/>
      <c r="G323" s="51"/>
      <c r="H323" s="48"/>
      <c r="I323" s="109"/>
      <c r="J323" s="39"/>
      <c r="K323" s="12"/>
      <c r="L323" s="107"/>
      <c r="M323" s="48"/>
      <c r="N323" s="12"/>
      <c r="O323" s="12"/>
      <c r="P323" s="12"/>
      <c r="Q323" s="12"/>
      <c r="R323" s="5"/>
    </row>
    <row r="324" spans="1:19" ht="20.100000000000001" customHeight="1">
      <c r="A324" s="5"/>
      <c r="B324" s="5"/>
      <c r="C324" s="35"/>
      <c r="D324" s="11"/>
      <c r="E324" s="11"/>
      <c r="F324" s="11"/>
      <c r="G324" s="695"/>
      <c r="H324" s="695"/>
      <c r="I324" s="696"/>
      <c r="J324" s="696"/>
      <c r="K324" s="12"/>
      <c r="L324" s="38"/>
      <c r="M324" s="48"/>
      <c r="N324" s="12"/>
      <c r="O324" s="12"/>
      <c r="P324" s="12"/>
      <c r="Q324" s="12"/>
      <c r="R324" s="5"/>
    </row>
    <row r="325" spans="1:19" ht="20.100000000000001" customHeight="1">
      <c r="A325" s="5"/>
      <c r="B325" s="5"/>
      <c r="C325" s="35"/>
      <c r="D325" s="11"/>
      <c r="E325" s="11"/>
      <c r="F325" s="8"/>
      <c r="G325" s="50"/>
      <c r="H325" s="50"/>
      <c r="I325" s="79"/>
      <c r="J325" s="80"/>
      <c r="K325" s="12"/>
      <c r="L325" s="38"/>
      <c r="M325" s="48"/>
      <c r="N325" s="12"/>
      <c r="O325" s="12"/>
      <c r="P325" s="12"/>
      <c r="Q325" s="12"/>
      <c r="R325" s="5"/>
    </row>
    <row r="326" spans="1:19" ht="20.100000000000001" customHeight="1">
      <c r="A326" s="5"/>
      <c r="B326" s="5"/>
      <c r="C326" s="35"/>
      <c r="D326" s="11"/>
      <c r="E326" s="11"/>
      <c r="F326" s="8"/>
      <c r="G326" s="50"/>
      <c r="H326" s="50"/>
      <c r="I326" s="79"/>
      <c r="J326" s="80"/>
      <c r="K326" s="12"/>
      <c r="L326" s="38">
        <f>L324-L325</f>
        <v>0</v>
      </c>
      <c r="M326" s="48"/>
      <c r="N326" s="12"/>
      <c r="O326" s="12"/>
      <c r="P326" s="12"/>
      <c r="Q326" s="12"/>
      <c r="R326" s="5"/>
    </row>
    <row r="327" spans="1:19" ht="20.100000000000001" customHeight="1">
      <c r="A327" s="5"/>
      <c r="B327" s="5"/>
      <c r="C327" s="35"/>
      <c r="D327" s="11"/>
      <c r="E327" s="11"/>
      <c r="F327" s="8"/>
      <c r="G327" s="50"/>
      <c r="H327" s="50"/>
      <c r="I327" s="79"/>
      <c r="J327" s="80"/>
      <c r="K327" s="12"/>
      <c r="L327" s="38"/>
      <c r="M327" s="48"/>
      <c r="N327" s="12"/>
      <c r="O327" s="12"/>
      <c r="P327" s="12"/>
      <c r="Q327" s="12"/>
      <c r="R327" s="5"/>
    </row>
    <row r="328" spans="1:19" ht="20.100000000000001" customHeight="1">
      <c r="A328" s="5"/>
      <c r="B328" s="5"/>
      <c r="C328" s="11"/>
      <c r="D328" s="11"/>
      <c r="E328" s="11"/>
      <c r="F328" s="8"/>
      <c r="G328" s="50"/>
      <c r="H328" s="50"/>
      <c r="I328" s="79"/>
      <c r="J328" s="80"/>
      <c r="K328" s="12"/>
      <c r="L328" s="38"/>
      <c r="M328" s="48"/>
      <c r="N328" s="12"/>
      <c r="O328" s="12"/>
      <c r="P328" s="12"/>
      <c r="Q328" s="12"/>
      <c r="R328" s="5"/>
    </row>
    <row r="329" spans="1:19" ht="20.100000000000001" customHeight="1">
      <c r="A329" s="5"/>
      <c r="B329" s="5"/>
      <c r="C329" s="35"/>
      <c r="D329" s="77" t="s">
        <v>58</v>
      </c>
      <c r="E329" s="697" t="s">
        <v>59</v>
      </c>
      <c r="F329" s="697"/>
      <c r="G329" s="697"/>
      <c r="H329" s="697"/>
      <c r="I329" s="698" t="s">
        <v>28</v>
      </c>
      <c r="J329" s="698"/>
      <c r="K329" s="12"/>
      <c r="L329" s="38"/>
      <c r="M329" s="48"/>
      <c r="N329" s="12"/>
      <c r="O329" s="12"/>
      <c r="P329" s="12"/>
      <c r="Q329" s="12"/>
      <c r="R329" s="5"/>
    </row>
    <row r="330" spans="1:19" ht="20.100000000000001" customHeight="1">
      <c r="A330" s="5"/>
      <c r="B330" s="5"/>
      <c r="C330" s="39"/>
      <c r="D330" s="12"/>
      <c r="E330" s="12"/>
      <c r="F330" s="5"/>
      <c r="G330" s="51"/>
      <c r="H330" s="51"/>
      <c r="I330" s="5"/>
      <c r="J330" s="39"/>
      <c r="K330" s="12"/>
      <c r="L330" s="38"/>
      <c r="M330" s="48"/>
      <c r="N330" s="12"/>
      <c r="O330" s="12"/>
      <c r="P330" s="12"/>
      <c r="Q330" s="12"/>
      <c r="R330" s="5"/>
    </row>
    <row r="331" spans="1:19" ht="20.100000000000001" customHeight="1">
      <c r="A331" s="5"/>
      <c r="B331" s="5"/>
      <c r="C331" s="39"/>
      <c r="D331" s="12"/>
      <c r="E331" s="12"/>
      <c r="F331" s="5"/>
      <c r="G331" s="51"/>
      <c r="H331" s="51"/>
      <c r="I331" s="5"/>
      <c r="J331" s="39"/>
      <c r="K331" s="12"/>
      <c r="L331" s="38"/>
      <c r="M331" s="48"/>
      <c r="N331" s="12"/>
      <c r="O331" s="12"/>
      <c r="P331" s="12"/>
      <c r="Q331" s="12"/>
      <c r="R331" s="5"/>
    </row>
    <row r="332" spans="1:19" ht="20.100000000000001" customHeight="1">
      <c r="A332" s="5"/>
      <c r="B332" s="5"/>
      <c r="C332" s="39"/>
      <c r="D332" s="12"/>
      <c r="E332" s="12"/>
      <c r="F332" s="5"/>
      <c r="G332" s="51"/>
      <c r="H332" s="51"/>
      <c r="I332" s="5"/>
      <c r="J332" s="39"/>
      <c r="K332" s="12"/>
      <c r="L332" s="38"/>
      <c r="M332" s="48"/>
      <c r="N332" s="12"/>
      <c r="O332" s="12"/>
      <c r="P332" s="12"/>
      <c r="Q332" s="12"/>
      <c r="R332" s="5"/>
    </row>
    <row r="333" spans="1:19" ht="20.100000000000001" customHeight="1">
      <c r="A333" s="5"/>
      <c r="B333" s="5"/>
      <c r="C333" s="39"/>
      <c r="D333" s="12"/>
      <c r="E333" s="12"/>
      <c r="F333" s="5"/>
      <c r="G333" s="51"/>
      <c r="H333" s="51"/>
      <c r="I333" s="5"/>
      <c r="J333" s="39"/>
      <c r="K333" s="12"/>
      <c r="L333" s="38"/>
      <c r="M333" s="48"/>
      <c r="N333" s="12"/>
      <c r="O333" s="12"/>
      <c r="P333" s="12"/>
      <c r="Q333" s="12"/>
      <c r="R333" s="5"/>
    </row>
    <row r="334" spans="1:19" ht="20.100000000000001" customHeight="1">
      <c r="A334" s="5"/>
      <c r="B334" s="5"/>
      <c r="C334" s="39"/>
      <c r="D334" s="12"/>
      <c r="E334" s="12"/>
      <c r="F334" s="5"/>
      <c r="G334" s="51"/>
      <c r="H334" s="51"/>
      <c r="I334" s="5"/>
      <c r="J334" s="39"/>
      <c r="K334" s="12"/>
      <c r="L334" s="38"/>
      <c r="M334" s="48"/>
      <c r="N334" s="12"/>
      <c r="O334" s="12"/>
      <c r="P334" s="12"/>
      <c r="Q334" s="12"/>
      <c r="R334" s="5"/>
    </row>
    <row r="335" spans="1:19" ht="20.100000000000001" customHeight="1">
      <c r="A335" s="5"/>
      <c r="B335" s="5"/>
      <c r="C335" s="39"/>
      <c r="D335" s="12"/>
      <c r="E335" s="12"/>
      <c r="F335" s="5"/>
      <c r="G335" s="51"/>
      <c r="H335" s="51"/>
      <c r="I335" s="5"/>
      <c r="J335" s="39"/>
      <c r="K335" s="12"/>
      <c r="L335" s="38"/>
      <c r="M335" s="48"/>
      <c r="N335" s="12"/>
      <c r="O335" s="12"/>
      <c r="P335" s="12"/>
      <c r="Q335" s="12"/>
      <c r="R335" s="5"/>
    </row>
    <row r="336" spans="1:19" ht="19.5" customHeight="1">
      <c r="A336" s="5"/>
      <c r="B336" s="5"/>
      <c r="C336" s="5"/>
      <c r="D336" s="12"/>
      <c r="E336" s="12"/>
      <c r="F336" s="12"/>
      <c r="G336" s="51"/>
      <c r="H336" s="51"/>
      <c r="I336" s="12"/>
      <c r="J336" s="12"/>
      <c r="K336" s="12"/>
      <c r="L336" s="48"/>
      <c r="M336" s="48"/>
      <c r="N336" s="12"/>
      <c r="O336" s="12"/>
      <c r="P336" s="12"/>
      <c r="Q336" s="12"/>
      <c r="R336" s="5"/>
    </row>
    <row r="337" spans="1:18" ht="15" customHeight="1">
      <c r="A337" s="36"/>
      <c r="B337" s="36"/>
      <c r="O337" s="692"/>
      <c r="P337" s="692"/>
      <c r="Q337" s="692"/>
      <c r="R337" s="692"/>
    </row>
    <row r="338" spans="1:18" ht="15" customHeight="1">
      <c r="A338" s="36"/>
      <c r="B338" s="36"/>
      <c r="Q338" s="37"/>
      <c r="R338" s="37"/>
    </row>
    <row r="339" spans="1:18" ht="15" customHeight="1">
      <c r="A339" s="36"/>
      <c r="B339" s="36"/>
      <c r="Q339" s="37"/>
      <c r="R339" s="37"/>
    </row>
    <row r="340" spans="1:18" ht="15" customHeight="1">
      <c r="A340" s="36"/>
      <c r="B340" s="36"/>
      <c r="Q340" s="37"/>
      <c r="R340" s="37"/>
    </row>
    <row r="341" spans="1:18" ht="15" customHeight="1">
      <c r="A341" s="36"/>
      <c r="B341" s="36"/>
      <c r="O341" s="692"/>
      <c r="P341" s="692"/>
      <c r="Q341" s="692"/>
      <c r="R341" s="692"/>
    </row>
    <row r="342" spans="1:18" ht="15" customHeight="1">
      <c r="A342" s="36"/>
      <c r="B342" s="36"/>
    </row>
    <row r="343" spans="1:18" ht="15" customHeight="1">
      <c r="A343" s="36"/>
      <c r="B343" s="36"/>
    </row>
    <row r="344" spans="1:18" ht="15" customHeight="1">
      <c r="A344" s="36"/>
      <c r="B344" s="36"/>
    </row>
    <row r="345" spans="1:18" ht="15" customHeight="1">
      <c r="A345" s="36"/>
      <c r="B345" s="36"/>
    </row>
    <row r="346" spans="1:18" ht="15" customHeight="1">
      <c r="A346" s="36"/>
      <c r="B346" s="36"/>
    </row>
    <row r="347" spans="1:18" ht="20.100000000000001" customHeight="1">
      <c r="A347" s="36"/>
      <c r="B347" s="36"/>
    </row>
    <row r="348" spans="1:18" ht="20.100000000000001" customHeight="1">
      <c r="A348" s="36"/>
      <c r="B348" s="36"/>
    </row>
    <row r="349" spans="1:18" ht="20.100000000000001" customHeight="1">
      <c r="A349" s="36"/>
      <c r="B349" s="36"/>
    </row>
    <row r="350" spans="1:18" ht="20.100000000000001" customHeight="1">
      <c r="A350" s="36"/>
      <c r="B350" s="36"/>
    </row>
    <row r="351" spans="1:18" ht="20.100000000000001" customHeight="1">
      <c r="A351" s="36"/>
      <c r="B351" s="36"/>
    </row>
    <row r="352" spans="1:18" ht="20.100000000000001" customHeight="1">
      <c r="A352" s="36"/>
      <c r="B352" s="36"/>
    </row>
    <row r="353" spans="1:2" ht="20.100000000000001" customHeight="1">
      <c r="A353" s="36"/>
      <c r="B353" s="36"/>
    </row>
    <row r="354" spans="1:2" ht="20.100000000000001" customHeight="1">
      <c r="A354" s="36"/>
      <c r="B354" s="36"/>
    </row>
    <row r="355" spans="1:2" ht="20.100000000000001" customHeight="1">
      <c r="A355" s="36"/>
      <c r="B355" s="36"/>
    </row>
    <row r="356" spans="1:2" ht="20.100000000000001" customHeight="1">
      <c r="A356" s="36"/>
      <c r="B356" s="36"/>
    </row>
    <row r="357" spans="1:2" ht="20.100000000000001" customHeight="1">
      <c r="A357" s="36"/>
      <c r="B357" s="36"/>
    </row>
    <row r="358" spans="1:2" ht="20.100000000000001" customHeight="1">
      <c r="A358" s="36"/>
      <c r="B358" s="36"/>
    </row>
    <row r="359" spans="1:2" ht="20.100000000000001" customHeight="1">
      <c r="A359" s="36"/>
      <c r="B359" s="36"/>
    </row>
    <row r="360" spans="1:2" ht="20.100000000000001" customHeight="1">
      <c r="A360" s="36"/>
      <c r="B360" s="36"/>
    </row>
    <row r="361" spans="1:2" ht="20.100000000000001" customHeight="1">
      <c r="A361" s="36"/>
      <c r="B361" s="36"/>
    </row>
    <row r="362" spans="1:2" ht="20.100000000000001" customHeight="1">
      <c r="A362" s="36"/>
      <c r="B362" s="36"/>
    </row>
    <row r="363" spans="1:2" ht="20.100000000000001" customHeight="1">
      <c r="A363" s="36"/>
      <c r="B363" s="36"/>
    </row>
    <row r="364" spans="1:2" ht="20.100000000000001" customHeight="1">
      <c r="A364" s="36"/>
      <c r="B364" s="36"/>
    </row>
    <row r="365" spans="1:2" ht="20.100000000000001" customHeight="1">
      <c r="A365" s="36"/>
      <c r="B365" s="36"/>
    </row>
    <row r="366" spans="1:2" ht="20.100000000000001" customHeight="1">
      <c r="A366" s="36"/>
      <c r="B366" s="36"/>
    </row>
    <row r="367" spans="1:2" ht="20.100000000000001" customHeight="1">
      <c r="A367" s="36"/>
      <c r="B367" s="36"/>
    </row>
    <row r="368" spans="1:2" ht="20.100000000000001" customHeight="1">
      <c r="A368" s="36"/>
      <c r="B368" s="36"/>
    </row>
  </sheetData>
  <mergeCells count="346">
    <mergeCell ref="P222:R222"/>
    <mergeCell ref="P218:Q218"/>
    <mergeCell ref="P150:Q150"/>
    <mergeCell ref="P155:Q155"/>
    <mergeCell ref="O125:O126"/>
    <mergeCell ref="Q125:Q126"/>
    <mergeCell ref="O127:O128"/>
    <mergeCell ref="Q127:Q128"/>
    <mergeCell ref="P139:R139"/>
    <mergeCell ref="P214:Q214"/>
    <mergeCell ref="Q117:Q118"/>
    <mergeCell ref="E115:E116"/>
    <mergeCell ref="M127:M128"/>
    <mergeCell ref="M130:M132"/>
    <mergeCell ref="E125:E126"/>
    <mergeCell ref="I125:I126"/>
    <mergeCell ref="K125:K126"/>
    <mergeCell ref="M125:M126"/>
    <mergeCell ref="E127:E128"/>
    <mergeCell ref="I127:I128"/>
    <mergeCell ref="K127:K128"/>
    <mergeCell ref="E130:E132"/>
    <mergeCell ref="I120:I121"/>
    <mergeCell ref="Q115:Q116"/>
    <mergeCell ref="O115:O116"/>
    <mergeCell ref="I142:J142"/>
    <mergeCell ref="E112:E113"/>
    <mergeCell ref="I112:I113"/>
    <mergeCell ref="K112:K113"/>
    <mergeCell ref="M112:M113"/>
    <mergeCell ref="M120:M121"/>
    <mergeCell ref="O120:O121"/>
    <mergeCell ref="I144:J144"/>
    <mergeCell ref="E117:E118"/>
    <mergeCell ref="I117:I118"/>
    <mergeCell ref="K117:K118"/>
    <mergeCell ref="M117:M118"/>
    <mergeCell ref="O117:O118"/>
    <mergeCell ref="K115:K116"/>
    <mergeCell ref="M115:M116"/>
    <mergeCell ref="M107:M108"/>
    <mergeCell ref="E107:E108"/>
    <mergeCell ref="E100:E101"/>
    <mergeCell ref="I100:I101"/>
    <mergeCell ref="E102:E103"/>
    <mergeCell ref="I172:J172"/>
    <mergeCell ref="I107:I108"/>
    <mergeCell ref="K120:K121"/>
    <mergeCell ref="P206:Q206"/>
    <mergeCell ref="I152:J152"/>
    <mergeCell ref="O110:O111"/>
    <mergeCell ref="P146:Q146"/>
    <mergeCell ref="P142:Q142"/>
    <mergeCell ref="I169:J169"/>
    <mergeCell ref="I110:I111"/>
    <mergeCell ref="K110:K111"/>
    <mergeCell ref="K107:K108"/>
    <mergeCell ref="I115:I116"/>
    <mergeCell ref="P198:Q198"/>
    <mergeCell ref="P167:Q167"/>
    <mergeCell ref="Q120:Q121"/>
    <mergeCell ref="O122:O123"/>
    <mergeCell ref="Q122:Q123"/>
    <mergeCell ref="O133:O134"/>
    <mergeCell ref="O60:O62"/>
    <mergeCell ref="O76:O77"/>
    <mergeCell ref="O79:O80"/>
    <mergeCell ref="Q76:Q77"/>
    <mergeCell ref="O65:O69"/>
    <mergeCell ref="Q65:Q69"/>
    <mergeCell ref="Q60:Q62"/>
    <mergeCell ref="O73:O75"/>
    <mergeCell ref="Q73:Q75"/>
    <mergeCell ref="O70:O71"/>
    <mergeCell ref="Q79:Q80"/>
    <mergeCell ref="Q70:Q71"/>
    <mergeCell ref="O81:O82"/>
    <mergeCell ref="Q81:Q82"/>
    <mergeCell ref="O94:O95"/>
    <mergeCell ref="O100:O101"/>
    <mergeCell ref="Q100:Q101"/>
    <mergeCell ref="Q84:Q90"/>
    <mergeCell ref="Q91:Q92"/>
    <mergeCell ref="E79:E80"/>
    <mergeCell ref="E73:E75"/>
    <mergeCell ref="I73:I75"/>
    <mergeCell ref="M73:M75"/>
    <mergeCell ref="K79:K80"/>
    <mergeCell ref="M79:M80"/>
    <mergeCell ref="K81:K82"/>
    <mergeCell ref="I96:I97"/>
    <mergeCell ref="O91:O92"/>
    <mergeCell ref="Q94:Q95"/>
    <mergeCell ref="O96:O97"/>
    <mergeCell ref="O84:O90"/>
    <mergeCell ref="M100:M101"/>
    <mergeCell ref="M91:M92"/>
    <mergeCell ref="M94:M95"/>
    <mergeCell ref="M84:M90"/>
    <mergeCell ref="I91:I92"/>
    <mergeCell ref="F241:H241"/>
    <mergeCell ref="P241:R241"/>
    <mergeCell ref="I175:J175"/>
    <mergeCell ref="I178:J178"/>
    <mergeCell ref="P178:Q178"/>
    <mergeCell ref="I183:J183"/>
    <mergeCell ref="I186:J186"/>
    <mergeCell ref="I190:J190"/>
    <mergeCell ref="Q96:Q97"/>
    <mergeCell ref="Q105:Q106"/>
    <mergeCell ref="O105:O106"/>
    <mergeCell ref="O102:O103"/>
    <mergeCell ref="Q102:Q103"/>
    <mergeCell ref="I102:I103"/>
    <mergeCell ref="M102:M103"/>
    <mergeCell ref="K96:K97"/>
    <mergeCell ref="K100:K101"/>
    <mergeCell ref="K102:K103"/>
    <mergeCell ref="M96:M97"/>
    <mergeCell ref="Q110:Q111"/>
    <mergeCell ref="O112:O113"/>
    <mergeCell ref="Q112:Q113"/>
    <mergeCell ref="O107:O108"/>
    <mergeCell ref="Q107:Q108"/>
    <mergeCell ref="E42:E43"/>
    <mergeCell ref="I42:I43"/>
    <mergeCell ref="I45:I49"/>
    <mergeCell ref="K73:K75"/>
    <mergeCell ref="M70:M71"/>
    <mergeCell ref="M42:M43"/>
    <mergeCell ref="K60:K62"/>
    <mergeCell ref="M60:M62"/>
    <mergeCell ref="E76:E77"/>
    <mergeCell ref="I76:I77"/>
    <mergeCell ref="E65:E69"/>
    <mergeCell ref="E52:E54"/>
    <mergeCell ref="I52:I54"/>
    <mergeCell ref="E60:E62"/>
    <mergeCell ref="E57:E59"/>
    <mergeCell ref="I60:I62"/>
    <mergeCell ref="I65:I69"/>
    <mergeCell ref="I57:I59"/>
    <mergeCell ref="M57:M59"/>
    <mergeCell ref="K52:K54"/>
    <mergeCell ref="K57:K59"/>
    <mergeCell ref="E70:E71"/>
    <mergeCell ref="I70:I71"/>
    <mergeCell ref="M52:M54"/>
    <mergeCell ref="E329:H329"/>
    <mergeCell ref="I329:J329"/>
    <mergeCell ref="O337:R337"/>
    <mergeCell ref="O341:R341"/>
    <mergeCell ref="P244:R244"/>
    <mergeCell ref="D249:G249"/>
    <mergeCell ref="I320:J320"/>
    <mergeCell ref="G324:H324"/>
    <mergeCell ref="I324:J324"/>
    <mergeCell ref="G293:H293"/>
    <mergeCell ref="I293:J293"/>
    <mergeCell ref="C309:K309"/>
    <mergeCell ref="A310:K310"/>
    <mergeCell ref="K76:K77"/>
    <mergeCell ref="K91:K92"/>
    <mergeCell ref="K84:K90"/>
    <mergeCell ref="I81:I82"/>
    <mergeCell ref="E94:E95"/>
    <mergeCell ref="E96:E97"/>
    <mergeCell ref="E120:E121"/>
    <mergeCell ref="M81:M82"/>
    <mergeCell ref="K45:K49"/>
    <mergeCell ref="M45:M49"/>
    <mergeCell ref="E87:E90"/>
    <mergeCell ref="E91:E92"/>
    <mergeCell ref="E81:E82"/>
    <mergeCell ref="K65:K69"/>
    <mergeCell ref="M65:M69"/>
    <mergeCell ref="M76:M77"/>
    <mergeCell ref="I87:I90"/>
    <mergeCell ref="I79:I80"/>
    <mergeCell ref="E105:E106"/>
    <mergeCell ref="I105:I106"/>
    <mergeCell ref="K105:K106"/>
    <mergeCell ref="M105:M106"/>
    <mergeCell ref="E110:E111"/>
    <mergeCell ref="M110:M111"/>
    <mergeCell ref="K243:L243"/>
    <mergeCell ref="F244:H244"/>
    <mergeCell ref="E29:E30"/>
    <mergeCell ref="E45:E49"/>
    <mergeCell ref="K42:K43"/>
    <mergeCell ref="I34:I36"/>
    <mergeCell ref="K34:K36"/>
    <mergeCell ref="I206:J206"/>
    <mergeCell ref="I198:J198"/>
    <mergeCell ref="E40:E41"/>
    <mergeCell ref="I40:I41"/>
    <mergeCell ref="K40:K41"/>
    <mergeCell ref="K70:K71"/>
    <mergeCell ref="E37:E38"/>
    <mergeCell ref="I37:I38"/>
    <mergeCell ref="I196:J196"/>
    <mergeCell ref="I29:I30"/>
    <mergeCell ref="K29:K30"/>
    <mergeCell ref="E31:E32"/>
    <mergeCell ref="I31:I32"/>
    <mergeCell ref="K31:K32"/>
    <mergeCell ref="E34:E36"/>
    <mergeCell ref="I94:I95"/>
    <mergeCell ref="K94:K95"/>
    <mergeCell ref="Q1:R1"/>
    <mergeCell ref="P2:R2"/>
    <mergeCell ref="O10:O11"/>
    <mergeCell ref="Q10:Q11"/>
    <mergeCell ref="Q7:R7"/>
    <mergeCell ref="O13:O14"/>
    <mergeCell ref="I18:I19"/>
    <mergeCell ref="E10:E11"/>
    <mergeCell ref="I10:I11"/>
    <mergeCell ref="K10:K11"/>
    <mergeCell ref="Q15:Q16"/>
    <mergeCell ref="Q13:Q14"/>
    <mergeCell ref="A5:R5"/>
    <mergeCell ref="E7:F7"/>
    <mergeCell ref="M10:M11"/>
    <mergeCell ref="M13:M14"/>
    <mergeCell ref="D8:D9"/>
    <mergeCell ref="M15:M16"/>
    <mergeCell ref="M18:M19"/>
    <mergeCell ref="O18:O19"/>
    <mergeCell ref="Q18:Q19"/>
    <mergeCell ref="I13:I14"/>
    <mergeCell ref="K13:K14"/>
    <mergeCell ref="E15:E16"/>
    <mergeCell ref="O20:O21"/>
    <mergeCell ref="G7:H7"/>
    <mergeCell ref="O7:P7"/>
    <mergeCell ref="I7:J7"/>
    <mergeCell ref="K7:L7"/>
    <mergeCell ref="M7:N7"/>
    <mergeCell ref="E13:E14"/>
    <mergeCell ref="O15:O16"/>
    <mergeCell ref="Q20:Q21"/>
    <mergeCell ref="K20:K21"/>
    <mergeCell ref="M20:M21"/>
    <mergeCell ref="E18:E19"/>
    <mergeCell ref="E20:E21"/>
    <mergeCell ref="I20:I21"/>
    <mergeCell ref="K18:K19"/>
    <mergeCell ref="I15:I16"/>
    <mergeCell ref="K15:K16"/>
    <mergeCell ref="K37:K38"/>
    <mergeCell ref="M37:M38"/>
    <mergeCell ref="M23:M24"/>
    <mergeCell ref="E23:E24"/>
    <mergeCell ref="I25:I27"/>
    <mergeCell ref="Q25:Q27"/>
    <mergeCell ref="O23:O24"/>
    <mergeCell ref="O40:O41"/>
    <mergeCell ref="Q40:Q41"/>
    <mergeCell ref="Q29:Q30"/>
    <mergeCell ref="O31:O32"/>
    <mergeCell ref="Q31:Q32"/>
    <mergeCell ref="O29:O30"/>
    <mergeCell ref="O25:O27"/>
    <mergeCell ref="Q23:Q24"/>
    <mergeCell ref="I23:I24"/>
    <mergeCell ref="K23:K24"/>
    <mergeCell ref="E25:E27"/>
    <mergeCell ref="K25:K27"/>
    <mergeCell ref="M29:M30"/>
    <mergeCell ref="M25:M27"/>
    <mergeCell ref="M31:M32"/>
    <mergeCell ref="M34:M36"/>
    <mergeCell ref="M40:M41"/>
    <mergeCell ref="O45:O49"/>
    <mergeCell ref="O34:O36"/>
    <mergeCell ref="Q34:Q36"/>
    <mergeCell ref="O37:O38"/>
    <mergeCell ref="Q37:Q38"/>
    <mergeCell ref="O42:O43"/>
    <mergeCell ref="Q42:Q43"/>
    <mergeCell ref="Q45:Q49"/>
    <mergeCell ref="O57:O59"/>
    <mergeCell ref="Q52:Q54"/>
    <mergeCell ref="Q57:Q59"/>
    <mergeCell ref="O52:O54"/>
    <mergeCell ref="I208:J208"/>
    <mergeCell ref="I200:J200"/>
    <mergeCell ref="I202:J202"/>
    <mergeCell ref="I204:J204"/>
    <mergeCell ref="I188:J188"/>
    <mergeCell ref="E122:E123"/>
    <mergeCell ref="I122:I123"/>
    <mergeCell ref="M122:M123"/>
    <mergeCell ref="K122:K123"/>
    <mergeCell ref="I161:J161"/>
    <mergeCell ref="I146:J146"/>
    <mergeCell ref="I164:J164"/>
    <mergeCell ref="I167:J167"/>
    <mergeCell ref="I155:J155"/>
    <mergeCell ref="I130:I132"/>
    <mergeCell ref="K130:K132"/>
    <mergeCell ref="I140:J140"/>
    <mergeCell ref="E133:E134"/>
    <mergeCell ref="I133:I134"/>
    <mergeCell ref="D139:E139"/>
    <mergeCell ref="I139:J139"/>
    <mergeCell ref="I150:J150"/>
    <mergeCell ref="D138:J138"/>
    <mergeCell ref="I148:J148"/>
    <mergeCell ref="I210:J210"/>
    <mergeCell ref="I192:J192"/>
    <mergeCell ref="I158:J158"/>
    <mergeCell ref="P190:Q190"/>
    <mergeCell ref="P161:Q161"/>
    <mergeCell ref="I194:J194"/>
    <mergeCell ref="P238:R238"/>
    <mergeCell ref="O130:O132"/>
    <mergeCell ref="Q130:Q132"/>
    <mergeCell ref="P172:Q172"/>
    <mergeCell ref="K138:R138"/>
    <mergeCell ref="P194:Q194"/>
    <mergeCell ref="P186:Q186"/>
    <mergeCell ref="Q133:Q134"/>
    <mergeCell ref="K133:K134"/>
    <mergeCell ref="P226:R226"/>
    <mergeCell ref="P230:R230"/>
    <mergeCell ref="I232:J232"/>
    <mergeCell ref="P210:Q210"/>
    <mergeCell ref="P202:Q202"/>
    <mergeCell ref="I222:J222"/>
    <mergeCell ref="K139:L139"/>
    <mergeCell ref="P234:R234"/>
    <mergeCell ref="M133:M134"/>
    <mergeCell ref="I228:J228"/>
    <mergeCell ref="I230:J230"/>
    <mergeCell ref="I236:J236"/>
    <mergeCell ref="I238:J238"/>
    <mergeCell ref="I212:J212"/>
    <mergeCell ref="I214:J214"/>
    <mergeCell ref="I234:J234"/>
    <mergeCell ref="I216:J216"/>
    <mergeCell ref="I220:J220"/>
    <mergeCell ref="I224:J224"/>
    <mergeCell ref="I218:J218"/>
    <mergeCell ref="I226:J226"/>
  </mergeCells>
  <phoneticPr fontId="0" type="noConversion"/>
  <pageMargins left="0.39" right="0.23" top="0.28000000000000003" bottom="0.38" header="0.34" footer="0.26"/>
  <pageSetup paperSize="9" orientation="landscape" r:id="rId1"/>
  <headerFooter alignWithMargins="0">
    <oddFooter>&amp;L&amp;".VnTime, Bold"&amp;11&amp;UN¬i göi :&amp;".VnTime,Regular"&amp;12&amp;U       &amp;".VnTime,  Italic"&amp;10Ban gi¸m ®èc
                           Phßng kÕ to¸n
                          L­u P/X c¸n</oddFooter>
  </headerFooter>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workbookViewId="0">
      <selection activeCell="C1" sqref="C1"/>
    </sheetView>
  </sheetViews>
  <sheetFormatPr defaultColWidth="7" defaultRowHeight="12.75"/>
  <cols>
    <col min="1" max="1" width="23" style="1" customWidth="1"/>
    <col min="2" max="2" width="1" style="1" customWidth="1"/>
    <col min="3" max="3" width="24.75" style="1" customWidth="1"/>
    <col min="4" max="16384" width="7" style="1"/>
  </cols>
  <sheetData>
    <row r="1" spans="1:3" ht="15">
      <c r="A1" s="101"/>
      <c r="C1" s="101"/>
    </row>
    <row r="2" spans="1:3" ht="15.75" thickBot="1">
      <c r="A2" s="101"/>
    </row>
    <row r="3" spans="1:3" ht="15.75" thickBot="1">
      <c r="A3" s="101"/>
      <c r="C3" s="101"/>
    </row>
    <row r="4" spans="1:3" ht="15">
      <c r="A4" s="101"/>
      <c r="C4"/>
    </row>
    <row r="5" spans="1:3" ht="15">
      <c r="C5"/>
    </row>
    <row r="6" spans="1:3" ht="15.75" thickBot="1">
      <c r="C6"/>
    </row>
    <row r="7" spans="1:3" ht="15">
      <c r="A7" s="101"/>
      <c r="C7"/>
    </row>
    <row r="8" spans="1:3" ht="15">
      <c r="A8" s="101"/>
      <c r="C8"/>
    </row>
    <row r="9" spans="1:3" ht="15">
      <c r="A9" s="101"/>
      <c r="C9"/>
    </row>
    <row r="10" spans="1:3" ht="15">
      <c r="A10" s="101"/>
      <c r="C10"/>
    </row>
    <row r="11" spans="1:3" ht="15.75" thickBot="1">
      <c r="A11" s="101"/>
      <c r="C11"/>
    </row>
    <row r="12" spans="1:3" ht="15">
      <c r="C12"/>
    </row>
    <row r="13" spans="1:3" ht="15.75" thickBot="1">
      <c r="C13"/>
    </row>
    <row r="14" spans="1:3" ht="15.75" thickBot="1">
      <c r="A14" s="101"/>
      <c r="C14"/>
    </row>
    <row r="15" spans="1:3" ht="15">
      <c r="A15"/>
    </row>
    <row r="16" spans="1:3" ht="15.75" thickBot="1">
      <c r="A16"/>
    </row>
    <row r="17" spans="1:3" ht="15.75" thickBot="1">
      <c r="A17"/>
      <c r="C17" s="101"/>
    </row>
    <row r="18" spans="1:3" ht="15">
      <c r="C18"/>
    </row>
    <row r="19" spans="1:3" ht="15">
      <c r="C19"/>
    </row>
    <row r="20" spans="1:3" ht="15">
      <c r="A20" s="101"/>
      <c r="C20"/>
    </row>
    <row r="21" spans="1:3" ht="15">
      <c r="A21"/>
      <c r="C21"/>
    </row>
    <row r="22" spans="1:3" ht="15">
      <c r="A22"/>
      <c r="C22"/>
    </row>
    <row r="23" spans="1:3" ht="15">
      <c r="A23"/>
      <c r="C23"/>
    </row>
    <row r="24" spans="1:3" ht="15">
      <c r="A24"/>
    </row>
    <row r="25" spans="1:3" ht="15">
      <c r="A25"/>
    </row>
    <row r="26" spans="1:3" ht="15.75" thickBot="1">
      <c r="A26"/>
      <c r="C26" s="101"/>
    </row>
    <row r="27" spans="1:3" ht="15">
      <c r="A27"/>
      <c r="C27"/>
    </row>
    <row r="28" spans="1:3" ht="15">
      <c r="A28"/>
      <c r="C28"/>
    </row>
    <row r="29" spans="1:3" ht="15">
      <c r="A29"/>
      <c r="C29"/>
    </row>
    <row r="30" spans="1:3" ht="15">
      <c r="A30"/>
      <c r="C30"/>
    </row>
    <row r="31" spans="1:3" ht="15">
      <c r="A31"/>
      <c r="C31"/>
    </row>
    <row r="32" spans="1:3" ht="15">
      <c r="A32"/>
      <c r="C32"/>
    </row>
    <row r="33" spans="1:3" ht="15">
      <c r="A33"/>
      <c r="C33"/>
    </row>
    <row r="34" spans="1:3" ht="15">
      <c r="A34"/>
      <c r="C34"/>
    </row>
    <row r="35" spans="1:3" ht="15">
      <c r="A35"/>
      <c r="C35"/>
    </row>
    <row r="36" spans="1:3" ht="15">
      <c r="A36"/>
      <c r="C36"/>
    </row>
    <row r="37" spans="1:3" ht="15">
      <c r="A37"/>
    </row>
    <row r="38" spans="1:3" ht="15">
      <c r="A38"/>
    </row>
    <row r="39" spans="1:3" ht="15">
      <c r="A39"/>
      <c r="C39"/>
    </row>
    <row r="40" spans="1:3" ht="15">
      <c r="A40"/>
      <c r="C40"/>
    </row>
    <row r="41" spans="1:3" ht="15">
      <c r="A41"/>
      <c r="C41"/>
    </row>
  </sheetData>
  <sheetProtection password="8863" sheet="1" objects="1"/>
  <phoneticPr fontId="74" type="noConversion"/>
  <pageMargins left="0.75" right="0.75" top="1" bottom="1" header="0.5" footer="0.5"/>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workbookViewId="0">
      <selection activeCell="C1" sqref="C1"/>
    </sheetView>
  </sheetViews>
  <sheetFormatPr defaultColWidth="7" defaultRowHeight="12.75"/>
  <cols>
    <col min="1" max="1" width="23" style="1" customWidth="1"/>
    <col min="2" max="2" width="1" style="1" customWidth="1"/>
    <col min="3" max="3" width="24.75" style="1" customWidth="1"/>
    <col min="4" max="16384" width="7" style="1"/>
  </cols>
  <sheetData>
    <row r="1" spans="1:3" ht="15">
      <c r="A1" s="101"/>
      <c r="C1" s="101"/>
    </row>
    <row r="2" spans="1:3" ht="15.75" thickBot="1">
      <c r="A2" s="101"/>
    </row>
    <row r="3" spans="1:3" ht="15.75" thickBot="1">
      <c r="A3" s="101"/>
      <c r="C3" s="101"/>
    </row>
    <row r="4" spans="1:3" ht="15">
      <c r="A4" s="101"/>
      <c r="C4"/>
    </row>
    <row r="5" spans="1:3" ht="15">
      <c r="C5"/>
    </row>
    <row r="6" spans="1:3" ht="15.75" thickBot="1">
      <c r="C6"/>
    </row>
    <row r="7" spans="1:3" ht="15">
      <c r="A7" s="101"/>
      <c r="C7"/>
    </row>
    <row r="8" spans="1:3" ht="15">
      <c r="A8" s="101"/>
      <c r="C8"/>
    </row>
    <row r="9" spans="1:3" ht="15">
      <c r="A9" s="101"/>
      <c r="C9"/>
    </row>
    <row r="10" spans="1:3" ht="15">
      <c r="A10" s="101"/>
      <c r="C10"/>
    </row>
    <row r="11" spans="1:3" ht="15.75" thickBot="1">
      <c r="A11" s="101"/>
      <c r="C11"/>
    </row>
    <row r="12" spans="1:3" ht="15">
      <c r="C12"/>
    </row>
    <row r="13" spans="1:3" ht="15.75" thickBot="1">
      <c r="C13"/>
    </row>
    <row r="14" spans="1:3" ht="15.75" thickBot="1">
      <c r="A14" s="101"/>
      <c r="C14"/>
    </row>
    <row r="15" spans="1:3" ht="15">
      <c r="A15"/>
    </row>
    <row r="16" spans="1:3" ht="15.75" thickBot="1">
      <c r="A16"/>
    </row>
    <row r="17" spans="1:3" ht="15.75" thickBot="1">
      <c r="A17"/>
      <c r="C17" s="101"/>
    </row>
    <row r="18" spans="1:3" ht="15">
      <c r="C18"/>
    </row>
    <row r="19" spans="1:3" ht="15">
      <c r="C19"/>
    </row>
    <row r="20" spans="1:3" ht="15">
      <c r="A20" s="101"/>
      <c r="C20"/>
    </row>
    <row r="21" spans="1:3" ht="15">
      <c r="A21"/>
      <c r="C21"/>
    </row>
    <row r="22" spans="1:3" ht="15">
      <c r="A22"/>
      <c r="C22"/>
    </row>
    <row r="23" spans="1:3" ht="15">
      <c r="A23"/>
      <c r="C23"/>
    </row>
    <row r="24" spans="1:3" ht="15">
      <c r="A24"/>
    </row>
    <row r="25" spans="1:3" ht="15">
      <c r="A25"/>
    </row>
    <row r="26" spans="1:3" ht="15.75" thickBot="1">
      <c r="A26"/>
      <c r="C26" s="101"/>
    </row>
    <row r="27" spans="1:3" ht="15">
      <c r="A27"/>
      <c r="C27"/>
    </row>
    <row r="28" spans="1:3" ht="15">
      <c r="A28"/>
      <c r="C28"/>
    </row>
    <row r="29" spans="1:3" ht="15">
      <c r="A29"/>
      <c r="C29"/>
    </row>
    <row r="30" spans="1:3" ht="15">
      <c r="A30"/>
      <c r="C30"/>
    </row>
    <row r="31" spans="1:3" ht="15">
      <c r="A31"/>
      <c r="C31"/>
    </row>
    <row r="32" spans="1:3" ht="15">
      <c r="A32"/>
      <c r="C32"/>
    </row>
    <row r="33" spans="1:3" ht="15">
      <c r="A33"/>
      <c r="C33"/>
    </row>
    <row r="34" spans="1:3" ht="15">
      <c r="A34"/>
      <c r="C34"/>
    </row>
    <row r="35" spans="1:3" ht="15">
      <c r="A35"/>
      <c r="C35"/>
    </row>
    <row r="36" spans="1:3" ht="15">
      <c r="A36"/>
      <c r="C36"/>
    </row>
    <row r="37" spans="1:3" ht="15">
      <c r="A37"/>
    </row>
    <row r="38" spans="1:3" ht="15">
      <c r="A38"/>
    </row>
    <row r="39" spans="1:3" ht="15">
      <c r="A39"/>
      <c r="C39"/>
    </row>
    <row r="40" spans="1:3" ht="15">
      <c r="A40"/>
      <c r="C40"/>
    </row>
    <row r="41" spans="1:3" ht="15">
      <c r="A41"/>
      <c r="C41"/>
    </row>
  </sheetData>
  <sheetProtection password="8863" sheet="1" objects="1"/>
  <phoneticPr fontId="74" type="noConversion"/>
  <pageMargins left="0.75" right="0.75" top="1" bottom="1" header="0.5" footer="0.5"/>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workbookViewId="0">
      <selection activeCell="C1" sqref="C1"/>
    </sheetView>
  </sheetViews>
  <sheetFormatPr defaultColWidth="7" defaultRowHeight="12.75"/>
  <cols>
    <col min="1" max="1" width="23" style="1" customWidth="1"/>
    <col min="2" max="2" width="1" style="1" customWidth="1"/>
    <col min="3" max="3" width="24.75" style="1" customWidth="1"/>
    <col min="4" max="16384" width="7" style="1"/>
  </cols>
  <sheetData>
    <row r="1" spans="1:3" ht="15">
      <c r="A1" s="101"/>
      <c r="C1" s="101"/>
    </row>
    <row r="2" spans="1:3" ht="15.75" thickBot="1">
      <c r="A2" s="101"/>
    </row>
    <row r="3" spans="1:3" ht="15.75" thickBot="1">
      <c r="A3" s="101"/>
      <c r="C3" s="101"/>
    </row>
    <row r="4" spans="1:3" ht="15">
      <c r="A4" s="101"/>
      <c r="C4" s="66"/>
    </row>
    <row r="5" spans="1:3" ht="15">
      <c r="C5" s="66"/>
    </row>
    <row r="6" spans="1:3" ht="15.75" thickBot="1">
      <c r="C6" s="66"/>
    </row>
    <row r="7" spans="1:3" ht="15">
      <c r="A7" s="101"/>
      <c r="C7" s="66"/>
    </row>
    <row r="8" spans="1:3" ht="15">
      <c r="A8" s="101"/>
      <c r="C8" s="66"/>
    </row>
    <row r="9" spans="1:3" ht="15">
      <c r="A9" s="101"/>
      <c r="C9" s="66"/>
    </row>
    <row r="10" spans="1:3" ht="15">
      <c r="A10" s="101"/>
      <c r="C10" s="66"/>
    </row>
    <row r="11" spans="1:3" ht="15.75" thickBot="1">
      <c r="A11" s="101"/>
      <c r="C11" s="66"/>
    </row>
    <row r="12" spans="1:3" ht="15">
      <c r="C12" s="66"/>
    </row>
    <row r="13" spans="1:3" ht="15.75" thickBot="1">
      <c r="C13" s="66"/>
    </row>
    <row r="14" spans="1:3" ht="15.75" thickBot="1">
      <c r="A14" s="101"/>
      <c r="C14" s="66"/>
    </row>
    <row r="15" spans="1:3" ht="15">
      <c r="A15" s="66"/>
    </row>
    <row r="16" spans="1:3" ht="15.75" thickBot="1">
      <c r="A16" s="66"/>
    </row>
    <row r="17" spans="1:3" ht="15.75" thickBot="1">
      <c r="A17" s="66"/>
      <c r="C17" s="101"/>
    </row>
    <row r="18" spans="1:3" ht="15">
      <c r="C18" s="66"/>
    </row>
    <row r="19" spans="1:3" ht="15">
      <c r="C19" s="66"/>
    </row>
    <row r="20" spans="1:3" ht="15">
      <c r="A20" s="101"/>
      <c r="C20" s="66"/>
    </row>
    <row r="21" spans="1:3" ht="15">
      <c r="A21" s="66"/>
      <c r="C21" s="66"/>
    </row>
    <row r="22" spans="1:3" ht="15">
      <c r="A22" s="66"/>
      <c r="C22" s="66"/>
    </row>
    <row r="23" spans="1:3" ht="15">
      <c r="A23" s="66"/>
      <c r="C23" s="66"/>
    </row>
    <row r="24" spans="1:3" ht="15">
      <c r="A24" s="66"/>
    </row>
    <row r="25" spans="1:3" ht="15">
      <c r="A25" s="66"/>
    </row>
    <row r="26" spans="1:3" ht="15.75" thickBot="1">
      <c r="A26" s="66"/>
      <c r="C26" s="101"/>
    </row>
    <row r="27" spans="1:3" ht="15">
      <c r="A27" s="66"/>
      <c r="C27" s="66"/>
    </row>
    <row r="28" spans="1:3" ht="15">
      <c r="A28" s="66"/>
      <c r="C28" s="66"/>
    </row>
    <row r="29" spans="1:3" ht="15">
      <c r="A29" s="66"/>
      <c r="C29" s="66"/>
    </row>
    <row r="30" spans="1:3" ht="15">
      <c r="A30" s="66"/>
      <c r="C30" s="66"/>
    </row>
    <row r="31" spans="1:3" ht="15">
      <c r="A31" s="66"/>
      <c r="C31" s="66"/>
    </row>
    <row r="32" spans="1:3" ht="15">
      <c r="A32" s="66"/>
      <c r="C32" s="66"/>
    </row>
    <row r="33" spans="1:3" ht="15">
      <c r="A33" s="66"/>
      <c r="C33" s="66"/>
    </row>
    <row r="34" spans="1:3" ht="15">
      <c r="A34" s="66"/>
      <c r="C34" s="66"/>
    </row>
    <row r="35" spans="1:3" ht="15">
      <c r="A35" s="66"/>
      <c r="C35" s="66"/>
    </row>
    <row r="36" spans="1:3" ht="15">
      <c r="A36" s="66"/>
      <c r="C36" s="66"/>
    </row>
    <row r="37" spans="1:3" ht="15">
      <c r="A37" s="66"/>
    </row>
    <row r="38" spans="1:3" ht="15">
      <c r="A38" s="66"/>
    </row>
    <row r="39" spans="1:3" ht="15">
      <c r="A39" s="66"/>
      <c r="C39" s="66"/>
    </row>
    <row r="40" spans="1:3" ht="15">
      <c r="A40" s="66"/>
      <c r="C40" s="66"/>
    </row>
    <row r="41" spans="1:3" ht="15">
      <c r="A41" s="66"/>
      <c r="C41" s="66"/>
    </row>
  </sheetData>
  <sheetProtection password="8863" sheet="1" objects="1"/>
  <phoneticPr fontId="74" type="noConversion"/>
  <pageMargins left="0.75" right="0.75" top="1" bottom="1" header="0.5" footer="0.5"/>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workbookViewId="0">
      <selection activeCell="C1" sqref="C1"/>
    </sheetView>
  </sheetViews>
  <sheetFormatPr defaultColWidth="7" defaultRowHeight="12.75"/>
  <cols>
    <col min="1" max="1" width="23" style="1" customWidth="1"/>
    <col min="2" max="2" width="1" style="1" customWidth="1"/>
    <col min="3" max="3" width="24.75" style="1" customWidth="1"/>
    <col min="4" max="16384" width="7" style="1"/>
  </cols>
  <sheetData>
    <row r="1" spans="1:3" ht="15">
      <c r="A1" s="101"/>
      <c r="C1" s="101"/>
    </row>
    <row r="2" spans="1:3" ht="15.75" thickBot="1">
      <c r="A2" s="101"/>
    </row>
    <row r="3" spans="1:3" ht="15.75" thickBot="1">
      <c r="A3" s="101"/>
      <c r="C3" s="101"/>
    </row>
    <row r="4" spans="1:3" ht="15">
      <c r="A4" s="101"/>
      <c r="C4" s="66"/>
    </row>
    <row r="5" spans="1:3" ht="15">
      <c r="C5" s="66"/>
    </row>
    <row r="6" spans="1:3" ht="15.75" thickBot="1">
      <c r="C6" s="66"/>
    </row>
    <row r="7" spans="1:3" ht="15">
      <c r="A7" s="101"/>
      <c r="C7" s="66"/>
    </row>
    <row r="8" spans="1:3" ht="15">
      <c r="A8" s="101"/>
      <c r="C8" s="66"/>
    </row>
    <row r="9" spans="1:3" ht="15">
      <c r="A9" s="101"/>
      <c r="C9" s="66"/>
    </row>
    <row r="10" spans="1:3" ht="15">
      <c r="A10" s="101"/>
      <c r="C10" s="66"/>
    </row>
    <row r="11" spans="1:3" ht="15.75" thickBot="1">
      <c r="A11" s="101"/>
      <c r="C11" s="66"/>
    </row>
    <row r="12" spans="1:3" ht="15">
      <c r="C12" s="66"/>
    </row>
    <row r="13" spans="1:3" ht="15.75" thickBot="1">
      <c r="C13" s="66"/>
    </row>
    <row r="14" spans="1:3" ht="15.75" thickBot="1">
      <c r="A14" s="101"/>
      <c r="C14" s="66"/>
    </row>
    <row r="15" spans="1:3" ht="15">
      <c r="A15" s="66"/>
    </row>
    <row r="16" spans="1:3" ht="15.75" thickBot="1">
      <c r="A16" s="66"/>
    </row>
    <row r="17" spans="1:3" ht="15.75" thickBot="1">
      <c r="A17" s="66"/>
      <c r="C17" s="101"/>
    </row>
    <row r="18" spans="1:3" ht="15">
      <c r="C18" s="66"/>
    </row>
    <row r="19" spans="1:3" ht="15">
      <c r="C19" s="66"/>
    </row>
    <row r="20" spans="1:3" ht="15">
      <c r="A20" s="101"/>
      <c r="C20" s="66"/>
    </row>
    <row r="21" spans="1:3" ht="15">
      <c r="A21" s="66"/>
      <c r="C21" s="66"/>
    </row>
    <row r="22" spans="1:3" ht="15">
      <c r="A22" s="66"/>
      <c r="C22" s="66"/>
    </row>
    <row r="23" spans="1:3" ht="15">
      <c r="A23" s="66"/>
      <c r="C23" s="66"/>
    </row>
    <row r="24" spans="1:3" ht="15">
      <c r="A24" s="66"/>
    </row>
    <row r="25" spans="1:3" ht="15">
      <c r="A25" s="66"/>
    </row>
    <row r="26" spans="1:3" ht="15.75" thickBot="1">
      <c r="A26" s="66"/>
      <c r="C26" s="101"/>
    </row>
    <row r="27" spans="1:3" ht="15">
      <c r="A27" s="66"/>
      <c r="C27" s="66"/>
    </row>
    <row r="28" spans="1:3" ht="15">
      <c r="A28" s="66"/>
      <c r="C28" s="66"/>
    </row>
    <row r="29" spans="1:3" ht="15">
      <c r="A29" s="66"/>
      <c r="C29" s="66"/>
    </row>
    <row r="30" spans="1:3" ht="15">
      <c r="A30" s="66"/>
      <c r="C30" s="66"/>
    </row>
    <row r="31" spans="1:3" ht="15">
      <c r="A31" s="66"/>
      <c r="C31" s="66"/>
    </row>
    <row r="32" spans="1:3" ht="15">
      <c r="A32" s="66"/>
      <c r="C32" s="66"/>
    </row>
    <row r="33" spans="1:3" ht="15">
      <c r="A33" s="66"/>
      <c r="C33" s="66"/>
    </row>
    <row r="34" spans="1:3" ht="15">
      <c r="A34" s="66"/>
      <c r="C34" s="66"/>
    </row>
    <row r="35" spans="1:3" ht="15">
      <c r="A35" s="66"/>
      <c r="C35" s="66"/>
    </row>
    <row r="36" spans="1:3" ht="15">
      <c r="A36" s="66"/>
      <c r="C36" s="66"/>
    </row>
    <row r="37" spans="1:3" ht="15">
      <c r="A37" s="66"/>
    </row>
    <row r="38" spans="1:3" ht="15">
      <c r="A38" s="66"/>
    </row>
    <row r="39" spans="1:3" ht="15">
      <c r="A39" s="66"/>
      <c r="C39" s="66"/>
    </row>
    <row r="40" spans="1:3" ht="15">
      <c r="A40" s="66"/>
      <c r="C40" s="66"/>
    </row>
    <row r="41" spans="1:3" ht="15">
      <c r="A41" s="66"/>
      <c r="C41" s="66"/>
    </row>
  </sheetData>
  <sheetProtection password="8863" sheet="1" objects="1"/>
  <phoneticPr fontId="64"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63"/>
  <sheetViews>
    <sheetView workbookViewId="0"/>
  </sheetViews>
  <sheetFormatPr defaultRowHeight="15"/>
  <cols>
    <col min="1" max="1" width="5" customWidth="1"/>
    <col min="2" max="2" width="4.5" customWidth="1"/>
    <col min="3" max="3" width="9.125" customWidth="1"/>
    <col min="4" max="4" width="6.25" customWidth="1"/>
    <col min="5" max="5" width="6.375" style="121" customWidth="1"/>
    <col min="6" max="6" width="6.75" customWidth="1"/>
    <col min="7" max="7" width="6.375" style="16" customWidth="1"/>
    <col min="8" max="8" width="7.875" customWidth="1"/>
    <col min="9" max="9" width="5.75" style="121" customWidth="1"/>
    <col min="10" max="10" width="7.75" customWidth="1"/>
    <col min="11" max="11" width="8" customWidth="1"/>
    <col min="12" max="12" width="7.75" customWidth="1"/>
    <col min="13" max="13" width="7.125" style="121" customWidth="1"/>
    <col min="14" max="14" width="6.5" customWidth="1"/>
    <col min="15" max="15" width="5.875" customWidth="1"/>
    <col min="16" max="16" width="6.5" customWidth="1"/>
    <col min="17" max="17" width="7.75" style="121" customWidth="1"/>
    <col min="18" max="18" width="6.75" customWidth="1"/>
    <col min="19" max="19" width="7.875" customWidth="1"/>
  </cols>
  <sheetData>
    <row r="1" spans="1:20" s="7" customFormat="1" ht="18" customHeight="1">
      <c r="A1" s="4"/>
      <c r="B1" s="5"/>
      <c r="C1" s="5"/>
      <c r="D1" s="5"/>
      <c r="E1" s="113"/>
      <c r="F1" s="6"/>
      <c r="G1" s="12"/>
      <c r="H1" s="5"/>
      <c r="I1" s="113"/>
      <c r="J1" s="5"/>
      <c r="K1" s="5"/>
      <c r="L1" s="5"/>
      <c r="M1" s="5"/>
      <c r="N1" s="5"/>
      <c r="O1" s="5"/>
      <c r="P1" s="5"/>
      <c r="Q1" s="731" t="s">
        <v>201</v>
      </c>
      <c r="R1" s="731"/>
      <c r="S1" s="731"/>
      <c r="T1" s="5"/>
    </row>
    <row r="2" spans="1:20" s="7" customFormat="1" ht="18" customHeight="1">
      <c r="A2" s="4"/>
      <c r="B2" s="5"/>
      <c r="C2" s="5"/>
      <c r="D2" s="5"/>
      <c r="E2" s="113"/>
      <c r="F2" s="6"/>
      <c r="G2" s="12"/>
      <c r="H2" s="5"/>
      <c r="I2" s="113"/>
      <c r="J2" s="5"/>
      <c r="K2" s="5"/>
      <c r="L2" s="5"/>
      <c r="M2" s="5"/>
      <c r="N2" s="5"/>
      <c r="O2" s="5"/>
      <c r="P2" s="5"/>
      <c r="Q2" s="732" t="s">
        <v>202</v>
      </c>
      <c r="R2" s="732"/>
      <c r="S2" s="732"/>
      <c r="T2" s="427"/>
    </row>
    <row r="3" spans="1:20" s="7" customFormat="1" ht="26.25" customHeight="1">
      <c r="A3" s="203" t="s">
        <v>87</v>
      </c>
      <c r="B3" s="5"/>
      <c r="C3" s="5"/>
      <c r="D3" s="5"/>
      <c r="E3" s="113"/>
      <c r="F3" s="6"/>
      <c r="G3" s="12"/>
      <c r="H3" s="5"/>
      <c r="I3" s="113"/>
      <c r="J3" s="5"/>
      <c r="K3" s="5"/>
      <c r="L3" s="5"/>
      <c r="M3" s="5"/>
      <c r="N3" s="5"/>
      <c r="O3" s="5"/>
      <c r="P3" s="5"/>
      <c r="Q3" s="5"/>
      <c r="R3" s="5"/>
      <c r="S3" s="5"/>
      <c r="T3" s="10"/>
    </row>
    <row r="4" spans="1:20" s="7" customFormat="1" ht="25.5" customHeight="1">
      <c r="A4" s="720" t="s">
        <v>83</v>
      </c>
      <c r="B4" s="720"/>
      <c r="C4" s="720"/>
      <c r="D4" s="720"/>
      <c r="E4" s="720"/>
      <c r="F4" s="720"/>
      <c r="G4" s="720"/>
      <c r="H4" s="720"/>
      <c r="I4" s="720"/>
      <c r="J4" s="720"/>
      <c r="K4" s="720"/>
      <c r="L4" s="720"/>
      <c r="M4" s="720"/>
      <c r="N4" s="720"/>
      <c r="O4" s="720"/>
      <c r="P4" s="720"/>
      <c r="Q4" s="720"/>
      <c r="R4" s="720"/>
      <c r="S4" s="5"/>
      <c r="T4" s="10"/>
    </row>
    <row r="5" spans="1:20" s="7" customFormat="1" ht="18" customHeight="1">
      <c r="A5" s="721" t="s">
        <v>271</v>
      </c>
      <c r="B5" s="721"/>
      <c r="C5" s="721"/>
      <c r="D5" s="721"/>
      <c r="E5" s="721"/>
      <c r="F5" s="721"/>
      <c r="G5" s="721"/>
      <c r="H5" s="721"/>
      <c r="I5" s="721"/>
      <c r="J5" s="721"/>
      <c r="K5" s="721"/>
      <c r="L5" s="721"/>
      <c r="M5" s="721"/>
      <c r="N5" s="721"/>
      <c r="O5" s="721"/>
      <c r="P5" s="721"/>
      <c r="Q5" s="721"/>
      <c r="R5" s="721"/>
      <c r="S5" s="721"/>
      <c r="T5" s="10"/>
    </row>
    <row r="6" spans="1:20" s="7" customFormat="1" ht="18" customHeight="1">
      <c r="A6" s="139"/>
      <c r="B6" s="142"/>
      <c r="C6" s="142"/>
      <c r="D6" s="141"/>
      <c r="E6" s="140"/>
      <c r="F6" s="9"/>
      <c r="G6" s="9"/>
      <c r="H6" s="9"/>
      <c r="I6" s="140"/>
      <c r="J6" s="9"/>
      <c r="K6" s="9" t="s">
        <v>88</v>
      </c>
      <c r="L6" s="9"/>
      <c r="M6" s="140"/>
      <c r="N6" s="9"/>
      <c r="O6" s="9"/>
      <c r="P6" s="9"/>
      <c r="Q6" s="140"/>
      <c r="R6" s="9"/>
      <c r="S6" s="139"/>
      <c r="T6" s="10"/>
    </row>
    <row r="7" spans="1:20" s="7" customFormat="1" ht="17.100000000000001" customHeight="1">
      <c r="A7" s="144" t="s">
        <v>0</v>
      </c>
      <c r="B7" s="144" t="s">
        <v>1</v>
      </c>
      <c r="C7" s="145" t="s">
        <v>13</v>
      </c>
      <c r="D7" s="722" t="s">
        <v>14</v>
      </c>
      <c r="E7" s="722"/>
      <c r="F7" s="722"/>
      <c r="G7" s="722"/>
      <c r="H7" s="722" t="s">
        <v>15</v>
      </c>
      <c r="I7" s="722"/>
      <c r="J7" s="722"/>
      <c r="K7" s="722"/>
      <c r="L7" s="722" t="s">
        <v>16</v>
      </c>
      <c r="M7" s="722"/>
      <c r="N7" s="722"/>
      <c r="O7" s="722"/>
      <c r="P7" s="722" t="s">
        <v>17</v>
      </c>
      <c r="Q7" s="722"/>
      <c r="R7" s="722"/>
      <c r="S7" s="722"/>
    </row>
    <row r="8" spans="1:20" s="7" customFormat="1" ht="17.100000000000001" customHeight="1">
      <c r="A8" s="206"/>
      <c r="B8" s="146" t="s">
        <v>18</v>
      </c>
      <c r="C8" s="147" t="s">
        <v>19</v>
      </c>
      <c r="D8" s="716" t="s">
        <v>21</v>
      </c>
      <c r="E8" s="716"/>
      <c r="F8" s="716" t="s">
        <v>20</v>
      </c>
      <c r="G8" s="716"/>
      <c r="H8" s="716" t="s">
        <v>21</v>
      </c>
      <c r="I8" s="716"/>
      <c r="J8" s="716" t="s">
        <v>20</v>
      </c>
      <c r="K8" s="716"/>
      <c r="L8" s="716" t="s">
        <v>21</v>
      </c>
      <c r="M8" s="716"/>
      <c r="N8" s="716" t="s">
        <v>20</v>
      </c>
      <c r="O8" s="716"/>
      <c r="P8" s="716" t="s">
        <v>21</v>
      </c>
      <c r="Q8" s="716"/>
      <c r="R8" s="716" t="s">
        <v>20</v>
      </c>
      <c r="S8" s="716"/>
    </row>
    <row r="9" spans="1:20" s="7" customFormat="1" ht="17.100000000000001" customHeight="1">
      <c r="A9" s="148"/>
      <c r="B9" s="149"/>
      <c r="C9" s="150"/>
      <c r="D9" s="151" t="s">
        <v>22</v>
      </c>
      <c r="E9" s="152" t="s">
        <v>7</v>
      </c>
      <c r="F9" s="151" t="s">
        <v>0</v>
      </c>
      <c r="G9" s="151" t="s">
        <v>7</v>
      </c>
      <c r="H9" s="151" t="s">
        <v>0</v>
      </c>
      <c r="I9" s="152" t="s">
        <v>7</v>
      </c>
      <c r="J9" s="151" t="s">
        <v>0</v>
      </c>
      <c r="K9" s="151" t="s">
        <v>7</v>
      </c>
      <c r="L9" s="151" t="s">
        <v>0</v>
      </c>
      <c r="M9" s="152" t="s">
        <v>7</v>
      </c>
      <c r="N9" s="151" t="s">
        <v>0</v>
      </c>
      <c r="O9" s="151" t="s">
        <v>7</v>
      </c>
      <c r="P9" s="151" t="s">
        <v>0</v>
      </c>
      <c r="Q9" s="152" t="s">
        <v>7</v>
      </c>
      <c r="R9" s="151" t="s">
        <v>0</v>
      </c>
      <c r="S9" s="151" t="s">
        <v>7</v>
      </c>
    </row>
    <row r="10" spans="1:20" s="7" customFormat="1" ht="20.100000000000001" customHeight="1">
      <c r="A10" s="269"/>
      <c r="B10" s="143"/>
      <c r="C10" s="153"/>
      <c r="D10" s="29"/>
      <c r="E10" s="114"/>
      <c r="F10" s="28">
        <f>D10/10*100</f>
        <v>0</v>
      </c>
      <c r="G10" s="30"/>
      <c r="H10" s="28"/>
      <c r="I10" s="114"/>
      <c r="J10" s="29">
        <f>H10/10*100</f>
        <v>0</v>
      </c>
      <c r="K10" s="30"/>
      <c r="L10" s="29"/>
      <c r="M10" s="114"/>
      <c r="N10" s="29">
        <f>L10/10*100</f>
        <v>0</v>
      </c>
      <c r="O10" s="30"/>
      <c r="P10" s="29"/>
      <c r="Q10" s="114"/>
      <c r="R10" s="29">
        <f>P10/10*100</f>
        <v>0</v>
      </c>
      <c r="S10" s="30"/>
      <c r="T10" s="27">
        <f t="shared" ref="T10:T15" si="0">S10+O10+K10+G10</f>
        <v>0</v>
      </c>
    </row>
    <row r="11" spans="1:20" s="7" customFormat="1" ht="20.100000000000001" customHeight="1">
      <c r="A11" s="154"/>
      <c r="B11" s="155"/>
      <c r="C11" s="153"/>
      <c r="D11" s="29"/>
      <c r="E11" s="114"/>
      <c r="F11" s="28"/>
      <c r="G11" s="30"/>
      <c r="H11" s="28"/>
      <c r="I11" s="114"/>
      <c r="J11" s="29"/>
      <c r="K11" s="30"/>
      <c r="L11" s="29"/>
      <c r="M11" s="114"/>
      <c r="N11" s="29"/>
      <c r="O11" s="30"/>
      <c r="P11" s="29"/>
      <c r="Q11" s="114"/>
      <c r="R11" s="29"/>
      <c r="S11" s="30"/>
      <c r="T11" s="27">
        <f t="shared" si="0"/>
        <v>0</v>
      </c>
    </row>
    <row r="12" spans="1:20" s="7" customFormat="1" ht="20.100000000000001" customHeight="1">
      <c r="A12" s="156"/>
      <c r="B12" s="157"/>
      <c r="C12" s="158"/>
      <c r="D12" s="26">
        <f>D10+D11</f>
        <v>0</v>
      </c>
      <c r="E12" s="115">
        <f>D12</f>
        <v>0</v>
      </c>
      <c r="F12" s="26">
        <f>(F10+F11)</f>
        <v>0</v>
      </c>
      <c r="G12" s="27">
        <v>0</v>
      </c>
      <c r="H12" s="26">
        <f>H10+H11</f>
        <v>0</v>
      </c>
      <c r="I12" s="115">
        <f>H12</f>
        <v>0</v>
      </c>
      <c r="J12" s="26">
        <f>(J10+J11)</f>
        <v>0</v>
      </c>
      <c r="K12" s="27">
        <v>0</v>
      </c>
      <c r="L12" s="26">
        <f>L10+L11</f>
        <v>0</v>
      </c>
      <c r="M12" s="115">
        <f>L12</f>
        <v>0</v>
      </c>
      <c r="N12" s="26">
        <f>(N10+N11)</f>
        <v>0</v>
      </c>
      <c r="O12" s="27">
        <v>0</v>
      </c>
      <c r="P12" s="26">
        <f>P10+P11</f>
        <v>0</v>
      </c>
      <c r="Q12" s="115">
        <f>P12</f>
        <v>0</v>
      </c>
      <c r="R12" s="26">
        <f>(R10+R11)</f>
        <v>0</v>
      </c>
      <c r="S12" s="27">
        <v>0</v>
      </c>
      <c r="T12" s="27">
        <f t="shared" si="0"/>
        <v>0</v>
      </c>
    </row>
    <row r="13" spans="1:20" s="7" customFormat="1" ht="20.100000000000001" customHeight="1">
      <c r="A13" s="207">
        <v>37989</v>
      </c>
      <c r="B13" s="143" t="s">
        <v>26</v>
      </c>
      <c r="C13" s="426" t="s">
        <v>186</v>
      </c>
      <c r="D13" s="29">
        <f>10.5-H13-L13-P13</f>
        <v>9.1666666666666679</v>
      </c>
      <c r="E13" s="114"/>
      <c r="F13" s="28">
        <f>D13/10*100</f>
        <v>91.666666666666671</v>
      </c>
      <c r="G13" s="30"/>
      <c r="H13" s="28">
        <f>(20+10+10)/60</f>
        <v>0.66666666666666663</v>
      </c>
      <c r="I13" s="114"/>
      <c r="J13" s="29">
        <f>H13/10*100</f>
        <v>6.666666666666667</v>
      </c>
      <c r="K13" s="30"/>
      <c r="L13" s="29">
        <f>40/60</f>
        <v>0.66666666666666663</v>
      </c>
      <c r="M13" s="114"/>
      <c r="N13" s="29">
        <f>L13/10*100</f>
        <v>6.666666666666667</v>
      </c>
      <c r="O13" s="30"/>
      <c r="P13" s="29"/>
      <c r="Q13" s="114"/>
      <c r="R13" s="29">
        <f>P13/10*100</f>
        <v>0</v>
      </c>
      <c r="S13" s="30"/>
      <c r="T13" s="27">
        <f t="shared" si="0"/>
        <v>0</v>
      </c>
    </row>
    <row r="14" spans="1:20" s="7" customFormat="1" ht="20.100000000000001" customHeight="1">
      <c r="A14" s="154"/>
      <c r="B14" s="155" t="s">
        <v>23</v>
      </c>
      <c r="C14" s="426" t="s">
        <v>186</v>
      </c>
      <c r="D14" s="29">
        <f>10-H14-L14-P14</f>
        <v>7.0666666666666664</v>
      </c>
      <c r="E14" s="114"/>
      <c r="F14" s="28">
        <f>D14/10*100</f>
        <v>70.666666666666671</v>
      </c>
      <c r="G14" s="30"/>
      <c r="H14" s="28">
        <f>(41+77+16)/60</f>
        <v>2.2333333333333334</v>
      </c>
      <c r="I14" s="114"/>
      <c r="J14" s="29">
        <f>H14/10*100</f>
        <v>22.333333333333332</v>
      </c>
      <c r="K14" s="30"/>
      <c r="L14" s="29"/>
      <c r="M14" s="114"/>
      <c r="N14" s="29">
        <f>L14/10*100</f>
        <v>0</v>
      </c>
      <c r="O14" s="30"/>
      <c r="P14" s="29">
        <f>42/60</f>
        <v>0.7</v>
      </c>
      <c r="Q14" s="114"/>
      <c r="R14" s="29">
        <f>P14/10*100</f>
        <v>6.9999999999999991</v>
      </c>
      <c r="S14" s="30"/>
      <c r="T14" s="27">
        <f t="shared" si="0"/>
        <v>0</v>
      </c>
    </row>
    <row r="15" spans="1:20" s="7" customFormat="1" ht="20.100000000000001" customHeight="1">
      <c r="A15" s="156"/>
      <c r="B15" s="157"/>
      <c r="C15" s="158"/>
      <c r="D15" s="26">
        <f>D13+D14</f>
        <v>16.233333333333334</v>
      </c>
      <c r="E15" s="115">
        <f>D15+E12</f>
        <v>16.233333333333334</v>
      </c>
      <c r="F15" s="26">
        <f>(F13+F14)/2</f>
        <v>81.166666666666671</v>
      </c>
      <c r="G15" s="27">
        <f>E15/20.5*100</f>
        <v>79.1869918699187</v>
      </c>
      <c r="H15" s="26">
        <f>H13+H14</f>
        <v>2.9</v>
      </c>
      <c r="I15" s="115">
        <f>H15+I12</f>
        <v>2.9</v>
      </c>
      <c r="J15" s="26">
        <f>(J13+J14)/2</f>
        <v>14.5</v>
      </c>
      <c r="K15" s="27">
        <f>I15/20.5*100</f>
        <v>14.146341463414632</v>
      </c>
      <c r="L15" s="26">
        <f>L13+L14</f>
        <v>0.66666666666666663</v>
      </c>
      <c r="M15" s="115">
        <f>L15+M12</f>
        <v>0.66666666666666663</v>
      </c>
      <c r="N15" s="26">
        <f>(N13+N14)/2</f>
        <v>3.3333333333333335</v>
      </c>
      <c r="O15" s="27">
        <f>M15/20.5*100</f>
        <v>3.2520325203252027</v>
      </c>
      <c r="P15" s="26">
        <f>P13+P14</f>
        <v>0.7</v>
      </c>
      <c r="Q15" s="115">
        <f>P15+Q12</f>
        <v>0.7</v>
      </c>
      <c r="R15" s="26">
        <f>(R13+R14)/2</f>
        <v>3.4999999999999996</v>
      </c>
      <c r="S15" s="27">
        <f>Q15/20.5*100</f>
        <v>3.4146341463414629</v>
      </c>
      <c r="T15" s="27">
        <f t="shared" si="0"/>
        <v>100</v>
      </c>
    </row>
    <row r="16" spans="1:20" s="7" customFormat="1" ht="20.100000000000001" customHeight="1">
      <c r="A16" s="207">
        <v>38020</v>
      </c>
      <c r="B16" s="143" t="s">
        <v>26</v>
      </c>
      <c r="C16" s="426" t="s">
        <v>186</v>
      </c>
      <c r="D16" s="29">
        <f>10-H16-L16-P16</f>
        <v>7.1666666666666661</v>
      </c>
      <c r="E16" s="114"/>
      <c r="F16" s="28">
        <f>D16/10*100</f>
        <v>71.666666666666657</v>
      </c>
      <c r="G16" s="30"/>
      <c r="H16" s="28">
        <f>(25+10+15)/60</f>
        <v>0.83333333333333337</v>
      </c>
      <c r="I16" s="114"/>
      <c r="J16" s="29">
        <f>H16/10*100</f>
        <v>8.3333333333333339</v>
      </c>
      <c r="K16" s="30"/>
      <c r="L16" s="29">
        <f>120/60</f>
        <v>2</v>
      </c>
      <c r="M16" s="114"/>
      <c r="N16" s="29">
        <f>L16/10*100</f>
        <v>20</v>
      </c>
      <c r="O16" s="30"/>
      <c r="P16" s="29"/>
      <c r="Q16" s="114"/>
      <c r="R16" s="29">
        <f>P16/10*100</f>
        <v>0</v>
      </c>
      <c r="S16" s="30"/>
      <c r="T16" s="27">
        <f t="shared" ref="T16:T21" si="1">S16+O16+K16+G16</f>
        <v>0</v>
      </c>
    </row>
    <row r="17" spans="1:20" s="7" customFormat="1" ht="20.100000000000001" customHeight="1">
      <c r="A17" s="154"/>
      <c r="B17" s="155" t="s">
        <v>23</v>
      </c>
      <c r="C17" s="433" t="s">
        <v>205</v>
      </c>
      <c r="D17" s="29">
        <f>10-H17-L17-P17</f>
        <v>7.9533333333333331</v>
      </c>
      <c r="E17" s="114"/>
      <c r="F17" s="28">
        <f>D17/10*100</f>
        <v>79.533333333333331</v>
      </c>
      <c r="G17" s="30"/>
      <c r="H17" s="28">
        <v>1.58</v>
      </c>
      <c r="I17" s="114"/>
      <c r="J17" s="29">
        <f>H17/10*100</f>
        <v>15.8</v>
      </c>
      <c r="K17" s="30"/>
      <c r="L17" s="29"/>
      <c r="M17" s="114"/>
      <c r="N17" s="29">
        <f>L17/10*100</f>
        <v>0</v>
      </c>
      <c r="O17" s="30"/>
      <c r="P17" s="29">
        <f>28/60</f>
        <v>0.46666666666666667</v>
      </c>
      <c r="Q17" s="114"/>
      <c r="R17" s="29">
        <f>P17/10*100</f>
        <v>4.666666666666667</v>
      </c>
      <c r="S17" s="30"/>
      <c r="T17" s="27">
        <f t="shared" si="1"/>
        <v>0</v>
      </c>
    </row>
    <row r="18" spans="1:20" s="7" customFormat="1" ht="20.100000000000001" customHeight="1">
      <c r="A18" s="156"/>
      <c r="B18" s="157"/>
      <c r="C18" s="158"/>
      <c r="D18" s="26">
        <f>D16+D17</f>
        <v>15.12</v>
      </c>
      <c r="E18" s="115">
        <f>D18+E15</f>
        <v>31.353333333333332</v>
      </c>
      <c r="F18" s="26">
        <f>(F16+F17)/2</f>
        <v>75.599999999999994</v>
      </c>
      <c r="G18" s="27">
        <f>E18/40.5*100</f>
        <v>77.415637860082299</v>
      </c>
      <c r="H18" s="26">
        <f>H16+H17</f>
        <v>2.4133333333333336</v>
      </c>
      <c r="I18" s="115">
        <f>H18+I15</f>
        <v>5.3133333333333335</v>
      </c>
      <c r="J18" s="26">
        <f>(J16+J17)/2</f>
        <v>12.066666666666666</v>
      </c>
      <c r="K18" s="27">
        <f>I18/40.5*100</f>
        <v>13.119341563786008</v>
      </c>
      <c r="L18" s="26">
        <f>L16+L17</f>
        <v>2</v>
      </c>
      <c r="M18" s="115">
        <f>L18+M15</f>
        <v>2.6666666666666665</v>
      </c>
      <c r="N18" s="26">
        <f>(N16+N17)/2</f>
        <v>10</v>
      </c>
      <c r="O18" s="27">
        <f>M18/40.5*100</f>
        <v>6.5843621399176948</v>
      </c>
      <c r="P18" s="26">
        <f>P16+P17</f>
        <v>0.46666666666666667</v>
      </c>
      <c r="Q18" s="115">
        <f>P18+Q15</f>
        <v>1.1666666666666665</v>
      </c>
      <c r="R18" s="26">
        <f>(R16+R17)/2</f>
        <v>2.3333333333333335</v>
      </c>
      <c r="S18" s="27">
        <f>Q18/40.5*100</f>
        <v>2.8806584362139915</v>
      </c>
      <c r="T18" s="27">
        <f t="shared" si="1"/>
        <v>100</v>
      </c>
    </row>
    <row r="19" spans="1:20" s="7" customFormat="1" ht="20.100000000000001" customHeight="1">
      <c r="A19" s="207">
        <v>38049</v>
      </c>
      <c r="B19" s="143" t="s">
        <v>170</v>
      </c>
      <c r="C19" s="433" t="s">
        <v>205</v>
      </c>
      <c r="D19" s="29">
        <f>10-H19-L19-P19</f>
        <v>8.7166666666666668</v>
      </c>
      <c r="E19" s="114"/>
      <c r="F19" s="28">
        <f>D19/10*100</f>
        <v>87.166666666666671</v>
      </c>
      <c r="G19" s="30"/>
      <c r="H19" s="28">
        <f>(7+2+8+2+10+6+20)/60</f>
        <v>0.91666666666666663</v>
      </c>
      <c r="I19" s="114"/>
      <c r="J19" s="29">
        <f>H19/10*100</f>
        <v>9.1666666666666661</v>
      </c>
      <c r="K19" s="30"/>
      <c r="L19" s="29"/>
      <c r="M19" s="114"/>
      <c r="N19" s="29">
        <f>L19/10*100</f>
        <v>0</v>
      </c>
      <c r="O19" s="30"/>
      <c r="P19" s="29">
        <f>(14+8)/60</f>
        <v>0.36666666666666664</v>
      </c>
      <c r="Q19" s="114"/>
      <c r="R19" s="29">
        <f>P19/10*100</f>
        <v>3.6666666666666665</v>
      </c>
      <c r="S19" s="30"/>
      <c r="T19" s="27">
        <f t="shared" si="1"/>
        <v>0</v>
      </c>
    </row>
    <row r="20" spans="1:20" s="7" customFormat="1" ht="20.100000000000001" customHeight="1">
      <c r="A20" s="154"/>
      <c r="B20" s="155" t="s">
        <v>26</v>
      </c>
      <c r="C20" s="433" t="s">
        <v>205</v>
      </c>
      <c r="D20" s="29">
        <f>10-H20-L20-P20</f>
        <v>8.4166666666666679</v>
      </c>
      <c r="E20" s="114"/>
      <c r="F20" s="28">
        <f>D20/10*100</f>
        <v>84.166666666666686</v>
      </c>
      <c r="G20" s="30"/>
      <c r="H20" s="28">
        <f>(45+15+10)/60</f>
        <v>1.1666666666666667</v>
      </c>
      <c r="I20" s="114"/>
      <c r="J20" s="29">
        <f>H20/10*100</f>
        <v>11.666666666666666</v>
      </c>
      <c r="K20" s="30"/>
      <c r="L20" s="29">
        <f>25/60</f>
        <v>0.41666666666666669</v>
      </c>
      <c r="M20" s="114"/>
      <c r="N20" s="29">
        <f>L20/10*100</f>
        <v>4.166666666666667</v>
      </c>
      <c r="O20" s="30"/>
      <c r="P20" s="29"/>
      <c r="Q20" s="114"/>
      <c r="R20" s="29">
        <f>P20/10*100</f>
        <v>0</v>
      </c>
      <c r="S20" s="30"/>
      <c r="T20" s="27">
        <f t="shared" si="1"/>
        <v>0</v>
      </c>
    </row>
    <row r="21" spans="1:20" s="7" customFormat="1" ht="20.100000000000001" customHeight="1">
      <c r="A21" s="156"/>
      <c r="B21" s="157"/>
      <c r="C21" s="158"/>
      <c r="D21" s="26">
        <f>D19+D20</f>
        <v>17.133333333333333</v>
      </c>
      <c r="E21" s="115">
        <f>D21+E18</f>
        <v>48.486666666666665</v>
      </c>
      <c r="F21" s="26">
        <f>(F19+F20)/2</f>
        <v>85.666666666666686</v>
      </c>
      <c r="G21" s="27">
        <f>E21/60.5*100</f>
        <v>80.143250688705223</v>
      </c>
      <c r="H21" s="26">
        <f>H19+H20</f>
        <v>2.0833333333333335</v>
      </c>
      <c r="I21" s="115">
        <f>H21+I18</f>
        <v>7.3966666666666665</v>
      </c>
      <c r="J21" s="26">
        <f>(J19+J20)/2</f>
        <v>10.416666666666666</v>
      </c>
      <c r="K21" s="27">
        <f>I21/60.5*100</f>
        <v>12.225895316804406</v>
      </c>
      <c r="L21" s="26">
        <f>L19+L20</f>
        <v>0.41666666666666669</v>
      </c>
      <c r="M21" s="115">
        <f>L21+M18</f>
        <v>3.083333333333333</v>
      </c>
      <c r="N21" s="26">
        <f>(N19+N20)/2</f>
        <v>2.0833333333333335</v>
      </c>
      <c r="O21" s="27">
        <f>M21/60.5*100</f>
        <v>5.0964187327823689</v>
      </c>
      <c r="P21" s="26">
        <f>P19+P20</f>
        <v>0.36666666666666664</v>
      </c>
      <c r="Q21" s="115">
        <f>P21+Q18</f>
        <v>1.5333333333333332</v>
      </c>
      <c r="R21" s="26">
        <f>(R19+R20)/2</f>
        <v>1.8333333333333333</v>
      </c>
      <c r="S21" s="27">
        <f>Q21/60.5*100</f>
        <v>2.5344352617079888</v>
      </c>
      <c r="T21" s="27">
        <f t="shared" si="1"/>
        <v>99.999999999999986</v>
      </c>
    </row>
    <row r="22" spans="1:20" s="7" customFormat="1" ht="20.100000000000001" customHeight="1">
      <c r="A22" s="207">
        <v>38080</v>
      </c>
      <c r="B22" s="143" t="s">
        <v>170</v>
      </c>
      <c r="C22" s="433" t="s">
        <v>205</v>
      </c>
      <c r="D22" s="29">
        <f>10-H22-L22-P22</f>
        <v>8.7666666666666675</v>
      </c>
      <c r="E22" s="114"/>
      <c r="F22" s="28">
        <f>D22/10*100</f>
        <v>87.666666666666671</v>
      </c>
      <c r="G22" s="30"/>
      <c r="H22" s="28">
        <f>(32+10)/60</f>
        <v>0.7</v>
      </c>
      <c r="I22" s="114"/>
      <c r="J22" s="29">
        <f>H22/10*100</f>
        <v>6.9999999999999991</v>
      </c>
      <c r="K22" s="30"/>
      <c r="L22" s="29"/>
      <c r="M22" s="114"/>
      <c r="N22" s="29">
        <f>L22/10*100</f>
        <v>0</v>
      </c>
      <c r="O22" s="30"/>
      <c r="P22" s="29">
        <f>(24+8)/60</f>
        <v>0.53333333333333333</v>
      </c>
      <c r="Q22" s="114"/>
      <c r="R22" s="29">
        <f>P22/10*100</f>
        <v>5.333333333333333</v>
      </c>
      <c r="S22" s="30"/>
      <c r="T22" s="27">
        <f t="shared" ref="T22:T27" si="2">S22+O22+K22+G22</f>
        <v>0</v>
      </c>
    </row>
    <row r="23" spans="1:20" s="7" customFormat="1" ht="20.100000000000001" customHeight="1">
      <c r="A23" s="154"/>
      <c r="B23" s="155" t="s">
        <v>26</v>
      </c>
      <c r="C23" s="433" t="s">
        <v>37</v>
      </c>
      <c r="D23" s="29">
        <f>10-H23-L23-P23</f>
        <v>8.6666666666666661</v>
      </c>
      <c r="E23" s="114"/>
      <c r="F23" s="28">
        <f>D23/10*100</f>
        <v>86.666666666666657</v>
      </c>
      <c r="G23" s="30"/>
      <c r="H23" s="28">
        <f>(25+20+20+15)/60</f>
        <v>1.3333333333333333</v>
      </c>
      <c r="I23" s="114"/>
      <c r="J23" s="29">
        <f>H23/10*100</f>
        <v>13.333333333333334</v>
      </c>
      <c r="K23" s="30"/>
      <c r="L23" s="29"/>
      <c r="M23" s="114"/>
      <c r="N23" s="29">
        <f>L23/10*100</f>
        <v>0</v>
      </c>
      <c r="O23" s="30"/>
      <c r="P23" s="29"/>
      <c r="Q23" s="114"/>
      <c r="R23" s="29">
        <f>P23/10*100</f>
        <v>0</v>
      </c>
      <c r="S23" s="30"/>
      <c r="T23" s="27">
        <f t="shared" si="2"/>
        <v>0</v>
      </c>
    </row>
    <row r="24" spans="1:20" s="7" customFormat="1" ht="20.100000000000001" customHeight="1">
      <c r="A24" s="156"/>
      <c r="B24" s="157"/>
      <c r="C24" s="158"/>
      <c r="D24" s="26">
        <f>D22+D23</f>
        <v>17.433333333333334</v>
      </c>
      <c r="E24" s="115">
        <f>D24+E21</f>
        <v>65.92</v>
      </c>
      <c r="F24" s="26">
        <f>(F22+F23)/2</f>
        <v>87.166666666666657</v>
      </c>
      <c r="G24" s="27">
        <f>E24/80.5*100</f>
        <v>81.888198757763973</v>
      </c>
      <c r="H24" s="26">
        <f>H22+H23</f>
        <v>2.0333333333333332</v>
      </c>
      <c r="I24" s="115">
        <f>H24+I21</f>
        <v>9.43</v>
      </c>
      <c r="J24" s="26">
        <f>(J22+J23)/2</f>
        <v>10.166666666666666</v>
      </c>
      <c r="K24" s="27">
        <f>I24/80.5*100</f>
        <v>11.714285714285715</v>
      </c>
      <c r="L24" s="26">
        <f>L22+L23</f>
        <v>0</v>
      </c>
      <c r="M24" s="115">
        <f>L24+M21</f>
        <v>3.083333333333333</v>
      </c>
      <c r="N24" s="26">
        <f>(N22+N23)/2</f>
        <v>0</v>
      </c>
      <c r="O24" s="27">
        <f>M24/80.5*100</f>
        <v>3.8302277432712208</v>
      </c>
      <c r="P24" s="26">
        <f>P22+P23</f>
        <v>0.53333333333333333</v>
      </c>
      <c r="Q24" s="115">
        <f>P24+Q21</f>
        <v>2.0666666666666664</v>
      </c>
      <c r="R24" s="26">
        <f>(R22+R23)/2</f>
        <v>2.6666666666666665</v>
      </c>
      <c r="S24" s="27">
        <f>Q24/80.5*100</f>
        <v>2.5672877846790887</v>
      </c>
      <c r="T24" s="27">
        <f t="shared" si="2"/>
        <v>100</v>
      </c>
    </row>
    <row r="25" spans="1:20" s="7" customFormat="1" ht="20.100000000000001" customHeight="1">
      <c r="A25" s="207">
        <v>38110</v>
      </c>
      <c r="B25" s="143" t="s">
        <v>23</v>
      </c>
      <c r="C25" s="433" t="s">
        <v>37</v>
      </c>
      <c r="D25" s="29">
        <f>10-H25-L25-P25</f>
        <v>9.4666666666666668</v>
      </c>
      <c r="E25" s="114"/>
      <c r="F25" s="28">
        <f>D25/10*100</f>
        <v>94.666666666666671</v>
      </c>
      <c r="G25" s="30"/>
      <c r="H25" s="28">
        <f>(13+6+4)/60</f>
        <v>0.38333333333333336</v>
      </c>
      <c r="I25" s="114"/>
      <c r="J25" s="29">
        <f>H25/10*100</f>
        <v>3.8333333333333339</v>
      </c>
      <c r="K25" s="30"/>
      <c r="L25" s="29"/>
      <c r="M25" s="114"/>
      <c r="N25" s="29">
        <f>L25/10*100</f>
        <v>0</v>
      </c>
      <c r="O25" s="30"/>
      <c r="P25" s="29">
        <f>9/60</f>
        <v>0.15</v>
      </c>
      <c r="Q25" s="114"/>
      <c r="R25" s="29">
        <f>P25/10*100</f>
        <v>1.5</v>
      </c>
      <c r="S25" s="30"/>
      <c r="T25" s="27">
        <f t="shared" si="2"/>
        <v>0</v>
      </c>
    </row>
    <row r="26" spans="1:20" s="7" customFormat="1" ht="20.100000000000001" customHeight="1">
      <c r="A26" s="154"/>
      <c r="B26" s="155" t="s">
        <v>170</v>
      </c>
      <c r="C26" s="433" t="s">
        <v>47</v>
      </c>
      <c r="D26" s="29">
        <f>10-H26-L26-P26</f>
        <v>8.0333333333333332</v>
      </c>
      <c r="E26" s="114"/>
      <c r="F26" s="28">
        <f>D26/10*100</f>
        <v>80.333333333333329</v>
      </c>
      <c r="G26" s="30"/>
      <c r="H26" s="28">
        <f>(30+30+18+12+6+17+5)/60</f>
        <v>1.9666666666666666</v>
      </c>
      <c r="I26" s="114"/>
      <c r="J26" s="29">
        <f>H26/10*100</f>
        <v>19.666666666666664</v>
      </c>
      <c r="K26" s="30"/>
      <c r="L26" s="29"/>
      <c r="M26" s="114"/>
      <c r="N26" s="29">
        <f>L26/10*100</f>
        <v>0</v>
      </c>
      <c r="O26" s="30"/>
      <c r="P26" s="29"/>
      <c r="Q26" s="114"/>
      <c r="R26" s="29">
        <f>P26/10*100</f>
        <v>0</v>
      </c>
      <c r="S26" s="30"/>
      <c r="T26" s="27">
        <f t="shared" si="2"/>
        <v>0</v>
      </c>
    </row>
    <row r="27" spans="1:20" s="7" customFormat="1" ht="20.100000000000001" customHeight="1">
      <c r="A27" s="156"/>
      <c r="B27" s="157"/>
      <c r="C27" s="158"/>
      <c r="D27" s="26">
        <f>D25+D26</f>
        <v>17.5</v>
      </c>
      <c r="E27" s="115">
        <f>D27+E24</f>
        <v>83.42</v>
      </c>
      <c r="F27" s="26">
        <f>(F25+F26)/2</f>
        <v>87.5</v>
      </c>
      <c r="G27" s="27">
        <f>E27/100.5*100</f>
        <v>83.004975124378106</v>
      </c>
      <c r="H27" s="26">
        <f>H25+H26</f>
        <v>2.35</v>
      </c>
      <c r="I27" s="115">
        <f>H27+I24</f>
        <v>11.78</v>
      </c>
      <c r="J27" s="26">
        <f>(J25+J26)/2</f>
        <v>11.75</v>
      </c>
      <c r="K27" s="27">
        <f>I27/100.5*100</f>
        <v>11.721393034825869</v>
      </c>
      <c r="L27" s="26">
        <f>L25+L26</f>
        <v>0</v>
      </c>
      <c r="M27" s="115">
        <f>L27+M24</f>
        <v>3.083333333333333</v>
      </c>
      <c r="N27" s="26">
        <f>(N25+N26)/2</f>
        <v>0</v>
      </c>
      <c r="O27" s="27">
        <f>M27/100.5*100</f>
        <v>3.0679933665008288</v>
      </c>
      <c r="P27" s="26">
        <f>P25+P26</f>
        <v>0.15</v>
      </c>
      <c r="Q27" s="115">
        <f>P27+Q24</f>
        <v>2.2166666666666663</v>
      </c>
      <c r="R27" s="26">
        <f>(R25+R26)/2</f>
        <v>0.75</v>
      </c>
      <c r="S27" s="27">
        <f>Q27/100.5*100</f>
        <v>2.2056384742951902</v>
      </c>
      <c r="T27" s="27">
        <f t="shared" si="2"/>
        <v>100</v>
      </c>
    </row>
    <row r="28" spans="1:20" s="7" customFormat="1" ht="20.100000000000001" customHeight="1">
      <c r="A28" s="207">
        <v>38141</v>
      </c>
      <c r="B28" s="143" t="s">
        <v>23</v>
      </c>
      <c r="C28" s="433" t="s">
        <v>47</v>
      </c>
      <c r="D28" s="29">
        <f>10-H28-L28-P28</f>
        <v>8.3333333333333339</v>
      </c>
      <c r="E28" s="114"/>
      <c r="F28" s="28">
        <f>D28/10*100</f>
        <v>83.333333333333343</v>
      </c>
      <c r="G28" s="30"/>
      <c r="H28" s="28">
        <f>(17+26)/60</f>
        <v>0.71666666666666667</v>
      </c>
      <c r="I28" s="114"/>
      <c r="J28" s="29">
        <f>H28/10*100</f>
        <v>7.166666666666667</v>
      </c>
      <c r="K28" s="30"/>
      <c r="L28" s="29"/>
      <c r="M28" s="114"/>
      <c r="N28" s="29">
        <f>L28/10*100</f>
        <v>0</v>
      </c>
      <c r="O28" s="30"/>
      <c r="P28" s="29">
        <f>(48+9)/60</f>
        <v>0.95</v>
      </c>
      <c r="Q28" s="114"/>
      <c r="R28" s="29">
        <f>P28/10*100</f>
        <v>9.5</v>
      </c>
      <c r="S28" s="30"/>
      <c r="T28" s="27">
        <f t="shared" ref="T28:T33" si="3">S28+O28+K28+G28</f>
        <v>0</v>
      </c>
    </row>
    <row r="29" spans="1:20" s="7" customFormat="1" ht="20.100000000000001" customHeight="1">
      <c r="A29" s="154"/>
      <c r="B29" s="155" t="s">
        <v>170</v>
      </c>
      <c r="C29" s="433" t="s">
        <v>215</v>
      </c>
      <c r="D29" s="29">
        <f>10-H29-L29-P29</f>
        <v>8.3166666666666664</v>
      </c>
      <c r="E29" s="114"/>
      <c r="F29" s="28">
        <f>D29/10*100</f>
        <v>83.166666666666671</v>
      </c>
      <c r="G29" s="30"/>
      <c r="H29" s="28">
        <f>(28+22+30)/60</f>
        <v>1.3333333333333333</v>
      </c>
      <c r="I29" s="114"/>
      <c r="J29" s="29">
        <f>H29/10*100</f>
        <v>13.333333333333334</v>
      </c>
      <c r="K29" s="30"/>
      <c r="L29" s="29">
        <f>21/60</f>
        <v>0.35</v>
      </c>
      <c r="M29" s="114"/>
      <c r="N29" s="29">
        <f>L29/10*100</f>
        <v>3.4999999999999996</v>
      </c>
      <c r="O29" s="30"/>
      <c r="P29" s="29"/>
      <c r="Q29" s="114"/>
      <c r="R29" s="29">
        <f>P29/10*100</f>
        <v>0</v>
      </c>
      <c r="S29" s="30"/>
      <c r="T29" s="27">
        <f t="shared" si="3"/>
        <v>0</v>
      </c>
    </row>
    <row r="30" spans="1:20" s="7" customFormat="1" ht="20.100000000000001" customHeight="1">
      <c r="A30" s="156"/>
      <c r="B30" s="157"/>
      <c r="C30" s="158"/>
      <c r="D30" s="26">
        <f>D28+D29</f>
        <v>16.649999999999999</v>
      </c>
      <c r="E30" s="115">
        <f>D30+E27</f>
        <v>100.07</v>
      </c>
      <c r="F30" s="26">
        <f>(F28+F29)/2</f>
        <v>83.25</v>
      </c>
      <c r="G30" s="27">
        <f>E30/120.5*100</f>
        <v>83.045643153526953</v>
      </c>
      <c r="H30" s="26">
        <f>H28+H29</f>
        <v>2.0499999999999998</v>
      </c>
      <c r="I30" s="115">
        <f>H30+I27</f>
        <v>13.829999999999998</v>
      </c>
      <c r="J30" s="26">
        <f>(J28+J29)/2</f>
        <v>10.25</v>
      </c>
      <c r="K30" s="27">
        <f>I30/120.5*100</f>
        <v>11.477178423236513</v>
      </c>
      <c r="L30" s="26">
        <f>L28+L29</f>
        <v>0.35</v>
      </c>
      <c r="M30" s="115">
        <f>L30+M27</f>
        <v>3.4333333333333331</v>
      </c>
      <c r="N30" s="26">
        <f>(N28+N29)/2</f>
        <v>1.7499999999999998</v>
      </c>
      <c r="O30" s="27">
        <f>M30/120.5*100</f>
        <v>2.8492392807745506</v>
      </c>
      <c r="P30" s="26">
        <f>P28+P29</f>
        <v>0.95</v>
      </c>
      <c r="Q30" s="115">
        <f>P30+Q27</f>
        <v>3.1666666666666661</v>
      </c>
      <c r="R30" s="26">
        <f>(R28+R29)/2</f>
        <v>4.75</v>
      </c>
      <c r="S30" s="27">
        <f>Q30/120.5*100</f>
        <v>2.6279391424619636</v>
      </c>
      <c r="T30" s="27">
        <f t="shared" si="3"/>
        <v>99.999999999999972</v>
      </c>
    </row>
    <row r="31" spans="1:20" s="7" customFormat="1" ht="20.100000000000001" customHeight="1">
      <c r="A31" s="207">
        <v>38171</v>
      </c>
      <c r="B31" s="143" t="s">
        <v>26</v>
      </c>
      <c r="C31" s="433" t="s">
        <v>215</v>
      </c>
      <c r="D31" s="29">
        <f>10-H31-L31-P31</f>
        <v>9.0833333333333339</v>
      </c>
      <c r="E31" s="114"/>
      <c r="F31" s="28">
        <f>D31/10*100</f>
        <v>90.833333333333343</v>
      </c>
      <c r="G31" s="30"/>
      <c r="H31" s="28">
        <f>(15+10+20+10)/60</f>
        <v>0.91666666666666663</v>
      </c>
      <c r="I31" s="114"/>
      <c r="J31" s="29">
        <f>H31/10*100</f>
        <v>9.1666666666666661</v>
      </c>
      <c r="K31" s="30"/>
      <c r="L31" s="29"/>
      <c r="M31" s="114"/>
      <c r="N31" s="29">
        <f>L31/10*100</f>
        <v>0</v>
      </c>
      <c r="O31" s="30"/>
      <c r="P31" s="29"/>
      <c r="Q31" s="114"/>
      <c r="R31" s="29">
        <f>P31/10*100</f>
        <v>0</v>
      </c>
      <c r="S31" s="30"/>
      <c r="T31" s="27">
        <f t="shared" si="3"/>
        <v>0</v>
      </c>
    </row>
    <row r="32" spans="1:20" s="7" customFormat="1" ht="20.100000000000001" customHeight="1">
      <c r="A32" s="154"/>
      <c r="B32" s="155" t="s">
        <v>23</v>
      </c>
      <c r="C32" s="433" t="s">
        <v>215</v>
      </c>
      <c r="D32" s="29">
        <f>10-H32-L32-P32</f>
        <v>9.5</v>
      </c>
      <c r="E32" s="114"/>
      <c r="F32" s="28">
        <f>D32/10*100</f>
        <v>95</v>
      </c>
      <c r="G32" s="30"/>
      <c r="H32" s="28">
        <f>(6+24)/60</f>
        <v>0.5</v>
      </c>
      <c r="I32" s="114"/>
      <c r="J32" s="29">
        <f>H32/10*100</f>
        <v>5</v>
      </c>
      <c r="K32" s="30"/>
      <c r="L32" s="29"/>
      <c r="M32" s="114"/>
      <c r="N32" s="29">
        <f>L32/10*100</f>
        <v>0</v>
      </c>
      <c r="O32" s="30"/>
      <c r="P32" s="29"/>
      <c r="Q32" s="114"/>
      <c r="R32" s="29">
        <f>P32/10*100</f>
        <v>0</v>
      </c>
      <c r="S32" s="30"/>
      <c r="T32" s="27">
        <f t="shared" si="3"/>
        <v>0</v>
      </c>
    </row>
    <row r="33" spans="1:20" s="7" customFormat="1" ht="20.100000000000001" customHeight="1">
      <c r="A33" s="156"/>
      <c r="B33" s="157"/>
      <c r="C33" s="158"/>
      <c r="D33" s="26">
        <f>D31+D32</f>
        <v>18.583333333333336</v>
      </c>
      <c r="E33" s="115">
        <f>D33+E30</f>
        <v>118.65333333333334</v>
      </c>
      <c r="F33" s="26">
        <f>(F31+F32)/2</f>
        <v>92.916666666666671</v>
      </c>
      <c r="G33" s="27">
        <f>E33/140.5*100</f>
        <v>84.450771055753265</v>
      </c>
      <c r="H33" s="26">
        <f>H31+H32</f>
        <v>1.4166666666666665</v>
      </c>
      <c r="I33" s="115">
        <f>H33+I30</f>
        <v>15.246666666666664</v>
      </c>
      <c r="J33" s="26">
        <f>(J31+J32)/2</f>
        <v>7.083333333333333</v>
      </c>
      <c r="K33" s="27">
        <f>I33/140.5*100</f>
        <v>10.851720047449582</v>
      </c>
      <c r="L33" s="26">
        <f>L31+L32</f>
        <v>0</v>
      </c>
      <c r="M33" s="115">
        <f>L33+M30</f>
        <v>3.4333333333333331</v>
      </c>
      <c r="N33" s="26">
        <f>(N31+N32)/2</f>
        <v>0</v>
      </c>
      <c r="O33" s="27">
        <f>M33/140.5*100</f>
        <v>2.4436536180308419</v>
      </c>
      <c r="P33" s="26">
        <f>P31+P32</f>
        <v>0</v>
      </c>
      <c r="Q33" s="115">
        <f>P33+Q30</f>
        <v>3.1666666666666661</v>
      </c>
      <c r="R33" s="26">
        <f>(R31+R32)/2</f>
        <v>0</v>
      </c>
      <c r="S33" s="27">
        <f>Q33/140.5*100</f>
        <v>2.2538552787663106</v>
      </c>
      <c r="T33" s="27">
        <f t="shared" si="3"/>
        <v>100</v>
      </c>
    </row>
    <row r="34" spans="1:20" s="7" customFormat="1" ht="20.100000000000001" customHeight="1">
      <c r="A34" s="207">
        <v>38202</v>
      </c>
      <c r="B34" s="143" t="s">
        <v>26</v>
      </c>
      <c r="C34" s="433" t="s">
        <v>215</v>
      </c>
      <c r="D34" s="29">
        <f>10-H34-L34-P34</f>
        <v>9.1666666666666661</v>
      </c>
      <c r="E34" s="114"/>
      <c r="F34" s="28">
        <f>D34/10*100</f>
        <v>91.666666666666657</v>
      </c>
      <c r="G34" s="30"/>
      <c r="H34" s="28">
        <f>(30+10+10)/60</f>
        <v>0.83333333333333337</v>
      </c>
      <c r="I34" s="114"/>
      <c r="J34" s="29">
        <f>H34/10*100</f>
        <v>8.3333333333333339</v>
      </c>
      <c r="K34" s="30"/>
      <c r="L34" s="29"/>
      <c r="M34" s="114"/>
      <c r="N34" s="29">
        <f>L34/10*100</f>
        <v>0</v>
      </c>
      <c r="O34" s="30"/>
      <c r="P34" s="29"/>
      <c r="Q34" s="114"/>
      <c r="R34" s="29">
        <f>P34/10*100</f>
        <v>0</v>
      </c>
      <c r="S34" s="30"/>
      <c r="T34" s="27">
        <f t="shared" ref="T34:T39" si="4">S34+O34+K34+G34</f>
        <v>0</v>
      </c>
    </row>
    <row r="35" spans="1:20" s="7" customFormat="1" ht="20.100000000000001" customHeight="1">
      <c r="A35" s="154"/>
      <c r="B35" s="155" t="s">
        <v>23</v>
      </c>
      <c r="C35" s="433" t="s">
        <v>216</v>
      </c>
      <c r="D35" s="29">
        <f>10-H35-L35-P35</f>
        <v>6.2333333333333334</v>
      </c>
      <c r="E35" s="114"/>
      <c r="F35" s="28">
        <f>D35/10*100</f>
        <v>62.333333333333329</v>
      </c>
      <c r="G35" s="30"/>
      <c r="H35" s="28">
        <f>(18+11+9+7+38+2+52)/60</f>
        <v>2.2833333333333332</v>
      </c>
      <c r="I35" s="114"/>
      <c r="J35" s="29">
        <f>H35/10*100</f>
        <v>22.833333333333332</v>
      </c>
      <c r="K35" s="30"/>
      <c r="L35" s="29"/>
      <c r="M35" s="114"/>
      <c r="N35" s="29">
        <f>L35/10*100</f>
        <v>0</v>
      </c>
      <c r="O35" s="30"/>
      <c r="P35" s="29">
        <f>(30+59)/60</f>
        <v>1.4833333333333334</v>
      </c>
      <c r="Q35" s="114"/>
      <c r="R35" s="29">
        <f>P35/10*100</f>
        <v>14.833333333333334</v>
      </c>
      <c r="S35" s="30"/>
      <c r="T35" s="27">
        <f t="shared" si="4"/>
        <v>0</v>
      </c>
    </row>
    <row r="36" spans="1:20" s="7" customFormat="1" ht="20.100000000000001" customHeight="1">
      <c r="A36" s="156"/>
      <c r="B36" s="157"/>
      <c r="C36" s="158"/>
      <c r="D36" s="26">
        <f>D34+D35</f>
        <v>15.399999999999999</v>
      </c>
      <c r="E36" s="115">
        <f>D36+E33</f>
        <v>134.05333333333334</v>
      </c>
      <c r="F36" s="26">
        <f>(F34+F35)/2</f>
        <v>77</v>
      </c>
      <c r="G36" s="27">
        <f>E36/160.5*100</f>
        <v>83.522326064382142</v>
      </c>
      <c r="H36" s="26">
        <f>H34+H35</f>
        <v>3.1166666666666667</v>
      </c>
      <c r="I36" s="115">
        <f>H36+I33</f>
        <v>18.36333333333333</v>
      </c>
      <c r="J36" s="26">
        <f>(J34+J35)/2</f>
        <v>15.583333333333332</v>
      </c>
      <c r="K36" s="27">
        <f>I36/160.5*100</f>
        <v>11.441329179646935</v>
      </c>
      <c r="L36" s="26">
        <f>L34+L35</f>
        <v>0</v>
      </c>
      <c r="M36" s="115">
        <f>L36+M33</f>
        <v>3.4333333333333331</v>
      </c>
      <c r="N36" s="26">
        <f>(N34+N35)/2</f>
        <v>0</v>
      </c>
      <c r="O36" s="27">
        <f>M36/160.5*100</f>
        <v>2.1391484942886807</v>
      </c>
      <c r="P36" s="26">
        <f>P34+P35</f>
        <v>1.4833333333333334</v>
      </c>
      <c r="Q36" s="115">
        <f>P36+Q33</f>
        <v>4.6499999999999995</v>
      </c>
      <c r="R36" s="26">
        <f>(R34+R35)/2</f>
        <v>7.416666666666667</v>
      </c>
      <c r="S36" s="27">
        <f>Q36/160.5*100</f>
        <v>2.8971962616822426</v>
      </c>
      <c r="T36" s="27">
        <f t="shared" si="4"/>
        <v>100</v>
      </c>
    </row>
    <row r="37" spans="1:20" s="7" customFormat="1" ht="20.100000000000001" customHeight="1">
      <c r="A37" s="207">
        <v>38233</v>
      </c>
      <c r="B37" s="143" t="s">
        <v>170</v>
      </c>
      <c r="C37" s="433" t="s">
        <v>215</v>
      </c>
      <c r="D37" s="29">
        <f>10-H37-L37-P37</f>
        <v>5.5666666666666664</v>
      </c>
      <c r="E37" s="114"/>
      <c r="F37" s="28">
        <f>D37/10*100</f>
        <v>55.666666666666664</v>
      </c>
      <c r="G37" s="30"/>
      <c r="H37" s="28">
        <f>(28+72+6+10+5)/60</f>
        <v>2.0166666666666666</v>
      </c>
      <c r="I37" s="114"/>
      <c r="J37" s="29">
        <f>H37/10*100</f>
        <v>20.166666666666664</v>
      </c>
      <c r="K37" s="30"/>
      <c r="L37" s="29"/>
      <c r="M37" s="114"/>
      <c r="N37" s="29">
        <f>L37/10*100</f>
        <v>0</v>
      </c>
      <c r="O37" s="30"/>
      <c r="P37" s="29">
        <f>(7+138)/60</f>
        <v>2.4166666666666665</v>
      </c>
      <c r="Q37" s="114"/>
      <c r="R37" s="29">
        <f>P37/10*100</f>
        <v>24.166666666666664</v>
      </c>
      <c r="S37" s="30"/>
      <c r="T37" s="27">
        <f t="shared" si="4"/>
        <v>0</v>
      </c>
    </row>
    <row r="38" spans="1:20" s="7" customFormat="1" ht="20.100000000000001" customHeight="1">
      <c r="A38" s="154"/>
      <c r="B38" s="155" t="s">
        <v>26</v>
      </c>
      <c r="C38" s="433" t="s">
        <v>223</v>
      </c>
      <c r="D38" s="29">
        <f>10-H38-L38-P38</f>
        <v>0.91666666666666607</v>
      </c>
      <c r="E38" s="114"/>
      <c r="F38" s="28">
        <f>D38/10*100</f>
        <v>9.1666666666666607</v>
      </c>
      <c r="G38" s="30"/>
      <c r="H38" s="28"/>
      <c r="I38" s="114"/>
      <c r="J38" s="29">
        <f>H38/10*100</f>
        <v>0</v>
      </c>
      <c r="K38" s="30"/>
      <c r="L38" s="29"/>
      <c r="M38" s="114"/>
      <c r="N38" s="29">
        <f>L38/10*100</f>
        <v>0</v>
      </c>
      <c r="O38" s="30"/>
      <c r="P38" s="29">
        <f>(15+510+20)/60</f>
        <v>9.0833333333333339</v>
      </c>
      <c r="Q38" s="114"/>
      <c r="R38" s="29">
        <f>P38/10*100</f>
        <v>90.833333333333343</v>
      </c>
      <c r="S38" s="30"/>
      <c r="T38" s="27">
        <f t="shared" si="4"/>
        <v>0</v>
      </c>
    </row>
    <row r="39" spans="1:20" s="7" customFormat="1" ht="20.100000000000001" customHeight="1">
      <c r="A39" s="156"/>
      <c r="B39" s="157"/>
      <c r="C39" s="158"/>
      <c r="D39" s="26">
        <f>D37+D38</f>
        <v>6.4833333333333325</v>
      </c>
      <c r="E39" s="115">
        <f>D39+E36</f>
        <v>140.53666666666666</v>
      </c>
      <c r="F39" s="26">
        <f>(F37+F38)/2</f>
        <v>32.416666666666664</v>
      </c>
      <c r="G39" s="27">
        <f>E39/180.5*100</f>
        <v>77.859649122807014</v>
      </c>
      <c r="H39" s="26">
        <f>H37+H38</f>
        <v>2.0166666666666666</v>
      </c>
      <c r="I39" s="115">
        <f>H39+I36</f>
        <v>20.379999999999995</v>
      </c>
      <c r="J39" s="26">
        <f>(J37+J38)/2</f>
        <v>10.083333333333332</v>
      </c>
      <c r="K39" s="27">
        <f>I39/180.5*100</f>
        <v>11.290858725761771</v>
      </c>
      <c r="L39" s="26">
        <f>L37+L38</f>
        <v>0</v>
      </c>
      <c r="M39" s="115">
        <f>L39+M36</f>
        <v>3.4333333333333331</v>
      </c>
      <c r="N39" s="26">
        <f>(N37+N38)/2</f>
        <v>0</v>
      </c>
      <c r="O39" s="27">
        <f>M39/180.5*100</f>
        <v>1.9021237303785778</v>
      </c>
      <c r="P39" s="26">
        <f>P37+P38</f>
        <v>11.5</v>
      </c>
      <c r="Q39" s="115">
        <f>P39+Q36</f>
        <v>16.149999999999999</v>
      </c>
      <c r="R39" s="26">
        <f>(R37+R38)/2</f>
        <v>57.5</v>
      </c>
      <c r="S39" s="27">
        <f>Q39/180.5*100</f>
        <v>8.9473684210526301</v>
      </c>
      <c r="T39" s="27">
        <f t="shared" si="4"/>
        <v>100</v>
      </c>
    </row>
    <row r="40" spans="1:20" s="7" customFormat="1" ht="20.100000000000001" customHeight="1">
      <c r="A40" s="269" t="s">
        <v>224</v>
      </c>
      <c r="B40" s="143" t="s">
        <v>26</v>
      </c>
      <c r="C40" s="433" t="s">
        <v>228</v>
      </c>
      <c r="D40" s="29">
        <f>10-H40-L40-P40</f>
        <v>2.1666666666666665</v>
      </c>
      <c r="E40" s="114"/>
      <c r="F40" s="28">
        <f>D40/10*100</f>
        <v>21.666666666666664</v>
      </c>
      <c r="G40" s="30"/>
      <c r="H40" s="28">
        <f>(35+180+25+40)/60</f>
        <v>4.666666666666667</v>
      </c>
      <c r="I40" s="114"/>
      <c r="J40" s="29">
        <f>H40/10*100</f>
        <v>46.666666666666664</v>
      </c>
      <c r="K40" s="30"/>
      <c r="L40" s="29"/>
      <c r="M40" s="114"/>
      <c r="N40" s="29">
        <f>L40/10*100</f>
        <v>0</v>
      </c>
      <c r="O40" s="30"/>
      <c r="P40" s="29">
        <f>190/60</f>
        <v>3.1666666666666665</v>
      </c>
      <c r="Q40" s="114"/>
      <c r="R40" s="29">
        <f>P40/10*100</f>
        <v>31.666666666666664</v>
      </c>
      <c r="S40" s="30"/>
      <c r="T40" s="27">
        <f t="shared" ref="T40:T45" si="5">S40+O40+K40+G40</f>
        <v>0</v>
      </c>
    </row>
    <row r="41" spans="1:20" s="7" customFormat="1" ht="20.100000000000001" customHeight="1">
      <c r="A41" s="502"/>
      <c r="B41" s="155" t="s">
        <v>23</v>
      </c>
      <c r="C41" s="433" t="s">
        <v>228</v>
      </c>
      <c r="D41" s="29">
        <f>10-H41-L41-P41</f>
        <v>8.3333333333333339</v>
      </c>
      <c r="E41" s="114"/>
      <c r="F41" s="28">
        <f>D41/10*100</f>
        <v>83.333333333333343</v>
      </c>
      <c r="G41" s="30"/>
      <c r="H41" s="28">
        <f>(3+7+14+17+15)/60</f>
        <v>0.93333333333333335</v>
      </c>
      <c r="I41" s="114"/>
      <c r="J41" s="29">
        <f>H41/10*100</f>
        <v>9.3333333333333339</v>
      </c>
      <c r="K41" s="30"/>
      <c r="L41" s="29"/>
      <c r="M41" s="114"/>
      <c r="N41" s="29">
        <f>L41/10*100</f>
        <v>0</v>
      </c>
      <c r="O41" s="30"/>
      <c r="P41" s="29">
        <f>44/60</f>
        <v>0.73333333333333328</v>
      </c>
      <c r="Q41" s="114"/>
      <c r="R41" s="29">
        <f>P41/10*100</f>
        <v>7.333333333333333</v>
      </c>
      <c r="S41" s="30"/>
      <c r="T41" s="27">
        <f t="shared" si="5"/>
        <v>0</v>
      </c>
    </row>
    <row r="42" spans="1:20" s="7" customFormat="1" ht="20.100000000000001" customHeight="1">
      <c r="A42" s="503"/>
      <c r="B42" s="157"/>
      <c r="C42" s="158"/>
      <c r="D42" s="26">
        <f>D40+D41</f>
        <v>10.5</v>
      </c>
      <c r="E42" s="115">
        <f>D42+E39</f>
        <v>151.03666666666666</v>
      </c>
      <c r="F42" s="26">
        <f>(F40+F41)/2</f>
        <v>52.5</v>
      </c>
      <c r="G42" s="27">
        <f>E42/200.5*100</f>
        <v>75.330008312551954</v>
      </c>
      <c r="H42" s="26">
        <f>H40+H41</f>
        <v>5.6000000000000005</v>
      </c>
      <c r="I42" s="115">
        <f>H42+I39</f>
        <v>25.979999999999997</v>
      </c>
      <c r="J42" s="26">
        <f>(J40+J41)/2</f>
        <v>28</v>
      </c>
      <c r="K42" s="27">
        <f>I42/200.5*100</f>
        <v>12.957605985037404</v>
      </c>
      <c r="L42" s="26">
        <f>L40+L41</f>
        <v>0</v>
      </c>
      <c r="M42" s="115">
        <f>L42+M39</f>
        <v>3.4333333333333331</v>
      </c>
      <c r="N42" s="26">
        <f>(N40+N41)/2</f>
        <v>0</v>
      </c>
      <c r="O42" s="27">
        <f>M42/200.5*100</f>
        <v>1.7123857024106399</v>
      </c>
      <c r="P42" s="26">
        <f>P40+P41</f>
        <v>3.9</v>
      </c>
      <c r="Q42" s="115">
        <f>P42+Q39</f>
        <v>20.049999999999997</v>
      </c>
      <c r="R42" s="26">
        <f>(R40+R41)/2</f>
        <v>19.5</v>
      </c>
      <c r="S42" s="27">
        <f>Q42/200.5*100</f>
        <v>10</v>
      </c>
      <c r="T42" s="27">
        <f t="shared" si="5"/>
        <v>100</v>
      </c>
    </row>
    <row r="43" spans="1:20" s="7" customFormat="1" ht="20.100000000000001" customHeight="1">
      <c r="A43" s="269" t="s">
        <v>225</v>
      </c>
      <c r="B43" s="143" t="s">
        <v>170</v>
      </c>
      <c r="C43" s="433" t="s">
        <v>228</v>
      </c>
      <c r="D43" s="29">
        <f>10-H43-L43-P43</f>
        <v>9.1999999999999993</v>
      </c>
      <c r="E43" s="114"/>
      <c r="F43" s="28">
        <f>D43/10*100</f>
        <v>92</v>
      </c>
      <c r="G43" s="30"/>
      <c r="H43" s="28">
        <f>(16+18+14)/60</f>
        <v>0.8</v>
      </c>
      <c r="I43" s="114"/>
      <c r="J43" s="29">
        <f>H43/10*100</f>
        <v>8</v>
      </c>
      <c r="K43" s="30"/>
      <c r="L43" s="29"/>
      <c r="M43" s="114"/>
      <c r="N43" s="29">
        <f>L43/10*100</f>
        <v>0</v>
      </c>
      <c r="O43" s="30"/>
      <c r="P43" s="29"/>
      <c r="Q43" s="114"/>
      <c r="R43" s="29">
        <f>P43/10*100</f>
        <v>0</v>
      </c>
      <c r="S43" s="30"/>
      <c r="T43" s="27">
        <f t="shared" si="5"/>
        <v>0</v>
      </c>
    </row>
    <row r="44" spans="1:20" s="7" customFormat="1" ht="20.100000000000001" customHeight="1">
      <c r="A44" s="502"/>
      <c r="B44" s="155" t="s">
        <v>26</v>
      </c>
      <c r="C44" s="433" t="s">
        <v>223</v>
      </c>
      <c r="D44" s="29">
        <f>10-H44-L44-P44</f>
        <v>9.75</v>
      </c>
      <c r="E44" s="114"/>
      <c r="F44" s="28">
        <f>D44/10*100</f>
        <v>97.5</v>
      </c>
      <c r="G44" s="30"/>
      <c r="H44" s="28">
        <f>15/60</f>
        <v>0.25</v>
      </c>
      <c r="I44" s="114"/>
      <c r="J44" s="29">
        <f>H44/10*100</f>
        <v>2.5</v>
      </c>
      <c r="K44" s="30"/>
      <c r="L44" s="29"/>
      <c r="M44" s="114"/>
      <c r="N44" s="29">
        <f>L44/10*100</f>
        <v>0</v>
      </c>
      <c r="O44" s="30"/>
      <c r="P44" s="29"/>
      <c r="Q44" s="114"/>
      <c r="R44" s="29">
        <f>P44/10*100</f>
        <v>0</v>
      </c>
      <c r="S44" s="30"/>
      <c r="T44" s="27">
        <f t="shared" si="5"/>
        <v>0</v>
      </c>
    </row>
    <row r="45" spans="1:20" s="7" customFormat="1" ht="20.100000000000001" customHeight="1">
      <c r="A45" s="156"/>
      <c r="B45" s="157"/>
      <c r="C45" s="158"/>
      <c r="D45" s="26">
        <f>D43+D44</f>
        <v>18.95</v>
      </c>
      <c r="E45" s="115">
        <f>D45+E42</f>
        <v>169.98666666666665</v>
      </c>
      <c r="F45" s="26">
        <f>(F43+F44)/2</f>
        <v>94.75</v>
      </c>
      <c r="G45" s="27">
        <f>E45/220.5*100</f>
        <v>77.091458805744523</v>
      </c>
      <c r="H45" s="26">
        <f>H43+H44</f>
        <v>1.05</v>
      </c>
      <c r="I45" s="115">
        <f>H45+I42</f>
        <v>27.029999999999998</v>
      </c>
      <c r="J45" s="26">
        <f>(J43+J44)/2</f>
        <v>5.25</v>
      </c>
      <c r="K45" s="27">
        <f>I45/220.5*100</f>
        <v>12.258503401360542</v>
      </c>
      <c r="L45" s="26">
        <f>L43+L44</f>
        <v>0</v>
      </c>
      <c r="M45" s="115">
        <f>L45+M42</f>
        <v>3.4333333333333331</v>
      </c>
      <c r="N45" s="26">
        <f>(N43+N44)/2</f>
        <v>0</v>
      </c>
      <c r="O45" s="27">
        <f>M45/220.5*100</f>
        <v>1.5570672713529856</v>
      </c>
      <c r="P45" s="26">
        <f>P43+P44</f>
        <v>0</v>
      </c>
      <c r="Q45" s="115">
        <f>P45+Q42</f>
        <v>20.049999999999997</v>
      </c>
      <c r="R45" s="26">
        <f>(R43+R44)/2</f>
        <v>0</v>
      </c>
      <c r="S45" s="27">
        <f>Q45/220.5*100</f>
        <v>9.0929705215419485</v>
      </c>
      <c r="T45" s="27">
        <f t="shared" si="5"/>
        <v>100</v>
      </c>
    </row>
    <row r="46" spans="1:20" s="7" customFormat="1" ht="20.100000000000001" customHeight="1">
      <c r="A46" s="269" t="s">
        <v>229</v>
      </c>
      <c r="B46" s="143" t="s">
        <v>170</v>
      </c>
      <c r="C46" s="433" t="s">
        <v>223</v>
      </c>
      <c r="D46" s="29">
        <f>10-H46-L46-P46</f>
        <v>9.3166666666666664</v>
      </c>
      <c r="E46" s="114"/>
      <c r="F46" s="28">
        <f>D46/10*100</f>
        <v>93.166666666666657</v>
      </c>
      <c r="G46" s="30"/>
      <c r="H46" s="28">
        <f>(28+7+6)/60</f>
        <v>0.68333333333333335</v>
      </c>
      <c r="I46" s="114"/>
      <c r="J46" s="29">
        <f>H46/10*100</f>
        <v>6.833333333333333</v>
      </c>
      <c r="K46" s="30"/>
      <c r="L46" s="29"/>
      <c r="M46" s="114"/>
      <c r="N46" s="29">
        <f>L46/10*100</f>
        <v>0</v>
      </c>
      <c r="O46" s="30"/>
      <c r="P46" s="29"/>
      <c r="Q46" s="114"/>
      <c r="R46" s="29">
        <f>P46/10*100</f>
        <v>0</v>
      </c>
      <c r="S46" s="30"/>
      <c r="T46" s="27">
        <f t="shared" ref="T46:T51" si="6">S46+O46+K46+G46</f>
        <v>0</v>
      </c>
    </row>
    <row r="47" spans="1:20" s="7" customFormat="1" ht="20.100000000000001" customHeight="1">
      <c r="A47" s="502"/>
      <c r="B47" s="155" t="s">
        <v>26</v>
      </c>
      <c r="C47" s="433" t="s">
        <v>233</v>
      </c>
      <c r="D47" s="29">
        <f>10-H47-L47-P47</f>
        <v>4.25</v>
      </c>
      <c r="E47" s="114"/>
      <c r="F47" s="28">
        <f>D47/10*100</f>
        <v>42.5</v>
      </c>
      <c r="G47" s="30"/>
      <c r="H47" s="28">
        <f>(40+75+55+15+80+80)/60</f>
        <v>5.75</v>
      </c>
      <c r="I47" s="114"/>
      <c r="J47" s="29">
        <f>H47/10*100</f>
        <v>57.499999999999993</v>
      </c>
      <c r="K47" s="30"/>
      <c r="L47" s="29"/>
      <c r="M47" s="114"/>
      <c r="N47" s="29">
        <f>L47/10*100</f>
        <v>0</v>
      </c>
      <c r="O47" s="30"/>
      <c r="P47" s="29"/>
      <c r="Q47" s="114"/>
      <c r="R47" s="29">
        <f>P47/10*100</f>
        <v>0</v>
      </c>
      <c r="S47" s="30"/>
      <c r="T47" s="27">
        <f t="shared" si="6"/>
        <v>0</v>
      </c>
    </row>
    <row r="48" spans="1:20" s="7" customFormat="1" ht="20.100000000000001" customHeight="1">
      <c r="A48" s="156"/>
      <c r="B48" s="157"/>
      <c r="C48" s="158"/>
      <c r="D48" s="26">
        <f>D46+D47</f>
        <v>13.566666666666666</v>
      </c>
      <c r="E48" s="115">
        <f>D48+E45</f>
        <v>183.55333333333331</v>
      </c>
      <c r="F48" s="26">
        <f>(F46+F47)/2</f>
        <v>67.833333333333329</v>
      </c>
      <c r="G48" s="27">
        <f>E48/240.5*100</f>
        <v>76.321552321552304</v>
      </c>
      <c r="H48" s="26">
        <f>H46+H47</f>
        <v>6.4333333333333336</v>
      </c>
      <c r="I48" s="115">
        <f>H48+I45</f>
        <v>33.463333333333331</v>
      </c>
      <c r="J48" s="26">
        <f>(J46+J47)/2</f>
        <v>32.166666666666664</v>
      </c>
      <c r="K48" s="27">
        <f>I48/240.5*100</f>
        <v>13.914067914067912</v>
      </c>
      <c r="L48" s="26">
        <f>L46+L47</f>
        <v>0</v>
      </c>
      <c r="M48" s="115">
        <f>L48+M45</f>
        <v>3.4333333333333331</v>
      </c>
      <c r="N48" s="26">
        <f>(N46+N47)/2</f>
        <v>0</v>
      </c>
      <c r="O48" s="27">
        <f>M48/240.5*100</f>
        <v>1.4275814275814276</v>
      </c>
      <c r="P48" s="26">
        <f>P46+P47</f>
        <v>0</v>
      </c>
      <c r="Q48" s="115">
        <f>P48+Q45</f>
        <v>20.049999999999997</v>
      </c>
      <c r="R48" s="26">
        <f>(R46+R47)/2</f>
        <v>0</v>
      </c>
      <c r="S48" s="27">
        <f>Q48/240.5*100</f>
        <v>8.3367983367983367</v>
      </c>
      <c r="T48" s="27">
        <f t="shared" si="6"/>
        <v>99.999999999999972</v>
      </c>
    </row>
    <row r="49" spans="1:20" s="7" customFormat="1" ht="20.100000000000001" customHeight="1">
      <c r="A49" s="269" t="s">
        <v>232</v>
      </c>
      <c r="B49" s="143" t="s">
        <v>23</v>
      </c>
      <c r="C49" s="433" t="s">
        <v>233</v>
      </c>
      <c r="D49" s="29">
        <f>10.5-H49-L49-P49</f>
        <v>7.95</v>
      </c>
      <c r="E49" s="114"/>
      <c r="F49" s="28">
        <f>D49/10*100</f>
        <v>79.5</v>
      </c>
      <c r="G49" s="30"/>
      <c r="H49" s="28">
        <f>(15+40+38+7+14+6+18+15)/60</f>
        <v>2.5499999999999998</v>
      </c>
      <c r="I49" s="114"/>
      <c r="J49" s="29">
        <f>H49/10*100</f>
        <v>25.5</v>
      </c>
      <c r="K49" s="30"/>
      <c r="L49" s="29"/>
      <c r="M49" s="114"/>
      <c r="N49" s="29">
        <f>L49/10*100</f>
        <v>0</v>
      </c>
      <c r="O49" s="30"/>
      <c r="P49" s="29"/>
      <c r="Q49" s="114"/>
      <c r="R49" s="29">
        <f>P49/10*100</f>
        <v>0</v>
      </c>
      <c r="S49" s="30"/>
      <c r="T49" s="27">
        <f t="shared" si="6"/>
        <v>0</v>
      </c>
    </row>
    <row r="50" spans="1:20" s="7" customFormat="1" ht="20.100000000000001" customHeight="1">
      <c r="A50" s="502"/>
      <c r="B50" s="155" t="s">
        <v>170</v>
      </c>
      <c r="C50" s="426" t="s">
        <v>186</v>
      </c>
      <c r="D50" s="29">
        <f>10-H50-L50-P50</f>
        <v>7.0666666666666664</v>
      </c>
      <c r="E50" s="114"/>
      <c r="F50" s="28">
        <f>D50/10*100</f>
        <v>70.666666666666671</v>
      </c>
      <c r="G50" s="30"/>
      <c r="H50" s="28">
        <f>(86+22+15+6+10+27)/60</f>
        <v>2.7666666666666666</v>
      </c>
      <c r="I50" s="114"/>
      <c r="J50" s="29">
        <f>H50/10*100</f>
        <v>27.666666666666668</v>
      </c>
      <c r="K50" s="30"/>
      <c r="L50" s="29"/>
      <c r="M50" s="114"/>
      <c r="N50" s="29">
        <f>L50/10*100</f>
        <v>0</v>
      </c>
      <c r="O50" s="30"/>
      <c r="P50" s="29">
        <f>10/60</f>
        <v>0.16666666666666666</v>
      </c>
      <c r="Q50" s="114"/>
      <c r="R50" s="29">
        <f>P50/10*100</f>
        <v>1.6666666666666667</v>
      </c>
      <c r="S50" s="30"/>
      <c r="T50" s="27">
        <f t="shared" si="6"/>
        <v>0</v>
      </c>
    </row>
    <row r="51" spans="1:20" s="7" customFormat="1" ht="20.100000000000001" customHeight="1">
      <c r="A51" s="156"/>
      <c r="B51" s="157"/>
      <c r="C51" s="158"/>
      <c r="D51" s="26">
        <f>D49+D50</f>
        <v>15.016666666666666</v>
      </c>
      <c r="E51" s="115">
        <f>D51+E48</f>
        <v>198.57</v>
      </c>
      <c r="F51" s="26">
        <f>(F49+F50)/2</f>
        <v>75.083333333333343</v>
      </c>
      <c r="G51" s="27">
        <f>E51/261*100</f>
        <v>76.080459770114942</v>
      </c>
      <c r="H51" s="26">
        <f>H49+H50</f>
        <v>5.3166666666666664</v>
      </c>
      <c r="I51" s="115">
        <f>H51+I48</f>
        <v>38.78</v>
      </c>
      <c r="J51" s="26">
        <f>(J49+J50)/2</f>
        <v>26.583333333333336</v>
      </c>
      <c r="K51" s="27">
        <f>I51/261*100</f>
        <v>14.858237547892722</v>
      </c>
      <c r="L51" s="26">
        <f>L49+L50</f>
        <v>0</v>
      </c>
      <c r="M51" s="115">
        <f>L51+M48</f>
        <v>3.4333333333333331</v>
      </c>
      <c r="N51" s="26">
        <f>(N49+N50)/2</f>
        <v>0</v>
      </c>
      <c r="O51" s="27">
        <f>M51/261*100</f>
        <v>1.3154533844189016</v>
      </c>
      <c r="P51" s="26">
        <f>P49+P50</f>
        <v>0.16666666666666666</v>
      </c>
      <c r="Q51" s="115">
        <f>P51+Q48</f>
        <v>20.216666666666665</v>
      </c>
      <c r="R51" s="26">
        <f>(R49+R50)/2</f>
        <v>0.83333333333333337</v>
      </c>
      <c r="S51" s="27">
        <f>Q51/261*100</f>
        <v>7.7458492975734341</v>
      </c>
      <c r="T51" s="27">
        <f t="shared" si="6"/>
        <v>100</v>
      </c>
    </row>
    <row r="52" spans="1:20" s="7" customFormat="1" ht="20.100000000000001" customHeight="1">
      <c r="A52" s="269" t="s">
        <v>241</v>
      </c>
      <c r="B52" s="143" t="s">
        <v>23</v>
      </c>
      <c r="C52" s="426" t="s">
        <v>186</v>
      </c>
      <c r="D52" s="29">
        <f>10-H52-L52-P52</f>
        <v>8.0333333333333332</v>
      </c>
      <c r="E52" s="114"/>
      <c r="F52" s="28">
        <f>D52/10*100</f>
        <v>80.333333333333329</v>
      </c>
      <c r="G52" s="30"/>
      <c r="H52" s="28">
        <f>(13+17+14+7)/60</f>
        <v>0.85</v>
      </c>
      <c r="I52" s="114"/>
      <c r="J52" s="29">
        <f>H52/10*100</f>
        <v>8.5</v>
      </c>
      <c r="K52" s="30"/>
      <c r="L52" s="29">
        <f>3/60</f>
        <v>0.05</v>
      </c>
      <c r="M52" s="114"/>
      <c r="N52" s="29">
        <f>L52/10*100</f>
        <v>0.5</v>
      </c>
      <c r="O52" s="30"/>
      <c r="P52" s="29">
        <f>64/60</f>
        <v>1.0666666666666667</v>
      </c>
      <c r="Q52" s="114"/>
      <c r="R52" s="29">
        <f>P52/10*100</f>
        <v>10.666666666666666</v>
      </c>
      <c r="S52" s="30"/>
      <c r="T52" s="27">
        <f t="shared" ref="T52:T57" si="7">S52+O52+K52+G52</f>
        <v>0</v>
      </c>
    </row>
    <row r="53" spans="1:20" s="7" customFormat="1" ht="20.100000000000001" customHeight="1">
      <c r="A53" s="502"/>
      <c r="B53" s="155" t="s">
        <v>170</v>
      </c>
      <c r="C53" s="426" t="s">
        <v>186</v>
      </c>
      <c r="D53" s="29">
        <f>10-H53-L53-P53</f>
        <v>9.5</v>
      </c>
      <c r="E53" s="114"/>
      <c r="F53" s="28">
        <f>D53/10*100</f>
        <v>95</v>
      </c>
      <c r="G53" s="30"/>
      <c r="H53" s="28">
        <f>(10+8+12)/60</f>
        <v>0.5</v>
      </c>
      <c r="I53" s="114"/>
      <c r="J53" s="29">
        <f>H53/10*100</f>
        <v>5</v>
      </c>
      <c r="K53" s="30"/>
      <c r="L53" s="29"/>
      <c r="M53" s="114"/>
      <c r="N53" s="29">
        <f>L53/10*100</f>
        <v>0</v>
      </c>
      <c r="O53" s="30"/>
      <c r="P53" s="29"/>
      <c r="Q53" s="114"/>
      <c r="R53" s="29">
        <f>P53/10*100</f>
        <v>0</v>
      </c>
      <c r="S53" s="30"/>
      <c r="T53" s="27">
        <f t="shared" si="7"/>
        <v>0</v>
      </c>
    </row>
    <row r="54" spans="1:20" s="7" customFormat="1" ht="20.100000000000001" customHeight="1">
      <c r="A54" s="156"/>
      <c r="B54" s="157"/>
      <c r="C54" s="158"/>
      <c r="D54" s="26">
        <f>D52+D53</f>
        <v>17.533333333333331</v>
      </c>
      <c r="E54" s="115">
        <f>D54+E51</f>
        <v>216.10333333333332</v>
      </c>
      <c r="F54" s="26">
        <f>(F52+F53)/2</f>
        <v>87.666666666666657</v>
      </c>
      <c r="G54" s="27">
        <f>E54/281*100</f>
        <v>76.905100830367729</v>
      </c>
      <c r="H54" s="26">
        <f>H52+H53</f>
        <v>1.35</v>
      </c>
      <c r="I54" s="115">
        <f>H54+I51</f>
        <v>40.130000000000003</v>
      </c>
      <c r="J54" s="26">
        <f>(J52+J53)/2</f>
        <v>6.75</v>
      </c>
      <c r="K54" s="27">
        <f>I54/281*100</f>
        <v>14.281138790035589</v>
      </c>
      <c r="L54" s="26">
        <f>L52+L53</f>
        <v>0.05</v>
      </c>
      <c r="M54" s="115">
        <f>L54+M51</f>
        <v>3.4833333333333329</v>
      </c>
      <c r="N54" s="26">
        <f>(N52+N53)/2</f>
        <v>0.25</v>
      </c>
      <c r="O54" s="27">
        <f>M54/281*100</f>
        <v>1.2396204033214708</v>
      </c>
      <c r="P54" s="26">
        <f>P52+P53</f>
        <v>1.0666666666666667</v>
      </c>
      <c r="Q54" s="115">
        <f>P54+Q51</f>
        <v>21.283333333333331</v>
      </c>
      <c r="R54" s="26">
        <f>(R52+R53)/2</f>
        <v>5.333333333333333</v>
      </c>
      <c r="S54" s="27">
        <f>Q54/281*100</f>
        <v>7.5741399762752071</v>
      </c>
      <c r="T54" s="27">
        <f t="shared" si="7"/>
        <v>100</v>
      </c>
    </row>
    <row r="55" spans="1:20" s="7" customFormat="1" ht="20.100000000000001" customHeight="1">
      <c r="A55" s="269" t="s">
        <v>244</v>
      </c>
      <c r="B55" s="143" t="s">
        <v>26</v>
      </c>
      <c r="C55" s="426" t="s">
        <v>186</v>
      </c>
      <c r="D55" s="29">
        <f>11-H55-L55-P55</f>
        <v>9.6666666666666661</v>
      </c>
      <c r="E55" s="114"/>
      <c r="F55" s="28">
        <f>D55/10*100</f>
        <v>96.666666666666657</v>
      </c>
      <c r="G55" s="30"/>
      <c r="H55" s="28">
        <f>(10+10+50+10)/60</f>
        <v>1.3333333333333333</v>
      </c>
      <c r="I55" s="114"/>
      <c r="J55" s="29">
        <f>H55/10*100</f>
        <v>13.333333333333334</v>
      </c>
      <c r="K55" s="30"/>
      <c r="L55" s="29"/>
      <c r="M55" s="114"/>
      <c r="N55" s="29">
        <f>L55/10*100</f>
        <v>0</v>
      </c>
      <c r="O55" s="30"/>
      <c r="P55" s="29"/>
      <c r="Q55" s="114"/>
      <c r="R55" s="29">
        <f>P55/10*100</f>
        <v>0</v>
      </c>
      <c r="S55" s="30"/>
      <c r="T55" s="27">
        <f t="shared" si="7"/>
        <v>0</v>
      </c>
    </row>
    <row r="56" spans="1:20" s="7" customFormat="1" ht="20.100000000000001" customHeight="1">
      <c r="A56" s="502"/>
      <c r="B56" s="155" t="s">
        <v>23</v>
      </c>
      <c r="C56" s="426" t="s">
        <v>186</v>
      </c>
      <c r="D56" s="29">
        <f>10-H56-L56-P56</f>
        <v>9.1166666666666671</v>
      </c>
      <c r="E56" s="114"/>
      <c r="F56" s="28">
        <f>D56/10*100</f>
        <v>91.166666666666671</v>
      </c>
      <c r="G56" s="30"/>
      <c r="H56" s="28">
        <f>(15+13+10+15)/60</f>
        <v>0.8833333333333333</v>
      </c>
      <c r="I56" s="114"/>
      <c r="J56" s="29">
        <f>H56/10*100</f>
        <v>8.8333333333333339</v>
      </c>
      <c r="K56" s="30"/>
      <c r="L56" s="29"/>
      <c r="M56" s="114"/>
      <c r="N56" s="29">
        <f>L56/10*100</f>
        <v>0</v>
      </c>
      <c r="O56" s="30"/>
      <c r="P56" s="29"/>
      <c r="Q56" s="114"/>
      <c r="R56" s="29">
        <f>P56/10*100</f>
        <v>0</v>
      </c>
      <c r="S56" s="30"/>
      <c r="T56" s="27">
        <f t="shared" si="7"/>
        <v>0</v>
      </c>
    </row>
    <row r="57" spans="1:20" s="7" customFormat="1" ht="20.100000000000001" customHeight="1">
      <c r="A57" s="156"/>
      <c r="B57" s="157"/>
      <c r="C57" s="158"/>
      <c r="D57" s="26">
        <f>D55+D56</f>
        <v>18.783333333333331</v>
      </c>
      <c r="E57" s="115">
        <f>D57+E54</f>
        <v>234.88666666666666</v>
      </c>
      <c r="F57" s="26">
        <f>(F55+F56)/2</f>
        <v>93.916666666666657</v>
      </c>
      <c r="G57" s="27">
        <f>E57/302*100</f>
        <v>77.777041942604853</v>
      </c>
      <c r="H57" s="26">
        <f>H55+H56</f>
        <v>2.2166666666666668</v>
      </c>
      <c r="I57" s="115">
        <f>H57+I54</f>
        <v>42.346666666666671</v>
      </c>
      <c r="J57" s="26">
        <f>(J55+J56)/2</f>
        <v>11.083333333333334</v>
      </c>
      <c r="K57" s="27">
        <f>I57/302*100</f>
        <v>14.022075055187639</v>
      </c>
      <c r="L57" s="26">
        <f>L55+L56</f>
        <v>0</v>
      </c>
      <c r="M57" s="115">
        <f>L57+M54</f>
        <v>3.4833333333333329</v>
      </c>
      <c r="N57" s="26">
        <f>(N55+N56)/2</f>
        <v>0</v>
      </c>
      <c r="O57" s="27">
        <f>M57/302*100</f>
        <v>1.1534216335540839</v>
      </c>
      <c r="P57" s="26">
        <f>P55+P56</f>
        <v>0</v>
      </c>
      <c r="Q57" s="115">
        <f>P57+Q54</f>
        <v>21.283333333333331</v>
      </c>
      <c r="R57" s="26">
        <f>(R55+R56)/2</f>
        <v>0</v>
      </c>
      <c r="S57" s="27">
        <f>Q57/302*100</f>
        <v>7.0474613686534209</v>
      </c>
      <c r="T57" s="27">
        <f t="shared" si="7"/>
        <v>100</v>
      </c>
    </row>
    <row r="58" spans="1:20" s="7" customFormat="1" ht="20.100000000000001" customHeight="1">
      <c r="A58" s="269" t="s">
        <v>248</v>
      </c>
      <c r="B58" s="143" t="s">
        <v>26</v>
      </c>
      <c r="C58" s="426" t="s">
        <v>186</v>
      </c>
      <c r="D58" s="29">
        <f>10-H58-L58-P58</f>
        <v>9</v>
      </c>
      <c r="E58" s="114"/>
      <c r="F58" s="28">
        <f>D58/10*100</f>
        <v>90</v>
      </c>
      <c r="G58" s="30"/>
      <c r="H58" s="28">
        <f>(50+10)/60</f>
        <v>1</v>
      </c>
      <c r="I58" s="114"/>
      <c r="J58" s="29">
        <f>H58/10*100</f>
        <v>10</v>
      </c>
      <c r="K58" s="30"/>
      <c r="L58" s="29"/>
      <c r="M58" s="114"/>
      <c r="N58" s="29">
        <f>L58/10*100</f>
        <v>0</v>
      </c>
      <c r="O58" s="30"/>
      <c r="P58" s="29"/>
      <c r="Q58" s="114"/>
      <c r="R58" s="29">
        <f>P58/10*100</f>
        <v>0</v>
      </c>
      <c r="S58" s="30"/>
      <c r="T58" s="27">
        <f t="shared" ref="T58:T66" si="8">S58+O58+K58+G58</f>
        <v>0</v>
      </c>
    </row>
    <row r="59" spans="1:20" s="7" customFormat="1" ht="20.100000000000001" customHeight="1">
      <c r="A59" s="502"/>
      <c r="B59" s="155" t="s">
        <v>23</v>
      </c>
      <c r="C59" s="426" t="s">
        <v>246</v>
      </c>
      <c r="D59" s="29">
        <f>10-H59-L59-P59</f>
        <v>5.25</v>
      </c>
      <c r="E59" s="114"/>
      <c r="F59" s="28">
        <f>D59/10*100</f>
        <v>52.5</v>
      </c>
      <c r="G59" s="30"/>
      <c r="H59" s="28">
        <f>(32+2+9+11+27+20+14+30)/60</f>
        <v>2.4166666666666665</v>
      </c>
      <c r="I59" s="114"/>
      <c r="J59" s="29">
        <f>H59/10*100</f>
        <v>24.166666666666664</v>
      </c>
      <c r="K59" s="30"/>
      <c r="L59" s="29">
        <f>140/60</f>
        <v>2.3333333333333335</v>
      </c>
      <c r="M59" s="114"/>
      <c r="N59" s="29">
        <f>L59/10*100</f>
        <v>23.333333333333332</v>
      </c>
      <c r="O59" s="30"/>
      <c r="P59" s="29"/>
      <c r="Q59" s="114"/>
      <c r="R59" s="29">
        <f>P59/10*100</f>
        <v>0</v>
      </c>
      <c r="S59" s="30"/>
      <c r="T59" s="27">
        <f t="shared" si="8"/>
        <v>0</v>
      </c>
    </row>
    <row r="60" spans="1:20" s="7" customFormat="1" ht="20.100000000000001" customHeight="1">
      <c r="A60" s="156"/>
      <c r="B60" s="157"/>
      <c r="C60" s="158"/>
      <c r="D60" s="26">
        <f>D58+D59</f>
        <v>14.25</v>
      </c>
      <c r="E60" s="115">
        <f>D60+E57</f>
        <v>249.13666666666666</v>
      </c>
      <c r="F60" s="26">
        <f>(F58+F59)/2</f>
        <v>71.25</v>
      </c>
      <c r="G60" s="27">
        <f>E60/322*100</f>
        <v>77.371635610766049</v>
      </c>
      <c r="H60" s="26">
        <f>H58+H59</f>
        <v>3.4166666666666665</v>
      </c>
      <c r="I60" s="115">
        <f>H60+I57</f>
        <v>45.763333333333335</v>
      </c>
      <c r="J60" s="26">
        <f>(J58+J59)/2</f>
        <v>17.083333333333332</v>
      </c>
      <c r="K60" s="27">
        <f>I60/322*100</f>
        <v>14.212215320910973</v>
      </c>
      <c r="L60" s="26">
        <f>L58+L59</f>
        <v>2.3333333333333335</v>
      </c>
      <c r="M60" s="115">
        <f>L60+M57</f>
        <v>5.8166666666666664</v>
      </c>
      <c r="N60" s="26">
        <f>(N58+N59)/2</f>
        <v>11.666666666666666</v>
      </c>
      <c r="O60" s="27">
        <f>M60/322*100</f>
        <v>1.8064182194616978</v>
      </c>
      <c r="P60" s="26">
        <f>P58+P59</f>
        <v>0</v>
      </c>
      <c r="Q60" s="115">
        <f>P60+Q57</f>
        <v>21.283333333333331</v>
      </c>
      <c r="R60" s="26">
        <f>(R58+R59)/2</f>
        <v>0</v>
      </c>
      <c r="S60" s="27">
        <f>Q60/322*100</f>
        <v>6.6097308488612825</v>
      </c>
      <c r="T60" s="27">
        <f t="shared" si="8"/>
        <v>100</v>
      </c>
    </row>
    <row r="61" spans="1:20" s="7" customFormat="1" ht="20.100000000000001" customHeight="1">
      <c r="A61" s="269" t="s">
        <v>253</v>
      </c>
      <c r="B61" s="143" t="s">
        <v>170</v>
      </c>
      <c r="C61" s="426" t="s">
        <v>246</v>
      </c>
      <c r="D61" s="29">
        <f>10-H61-L61-P61</f>
        <v>4.4499999999999993</v>
      </c>
      <c r="E61" s="114"/>
      <c r="F61" s="28">
        <f>D61/10*100</f>
        <v>44.499999999999993</v>
      </c>
      <c r="G61" s="30"/>
      <c r="H61" s="28">
        <f>(18+15)/60</f>
        <v>0.55000000000000004</v>
      </c>
      <c r="I61" s="114"/>
      <c r="J61" s="29">
        <f>H61/10*100</f>
        <v>5.5000000000000009</v>
      </c>
      <c r="K61" s="30"/>
      <c r="L61" s="29">
        <f>(74+25+43)/60</f>
        <v>2.3666666666666667</v>
      </c>
      <c r="M61" s="114"/>
      <c r="N61" s="29">
        <f>L61/10*100</f>
        <v>23.666666666666668</v>
      </c>
      <c r="O61" s="30"/>
      <c r="P61" s="29">
        <f>(14+76+25+43)/60</f>
        <v>2.6333333333333333</v>
      </c>
      <c r="Q61" s="114"/>
      <c r="R61" s="29">
        <f>P61/10*100</f>
        <v>26.333333333333332</v>
      </c>
      <c r="S61" s="30"/>
      <c r="T61" s="27">
        <f t="shared" si="8"/>
        <v>0</v>
      </c>
    </row>
    <row r="62" spans="1:20" s="7" customFormat="1" ht="20.100000000000001" customHeight="1">
      <c r="A62" s="502"/>
      <c r="B62" s="155" t="s">
        <v>26</v>
      </c>
      <c r="C62" s="426" t="s">
        <v>246</v>
      </c>
      <c r="D62" s="29">
        <f>10-H62-L62-P62</f>
        <v>3.4833333333333334</v>
      </c>
      <c r="E62" s="114"/>
      <c r="F62" s="28">
        <f>D62/10*100</f>
        <v>34.833333333333336</v>
      </c>
      <c r="G62" s="30"/>
      <c r="H62" s="28">
        <f>(90+50+40+30+35+29+117)/60</f>
        <v>6.5166666666666666</v>
      </c>
      <c r="I62" s="114"/>
      <c r="J62" s="29">
        <f>H62/10*100</f>
        <v>65.166666666666657</v>
      </c>
      <c r="K62" s="30"/>
      <c r="L62" s="29"/>
      <c r="M62" s="114"/>
      <c r="N62" s="29">
        <f>L62/10*100</f>
        <v>0</v>
      </c>
      <c r="O62" s="30"/>
      <c r="P62" s="29"/>
      <c r="Q62" s="114"/>
      <c r="R62" s="29">
        <f>P62/10*100</f>
        <v>0</v>
      </c>
      <c r="S62" s="30"/>
      <c r="T62" s="27">
        <f t="shared" si="8"/>
        <v>0</v>
      </c>
    </row>
    <row r="63" spans="1:20" s="7" customFormat="1" ht="20.100000000000001" customHeight="1">
      <c r="A63" s="156"/>
      <c r="B63" s="157"/>
      <c r="C63" s="158"/>
      <c r="D63" s="26">
        <f>D61+D62</f>
        <v>7.9333333333333327</v>
      </c>
      <c r="E63" s="115">
        <f>D63+E60</f>
        <v>257.07</v>
      </c>
      <c r="F63" s="26">
        <f>(F61+F62)/2</f>
        <v>39.666666666666664</v>
      </c>
      <c r="G63" s="27">
        <f>E63/342*100</f>
        <v>75.166666666666657</v>
      </c>
      <c r="H63" s="26">
        <f>H61+H62</f>
        <v>7.0666666666666664</v>
      </c>
      <c r="I63" s="115">
        <f>H63+I60</f>
        <v>52.83</v>
      </c>
      <c r="J63" s="26">
        <f>(J61+J62)/2</f>
        <v>35.333333333333329</v>
      </c>
      <c r="K63" s="27">
        <f>I63/342*100</f>
        <v>15.447368421052632</v>
      </c>
      <c r="L63" s="26">
        <f>L61+L62</f>
        <v>2.3666666666666667</v>
      </c>
      <c r="M63" s="115">
        <f>L63+M60</f>
        <v>8.1833333333333336</v>
      </c>
      <c r="N63" s="26">
        <f>(N61+N62)/2</f>
        <v>11.833333333333334</v>
      </c>
      <c r="O63" s="27">
        <f>M63/342*100</f>
        <v>2.3927875243664718</v>
      </c>
      <c r="P63" s="26">
        <f>P61+P62</f>
        <v>2.6333333333333333</v>
      </c>
      <c r="Q63" s="115">
        <f>P63+Q60</f>
        <v>23.916666666666664</v>
      </c>
      <c r="R63" s="26">
        <f>(R61+R62)/2</f>
        <v>13.166666666666666</v>
      </c>
      <c r="S63" s="27">
        <f>Q63/342*100</f>
        <v>6.9931773879142289</v>
      </c>
      <c r="T63" s="27">
        <f t="shared" si="8"/>
        <v>99.999999999999986</v>
      </c>
    </row>
    <row r="64" spans="1:20" s="7" customFormat="1" ht="20.100000000000001" customHeight="1">
      <c r="A64" s="269" t="s">
        <v>254</v>
      </c>
      <c r="B64" s="143" t="s">
        <v>170</v>
      </c>
      <c r="C64" s="426" t="s">
        <v>246</v>
      </c>
      <c r="D64" s="29">
        <f>10-H64-L64-P64</f>
        <v>9.4</v>
      </c>
      <c r="E64" s="114"/>
      <c r="F64" s="28">
        <f>D64/10*100</f>
        <v>94</v>
      </c>
      <c r="G64" s="30"/>
      <c r="H64" s="28">
        <f>(12+10+14)/60</f>
        <v>0.6</v>
      </c>
      <c r="I64" s="114"/>
      <c r="J64" s="29">
        <f>H64/10*100</f>
        <v>6</v>
      </c>
      <c r="K64" s="30"/>
      <c r="L64" s="29"/>
      <c r="M64" s="114"/>
      <c r="N64" s="29">
        <f>L64/10*100</f>
        <v>0</v>
      </c>
      <c r="O64" s="30"/>
      <c r="P64" s="29"/>
      <c r="Q64" s="114"/>
      <c r="R64" s="29">
        <f>P64/10*100</f>
        <v>0</v>
      </c>
      <c r="S64" s="30"/>
      <c r="T64" s="27">
        <f t="shared" si="8"/>
        <v>0</v>
      </c>
    </row>
    <row r="65" spans="1:20" s="7" customFormat="1" ht="20.100000000000001" customHeight="1">
      <c r="A65" s="502"/>
      <c r="B65" s="155" t="s">
        <v>26</v>
      </c>
      <c r="C65" s="426" t="s">
        <v>246</v>
      </c>
      <c r="D65" s="29">
        <f>10-H65-L65-P65</f>
        <v>8.0833333333333339</v>
      </c>
      <c r="E65" s="114"/>
      <c r="F65" s="28">
        <f>D65/10*100</f>
        <v>80.833333333333329</v>
      </c>
      <c r="G65" s="30"/>
      <c r="H65" s="28">
        <f>60/60</f>
        <v>1</v>
      </c>
      <c r="I65" s="114"/>
      <c r="J65" s="29">
        <f>H65/10*100</f>
        <v>10</v>
      </c>
      <c r="K65" s="30"/>
      <c r="L65" s="29"/>
      <c r="M65" s="114"/>
      <c r="N65" s="29">
        <f>L65/10*100</f>
        <v>0</v>
      </c>
      <c r="O65" s="30"/>
      <c r="P65" s="29">
        <f>(20+35)/60</f>
        <v>0.91666666666666663</v>
      </c>
      <c r="Q65" s="114"/>
      <c r="R65" s="29">
        <f>P65/10*100</f>
        <v>9.1666666666666661</v>
      </c>
      <c r="S65" s="30"/>
      <c r="T65" s="27">
        <f t="shared" si="8"/>
        <v>0</v>
      </c>
    </row>
    <row r="66" spans="1:20" s="7" customFormat="1" ht="20.100000000000001" customHeight="1">
      <c r="A66" s="156"/>
      <c r="B66" s="157"/>
      <c r="C66" s="158"/>
      <c r="D66" s="26">
        <f>D64+D65</f>
        <v>17.483333333333334</v>
      </c>
      <c r="E66" s="115">
        <f>D66+E63</f>
        <v>274.55333333333334</v>
      </c>
      <c r="F66" s="26">
        <f>(F64+F65)/2</f>
        <v>87.416666666666657</v>
      </c>
      <c r="G66" s="27">
        <f>E66/362*100</f>
        <v>75.843462246777165</v>
      </c>
      <c r="H66" s="26">
        <f>H64+H65</f>
        <v>1.6</v>
      </c>
      <c r="I66" s="115">
        <f>H66+I63</f>
        <v>54.43</v>
      </c>
      <c r="J66" s="26">
        <f>(J64+J65)/2</f>
        <v>8</v>
      </c>
      <c r="K66" s="27">
        <f>I66/362*100</f>
        <v>15.035911602209945</v>
      </c>
      <c r="L66" s="26">
        <f>L64+L65</f>
        <v>0</v>
      </c>
      <c r="M66" s="115">
        <f>L66+M63</f>
        <v>8.1833333333333336</v>
      </c>
      <c r="N66" s="26">
        <f>(N64+N65)/2</f>
        <v>0</v>
      </c>
      <c r="O66" s="27">
        <f>M66/362*100</f>
        <v>2.2605893186003683</v>
      </c>
      <c r="P66" s="26">
        <f>P64+P65</f>
        <v>0.91666666666666663</v>
      </c>
      <c r="Q66" s="115">
        <f>P66+Q63</f>
        <v>24.833333333333332</v>
      </c>
      <c r="R66" s="26">
        <f>(R64+R65)/2</f>
        <v>4.583333333333333</v>
      </c>
      <c r="S66" s="27">
        <f>Q66/362*100</f>
        <v>6.860036832412522</v>
      </c>
      <c r="T66" s="27">
        <f t="shared" si="8"/>
        <v>100</v>
      </c>
    </row>
    <row r="67" spans="1:20" s="7" customFormat="1" ht="20.100000000000001" customHeight="1">
      <c r="A67" s="269" t="s">
        <v>256</v>
      </c>
      <c r="B67" s="143" t="s">
        <v>23</v>
      </c>
      <c r="C67" s="426" t="s">
        <v>246</v>
      </c>
      <c r="D67" s="29">
        <f>11-H67-L67-P67</f>
        <v>8.75</v>
      </c>
      <c r="E67" s="114"/>
      <c r="F67" s="28">
        <f>D67/10*100</f>
        <v>87.5</v>
      </c>
      <c r="G67" s="30"/>
      <c r="H67" s="28">
        <f>(73+2+3+12+10+12)/60</f>
        <v>1.8666666666666667</v>
      </c>
      <c r="I67" s="114"/>
      <c r="J67" s="29">
        <f>H67/10*100</f>
        <v>18.666666666666668</v>
      </c>
      <c r="K67" s="30"/>
      <c r="L67" s="29"/>
      <c r="M67" s="114"/>
      <c r="N67" s="29">
        <f>L67/10*100</f>
        <v>0</v>
      </c>
      <c r="O67" s="30"/>
      <c r="P67" s="29">
        <f>(8+15)/60</f>
        <v>0.38333333333333336</v>
      </c>
      <c r="Q67" s="114"/>
      <c r="R67" s="29">
        <f>P67/10*100</f>
        <v>3.8333333333333339</v>
      </c>
      <c r="S67" s="30"/>
      <c r="T67" s="27">
        <f t="shared" ref="T67:T72" si="9">S67+O67+K67+G67</f>
        <v>0</v>
      </c>
    </row>
    <row r="68" spans="1:20" s="7" customFormat="1" ht="20.100000000000001" customHeight="1">
      <c r="A68" s="502"/>
      <c r="B68" s="155" t="s">
        <v>170</v>
      </c>
      <c r="C68" s="426" t="s">
        <v>246</v>
      </c>
      <c r="D68" s="29">
        <f>10-H68-L68-P68</f>
        <v>7.5</v>
      </c>
      <c r="E68" s="114"/>
      <c r="F68" s="28">
        <f>D68/10*100</f>
        <v>75</v>
      </c>
      <c r="G68" s="30"/>
      <c r="H68" s="28">
        <f>10/60</f>
        <v>0.16666666666666666</v>
      </c>
      <c r="I68" s="114"/>
      <c r="J68" s="29">
        <f>H68/10*100</f>
        <v>1.6666666666666667</v>
      </c>
      <c r="K68" s="30"/>
      <c r="L68" s="29"/>
      <c r="M68" s="114"/>
      <c r="N68" s="29">
        <f>L68/10*100</f>
        <v>0</v>
      </c>
      <c r="O68" s="30"/>
      <c r="P68" s="29">
        <f>(50+54+14+14+8)/60</f>
        <v>2.3333333333333335</v>
      </c>
      <c r="Q68" s="114"/>
      <c r="R68" s="29">
        <f>P68/10*100</f>
        <v>23.333333333333332</v>
      </c>
      <c r="S68" s="30"/>
      <c r="T68" s="27">
        <f t="shared" si="9"/>
        <v>0</v>
      </c>
    </row>
    <row r="69" spans="1:20" s="7" customFormat="1" ht="20.100000000000001" customHeight="1">
      <c r="A69" s="156"/>
      <c r="B69" s="157"/>
      <c r="C69" s="158"/>
      <c r="D69" s="26">
        <f>D67+D68</f>
        <v>16.25</v>
      </c>
      <c r="E69" s="115">
        <f>D69+E66</f>
        <v>290.80333333333334</v>
      </c>
      <c r="F69" s="26">
        <f>(F67+F68)/2</f>
        <v>81.25</v>
      </c>
      <c r="G69" s="27">
        <f>E69/383*100</f>
        <v>75.9277632724108</v>
      </c>
      <c r="H69" s="26">
        <f>H67+H68</f>
        <v>2.0333333333333332</v>
      </c>
      <c r="I69" s="115">
        <f>H69+I66</f>
        <v>56.463333333333331</v>
      </c>
      <c r="J69" s="26">
        <f>(J67+J68)/2</f>
        <v>10.166666666666668</v>
      </c>
      <c r="K69" s="27">
        <f>I69/383*100</f>
        <v>14.742384682332462</v>
      </c>
      <c r="L69" s="26">
        <f>L67+L68</f>
        <v>0</v>
      </c>
      <c r="M69" s="115">
        <f>L69+M66</f>
        <v>8.1833333333333336</v>
      </c>
      <c r="N69" s="26">
        <f>(N67+N68)/2</f>
        <v>0</v>
      </c>
      <c r="O69" s="27">
        <f>M69/383*100</f>
        <v>2.1366405570060922</v>
      </c>
      <c r="P69" s="26">
        <f>P67+P68</f>
        <v>2.7166666666666668</v>
      </c>
      <c r="Q69" s="115">
        <f>P69+Q66</f>
        <v>27.549999999999997</v>
      </c>
      <c r="R69" s="26">
        <f>(R67+R68)/2</f>
        <v>13.583333333333332</v>
      </c>
      <c r="S69" s="27">
        <f>Q69/383*100</f>
        <v>7.1932114882506522</v>
      </c>
      <c r="T69" s="27">
        <f t="shared" si="9"/>
        <v>100</v>
      </c>
    </row>
    <row r="70" spans="1:20" s="7" customFormat="1" ht="20.100000000000001" customHeight="1">
      <c r="A70" s="269" t="s">
        <v>258</v>
      </c>
      <c r="B70" s="143" t="s">
        <v>23</v>
      </c>
      <c r="C70" s="426" t="s">
        <v>246</v>
      </c>
      <c r="D70" s="29">
        <f>10-H70-L70-P70</f>
        <v>8.7166666666666668</v>
      </c>
      <c r="E70" s="114"/>
      <c r="F70" s="28">
        <f>D70/10*100</f>
        <v>87.166666666666671</v>
      </c>
      <c r="G70" s="30"/>
      <c r="H70" s="28">
        <f>(20+22+4+4)/60</f>
        <v>0.83333333333333337</v>
      </c>
      <c r="I70" s="114"/>
      <c r="J70" s="29">
        <f>H70/10*100</f>
        <v>8.3333333333333339</v>
      </c>
      <c r="K70" s="30"/>
      <c r="L70" s="29"/>
      <c r="M70" s="114"/>
      <c r="N70" s="29">
        <f>L70/10*100</f>
        <v>0</v>
      </c>
      <c r="O70" s="30"/>
      <c r="P70" s="29">
        <f>27/60</f>
        <v>0.45</v>
      </c>
      <c r="Q70" s="114"/>
      <c r="R70" s="29">
        <f>P70/10*100</f>
        <v>4.5</v>
      </c>
      <c r="S70" s="30"/>
      <c r="T70" s="102">
        <f t="shared" si="9"/>
        <v>0</v>
      </c>
    </row>
    <row r="71" spans="1:20" s="7" customFormat="1" ht="20.100000000000001" customHeight="1">
      <c r="A71" s="502"/>
      <c r="B71" s="155" t="s">
        <v>170</v>
      </c>
      <c r="C71" s="433" t="s">
        <v>259</v>
      </c>
      <c r="D71" s="29">
        <f>10-H71-L71-P71</f>
        <v>5.5333333333333332</v>
      </c>
      <c r="E71" s="114"/>
      <c r="F71" s="28">
        <f>D71/10*100</f>
        <v>55.333333333333336</v>
      </c>
      <c r="G71" s="30"/>
      <c r="H71" s="28">
        <f>(16+8)/60</f>
        <v>0.4</v>
      </c>
      <c r="I71" s="114"/>
      <c r="J71" s="29">
        <f>H71/10*100</f>
        <v>4</v>
      </c>
      <c r="K71" s="30"/>
      <c r="L71" s="29"/>
      <c r="M71" s="114"/>
      <c r="N71" s="29">
        <f>L71/10*100</f>
        <v>0</v>
      </c>
      <c r="O71" s="30"/>
      <c r="P71" s="29">
        <f>(190+16+38)/60</f>
        <v>4.0666666666666664</v>
      </c>
      <c r="Q71" s="114"/>
      <c r="R71" s="29">
        <f>P71/10*100</f>
        <v>40.666666666666664</v>
      </c>
      <c r="S71" s="30"/>
      <c r="T71" s="102">
        <f t="shared" si="9"/>
        <v>0</v>
      </c>
    </row>
    <row r="72" spans="1:20" s="7" customFormat="1" ht="20.100000000000001" customHeight="1">
      <c r="A72" s="156"/>
      <c r="B72" s="157"/>
      <c r="C72" s="158"/>
      <c r="D72" s="26">
        <f>D70+D71</f>
        <v>14.25</v>
      </c>
      <c r="E72" s="115">
        <f>D72+E69</f>
        <v>305.05333333333334</v>
      </c>
      <c r="F72" s="26">
        <f>(F70+F71)/2</f>
        <v>71.25</v>
      </c>
      <c r="G72" s="27">
        <f>E72/403*100</f>
        <v>75.695616211745246</v>
      </c>
      <c r="H72" s="26">
        <f>H70+H71</f>
        <v>1.2333333333333334</v>
      </c>
      <c r="I72" s="115">
        <f>H72+I69</f>
        <v>57.696666666666665</v>
      </c>
      <c r="J72" s="26">
        <f>(J70+J71)/2</f>
        <v>6.166666666666667</v>
      </c>
      <c r="K72" s="27">
        <f>I72/403*100</f>
        <v>14.316790736145574</v>
      </c>
      <c r="L72" s="26">
        <f>L70+L71</f>
        <v>0</v>
      </c>
      <c r="M72" s="115">
        <f>L72+M69</f>
        <v>8.1833333333333336</v>
      </c>
      <c r="N72" s="26">
        <f>(N70+N71)/2</f>
        <v>0</v>
      </c>
      <c r="O72" s="27">
        <f>M72/403*100</f>
        <v>2.0306038047973534</v>
      </c>
      <c r="P72" s="26">
        <f>P70+P71</f>
        <v>4.5166666666666666</v>
      </c>
      <c r="Q72" s="115">
        <f>P72+Q69</f>
        <v>32.066666666666663</v>
      </c>
      <c r="R72" s="26">
        <f>(R70+R71)/2</f>
        <v>22.583333333333332</v>
      </c>
      <c r="S72" s="27">
        <f>Q72/403*100</f>
        <v>7.9569892473118271</v>
      </c>
      <c r="T72" s="102">
        <f t="shared" si="9"/>
        <v>100</v>
      </c>
    </row>
    <row r="73" spans="1:20" s="7" customFormat="1" ht="20.100000000000001" customHeight="1">
      <c r="A73" s="269" t="s">
        <v>264</v>
      </c>
      <c r="B73" s="143" t="s">
        <v>26</v>
      </c>
      <c r="C73" s="433" t="s">
        <v>259</v>
      </c>
      <c r="D73" s="29">
        <f>10-H73-L73-P73</f>
        <v>9.5</v>
      </c>
      <c r="E73" s="114"/>
      <c r="F73" s="28">
        <f>D73/10*100</f>
        <v>95</v>
      </c>
      <c r="G73" s="30"/>
      <c r="H73" s="28">
        <f>(15+15)/60</f>
        <v>0.5</v>
      </c>
      <c r="I73" s="114"/>
      <c r="J73" s="29">
        <f>H73/10*100</f>
        <v>5</v>
      </c>
      <c r="K73" s="30"/>
      <c r="L73" s="29"/>
      <c r="M73" s="114"/>
      <c r="N73" s="29">
        <f>L73/10*100</f>
        <v>0</v>
      </c>
      <c r="O73" s="30"/>
      <c r="P73" s="29"/>
      <c r="Q73" s="114"/>
      <c r="R73" s="29">
        <f>P73/10*100</f>
        <v>0</v>
      </c>
      <c r="S73" s="30"/>
      <c r="T73" s="102">
        <f>S73+O73+K73+G73</f>
        <v>0</v>
      </c>
    </row>
    <row r="74" spans="1:20" s="7" customFormat="1" ht="20.100000000000001" customHeight="1">
      <c r="A74" s="502"/>
      <c r="B74" s="155" t="s">
        <v>23</v>
      </c>
      <c r="C74" s="433" t="s">
        <v>259</v>
      </c>
      <c r="D74" s="29">
        <f>10-H74-L74-P74</f>
        <v>7.0166666666666657</v>
      </c>
      <c r="E74" s="114"/>
      <c r="F74" s="28">
        <f>D74/10*100</f>
        <v>70.166666666666657</v>
      </c>
      <c r="G74" s="30"/>
      <c r="H74" s="28">
        <f>5/60</f>
        <v>8.3333333333333329E-2</v>
      </c>
      <c r="I74" s="114"/>
      <c r="J74" s="29">
        <f>H74/10*100</f>
        <v>0.83333333333333337</v>
      </c>
      <c r="K74" s="30"/>
      <c r="L74" s="29"/>
      <c r="M74" s="114"/>
      <c r="N74" s="29">
        <f>L74/10*100</f>
        <v>0</v>
      </c>
      <c r="O74" s="30"/>
      <c r="P74" s="29">
        <f>(114+60)/60</f>
        <v>2.9</v>
      </c>
      <c r="Q74" s="114"/>
      <c r="R74" s="29">
        <f>P74/10*100</f>
        <v>28.999999999999996</v>
      </c>
      <c r="S74" s="30"/>
      <c r="T74" s="102">
        <f>S74+O74+K74+G74</f>
        <v>0</v>
      </c>
    </row>
    <row r="75" spans="1:20" s="7" customFormat="1" ht="20.100000000000001" customHeight="1">
      <c r="A75" s="156"/>
      <c r="B75" s="157"/>
      <c r="C75" s="158"/>
      <c r="D75" s="26">
        <f>D73+D74</f>
        <v>16.516666666666666</v>
      </c>
      <c r="E75" s="115">
        <f>D75+E72</f>
        <v>321.57</v>
      </c>
      <c r="F75" s="26">
        <f>(F73+F74)/2</f>
        <v>82.583333333333329</v>
      </c>
      <c r="G75" s="27">
        <f>E75/423*100</f>
        <v>76.021276595744681</v>
      </c>
      <c r="H75" s="26">
        <f>H73+H74</f>
        <v>0.58333333333333337</v>
      </c>
      <c r="I75" s="115">
        <f>H75+I72</f>
        <v>58.28</v>
      </c>
      <c r="J75" s="26">
        <f>(J73+J74)/2</f>
        <v>2.9166666666666665</v>
      </c>
      <c r="K75" s="27">
        <f>I75/423*100</f>
        <v>13.777777777777779</v>
      </c>
      <c r="L75" s="26">
        <f>L73+L74</f>
        <v>0</v>
      </c>
      <c r="M75" s="115">
        <f>L75+M72</f>
        <v>8.1833333333333336</v>
      </c>
      <c r="N75" s="26">
        <f>(N73+N74)/2</f>
        <v>0</v>
      </c>
      <c r="O75" s="27">
        <f>M75/423*100</f>
        <v>1.9345941686367218</v>
      </c>
      <c r="P75" s="26">
        <f>P73+P74</f>
        <v>2.9</v>
      </c>
      <c r="Q75" s="115">
        <f>P75+Q72</f>
        <v>34.966666666666661</v>
      </c>
      <c r="R75" s="26">
        <f>(R73+R74)/2</f>
        <v>14.499999999999998</v>
      </c>
      <c r="S75" s="27">
        <f>Q75/423*100</f>
        <v>8.2663514578408197</v>
      </c>
      <c r="T75" s="102">
        <f>S75+O75+K75+G75</f>
        <v>100</v>
      </c>
    </row>
    <row r="76" spans="1:20" s="7" customFormat="1" ht="20.100000000000001" customHeight="1">
      <c r="A76" s="165"/>
      <c r="B76" s="166"/>
      <c r="C76" s="353"/>
      <c r="D76" s="3"/>
      <c r="E76" s="354"/>
      <c r="F76" s="3"/>
      <c r="G76" s="355"/>
      <c r="H76" s="3"/>
      <c r="I76" s="354"/>
      <c r="J76" s="3"/>
      <c r="K76" s="355"/>
      <c r="L76" s="3"/>
      <c r="M76" s="354"/>
      <c r="N76" s="3"/>
      <c r="O76" s="355"/>
      <c r="P76" s="3"/>
      <c r="Q76" s="354"/>
      <c r="R76" s="3"/>
      <c r="S76" s="355"/>
      <c r="T76" s="102"/>
    </row>
    <row r="77" spans="1:20" s="7" customFormat="1" ht="15.95" customHeight="1">
      <c r="A77" s="159" t="s">
        <v>84</v>
      </c>
      <c r="B77" s="160"/>
      <c r="C77" s="161"/>
      <c r="D77" s="162"/>
      <c r="E77" s="163"/>
      <c r="F77" s="162"/>
      <c r="G77" s="295"/>
      <c r="H77" s="162"/>
      <c r="I77" s="163"/>
      <c r="J77" s="162"/>
      <c r="K77" s="164"/>
      <c r="L77" s="162"/>
      <c r="M77" s="163"/>
      <c r="N77" s="162"/>
      <c r="O77" s="288"/>
      <c r="P77" s="287"/>
      <c r="Q77" s="163"/>
      <c r="R77" s="162"/>
      <c r="S77" s="164"/>
      <c r="T77" s="102"/>
    </row>
    <row r="78" spans="1:20" s="7" customFormat="1" ht="15.95" customHeight="1">
      <c r="A78" s="165" t="s">
        <v>267</v>
      </c>
      <c r="B78" s="166"/>
      <c r="C78" s="167"/>
      <c r="D78" s="168"/>
      <c r="E78" s="169"/>
      <c r="F78" s="168"/>
      <c r="G78" s="170"/>
      <c r="H78" s="162"/>
      <c r="I78" s="165" t="s">
        <v>268</v>
      </c>
      <c r="J78" s="166"/>
      <c r="K78" s="170"/>
      <c r="L78" s="168"/>
      <c r="M78" s="163"/>
      <c r="N78" s="162"/>
      <c r="O78" s="288"/>
      <c r="P78" s="287"/>
      <c r="Q78" s="163"/>
      <c r="R78" s="162"/>
      <c r="S78" s="164"/>
      <c r="T78" s="102"/>
    </row>
    <row r="79" spans="1:20" s="7" customFormat="1" ht="15.95" customHeight="1">
      <c r="A79" s="171" t="s">
        <v>68</v>
      </c>
      <c r="B79" s="172"/>
      <c r="C79" s="171"/>
      <c r="D79" s="162"/>
      <c r="E79" s="163"/>
      <c r="F79" s="162"/>
      <c r="G79" s="164"/>
      <c r="H79" s="162"/>
      <c r="I79" s="171" t="s">
        <v>68</v>
      </c>
      <c r="J79" s="172"/>
      <c r="K79" s="171"/>
      <c r="L79" s="162"/>
      <c r="M79" s="163"/>
      <c r="N79" s="162"/>
      <c r="O79" s="288"/>
      <c r="P79" s="287"/>
      <c r="Q79" s="163"/>
      <c r="R79" s="162"/>
      <c r="S79" s="164"/>
      <c r="T79" s="102"/>
    </row>
    <row r="80" spans="1:20" s="7" customFormat="1" ht="15.95" customHeight="1">
      <c r="A80" s="171" t="s">
        <v>85</v>
      </c>
      <c r="B80" s="172"/>
      <c r="C80" s="171"/>
      <c r="D80" s="162"/>
      <c r="E80" s="163"/>
      <c r="F80" s="162"/>
      <c r="G80" s="164"/>
      <c r="H80" s="162"/>
      <c r="I80" s="171" t="s">
        <v>85</v>
      </c>
      <c r="J80" s="171"/>
      <c r="K80" s="171"/>
      <c r="L80" s="162"/>
      <c r="M80" s="163"/>
      <c r="N80" s="162"/>
      <c r="O80" s="288"/>
      <c r="P80" s="287"/>
      <c r="Q80" s="163"/>
      <c r="R80" s="162"/>
      <c r="S80" s="164"/>
      <c r="T80" s="102"/>
    </row>
    <row r="81" spans="1:20" s="7" customFormat="1" ht="15.95" customHeight="1">
      <c r="A81" s="171" t="s">
        <v>89</v>
      </c>
      <c r="B81" s="172"/>
      <c r="C81" s="171"/>
      <c r="D81" s="162"/>
      <c r="E81" s="163"/>
      <c r="F81" s="162"/>
      <c r="G81" s="164"/>
      <c r="H81" s="162"/>
      <c r="I81" s="171" t="s">
        <v>89</v>
      </c>
      <c r="J81" s="172"/>
      <c r="K81" s="171" t="s">
        <v>270</v>
      </c>
      <c r="L81" s="162"/>
      <c r="M81" s="163"/>
      <c r="N81" s="162"/>
      <c r="O81" s="288"/>
      <c r="P81" s="287"/>
      <c r="Q81" s="163"/>
      <c r="R81" s="162"/>
      <c r="S81" s="164"/>
      <c r="T81" s="102"/>
    </row>
    <row r="82" spans="1:20" s="7" customFormat="1" ht="15.95" customHeight="1">
      <c r="A82" s="171"/>
      <c r="B82" s="172"/>
      <c r="C82" s="171"/>
      <c r="D82" s="162"/>
      <c r="E82" s="163"/>
      <c r="F82" s="162"/>
      <c r="G82" s="164"/>
      <c r="H82" s="162"/>
      <c r="I82" s="171"/>
      <c r="J82" s="172"/>
      <c r="K82" s="171" t="s">
        <v>269</v>
      </c>
      <c r="L82" s="162"/>
      <c r="M82" s="163"/>
      <c r="N82" s="162"/>
      <c r="O82" s="288"/>
      <c r="P82" s="287"/>
      <c r="Q82" s="163"/>
      <c r="R82" s="162"/>
      <c r="S82" s="164"/>
      <c r="T82" s="102"/>
    </row>
    <row r="83" spans="1:20" s="7" customFormat="1" ht="15.95" customHeight="1">
      <c r="A83" s="171"/>
      <c r="B83" s="172"/>
      <c r="C83" s="171"/>
      <c r="D83" s="162"/>
      <c r="E83" s="163"/>
      <c r="F83" s="162"/>
      <c r="G83" s="164"/>
      <c r="H83" s="162"/>
      <c r="I83" s="171"/>
      <c r="J83" s="172"/>
      <c r="K83" s="171"/>
      <c r="L83" s="162"/>
      <c r="M83" s="163"/>
      <c r="N83" s="162"/>
      <c r="O83" s="288"/>
      <c r="P83" s="287"/>
      <c r="Q83" s="163"/>
      <c r="R83" s="162"/>
      <c r="S83" s="164"/>
      <c r="T83" s="102"/>
    </row>
    <row r="84" spans="1:20" s="7" customFormat="1" ht="15.95" customHeight="1">
      <c r="A84" s="171"/>
      <c r="B84" s="172"/>
      <c r="C84" s="171"/>
      <c r="D84" s="162"/>
      <c r="E84" s="163"/>
      <c r="F84" s="162"/>
      <c r="G84" s="164"/>
      <c r="H84" s="162"/>
      <c r="I84" s="171"/>
      <c r="J84" s="172"/>
      <c r="K84" s="171"/>
      <c r="L84" s="162"/>
      <c r="M84" s="163"/>
      <c r="N84" s="162"/>
      <c r="O84" s="288"/>
      <c r="P84" s="287"/>
      <c r="Q84" s="163"/>
      <c r="R84" s="162"/>
      <c r="S84" s="164"/>
      <c r="T84" s="102"/>
    </row>
    <row r="85" spans="1:20" s="7" customFormat="1" ht="24.75" customHeight="1">
      <c r="A85" s="171"/>
      <c r="B85" s="172"/>
      <c r="C85" s="718" t="s">
        <v>25</v>
      </c>
      <c r="D85" s="718"/>
      <c r="E85" s="718"/>
      <c r="F85" s="718"/>
      <c r="G85" s="173"/>
      <c r="H85" s="174"/>
      <c r="I85" s="171"/>
      <c r="J85" s="172"/>
      <c r="K85" s="171"/>
      <c r="L85" s="162"/>
      <c r="M85" s="163"/>
      <c r="N85" s="162"/>
      <c r="O85" s="718" t="s">
        <v>24</v>
      </c>
      <c r="P85" s="718"/>
      <c r="Q85" s="718"/>
      <c r="R85" s="718"/>
      <c r="S85" s="718"/>
      <c r="T85" s="10"/>
    </row>
    <row r="86" spans="1:20" s="7" customFormat="1" ht="24.75" customHeight="1">
      <c r="A86" s="171"/>
      <c r="B86" s="172"/>
      <c r="C86" s="47"/>
      <c r="D86" s="47"/>
      <c r="E86" s="47"/>
      <c r="F86" s="47"/>
      <c r="G86" s="13"/>
      <c r="H86" s="2"/>
      <c r="I86" s="122"/>
      <c r="J86" s="5"/>
      <c r="K86" s="20"/>
      <c r="L86" s="19"/>
      <c r="M86" s="122"/>
      <c r="N86" s="2"/>
      <c r="O86" s="47"/>
      <c r="P86" s="47"/>
      <c r="Q86" s="47"/>
      <c r="R86" s="47"/>
      <c r="S86" s="47"/>
      <c r="T86" s="10"/>
    </row>
    <row r="87" spans="1:20" s="7" customFormat="1" ht="18" customHeight="1">
      <c r="A87" s="159"/>
      <c r="B87" s="160"/>
      <c r="C87" s="11"/>
      <c r="D87" s="11"/>
      <c r="E87" s="116"/>
      <c r="F87" s="5"/>
      <c r="G87" s="12"/>
      <c r="H87" s="2"/>
      <c r="I87" s="122"/>
      <c r="J87" s="5"/>
      <c r="K87" s="5"/>
      <c r="L87" s="18"/>
      <c r="M87" s="113"/>
      <c r="N87" s="5"/>
      <c r="O87" s="14"/>
      <c r="P87" s="53"/>
      <c r="Q87" s="123"/>
      <c r="R87" s="53"/>
      <c r="S87" s="53"/>
      <c r="T87" s="10"/>
    </row>
    <row r="88" spans="1:20" s="7" customFormat="1" ht="18" customHeight="1">
      <c r="A88" s="171"/>
      <c r="B88" s="332"/>
      <c r="C88" s="719" t="s">
        <v>61</v>
      </c>
      <c r="D88" s="719"/>
      <c r="E88" s="719"/>
      <c r="F88" s="719"/>
      <c r="G88" s="12"/>
      <c r="H88" s="5"/>
      <c r="I88" s="113"/>
      <c r="J88" s="5"/>
      <c r="K88" s="5"/>
      <c r="L88" s="18"/>
      <c r="M88" s="113"/>
      <c r="N88" s="5"/>
      <c r="O88" s="719" t="s">
        <v>28</v>
      </c>
      <c r="P88" s="719"/>
      <c r="Q88" s="719"/>
      <c r="R88" s="719"/>
      <c r="S88" s="719"/>
      <c r="T88" s="10"/>
    </row>
    <row r="89" spans="1:20" s="7" customFormat="1" ht="18" customHeight="1">
      <c r="A89" s="434"/>
      <c r="B89" s="172"/>
      <c r="C89" s="171"/>
      <c r="D89" s="162"/>
      <c r="E89" s="117"/>
      <c r="F89" s="5"/>
      <c r="G89" s="12"/>
      <c r="H89" s="5"/>
      <c r="I89" s="113"/>
      <c r="J89" s="5"/>
      <c r="K89" s="5"/>
      <c r="L89" s="18"/>
      <c r="M89" s="113"/>
      <c r="N89" s="5"/>
      <c r="O89" s="5"/>
      <c r="P89" s="31"/>
      <c r="Q89" s="117"/>
      <c r="R89" s="31"/>
      <c r="S89" s="5"/>
      <c r="T89" s="10"/>
    </row>
    <row r="90" spans="1:20" s="7" customFormat="1" ht="18" customHeight="1">
      <c r="A90" s="171"/>
      <c r="B90" s="172"/>
      <c r="C90" s="435"/>
      <c r="D90" s="436"/>
      <c r="E90" s="113"/>
      <c r="F90" s="5"/>
      <c r="G90" s="12"/>
      <c r="H90" s="5"/>
      <c r="I90" s="113"/>
      <c r="J90" s="5"/>
      <c r="K90" s="5"/>
      <c r="L90" s="18"/>
      <c r="M90" s="113"/>
      <c r="N90" s="5"/>
      <c r="O90" s="5"/>
      <c r="P90" s="5"/>
      <c r="Q90" s="113"/>
      <c r="R90" s="5"/>
      <c r="S90" s="5"/>
      <c r="T90" s="10"/>
    </row>
    <row r="91" spans="1:20" s="7" customFormat="1" ht="18" customHeight="1">
      <c r="A91" s="24"/>
      <c r="B91" s="259"/>
      <c r="C91" s="259"/>
      <c r="D91" s="5"/>
      <c r="E91" s="113"/>
      <c r="F91" s="5"/>
      <c r="G91" s="12"/>
      <c r="H91" s="5"/>
      <c r="I91" s="113"/>
      <c r="J91" s="5"/>
      <c r="K91" s="5"/>
      <c r="L91" s="18"/>
      <c r="M91" s="113"/>
      <c r="N91" s="5"/>
      <c r="O91" s="5"/>
      <c r="P91" s="5"/>
      <c r="Q91" s="113"/>
      <c r="R91" s="5"/>
      <c r="S91" s="5"/>
      <c r="T91" s="10"/>
    </row>
    <row r="92" spans="1:20" s="7" customFormat="1" ht="18" customHeight="1">
      <c r="A92" s="25"/>
      <c r="B92" s="5"/>
      <c r="C92" s="5"/>
      <c r="D92" s="5"/>
      <c r="E92" s="113"/>
      <c r="F92" s="5"/>
      <c r="G92" s="12"/>
      <c r="H92" s="5"/>
      <c r="I92" s="113"/>
      <c r="J92" s="5"/>
      <c r="K92" s="5"/>
      <c r="L92" s="18"/>
      <c r="M92" s="113"/>
      <c r="N92" s="5"/>
      <c r="O92" s="5"/>
      <c r="P92" s="5"/>
      <c r="Q92" s="113"/>
      <c r="R92" s="5"/>
      <c r="S92" s="5"/>
      <c r="T92" s="10"/>
    </row>
    <row r="93" spans="1:20" s="7" customFormat="1" ht="18" customHeight="1">
      <c r="A93" s="25"/>
      <c r="B93" s="5"/>
      <c r="C93" s="5"/>
      <c r="D93" s="5"/>
      <c r="E93" s="113"/>
      <c r="F93" s="5"/>
      <c r="G93" s="12"/>
      <c r="H93" s="5"/>
      <c r="I93" s="113"/>
      <c r="J93" s="5"/>
      <c r="K93" s="5"/>
      <c r="L93" s="18"/>
      <c r="M93" s="113"/>
      <c r="N93" s="5"/>
      <c r="O93" s="5"/>
      <c r="P93" s="5"/>
      <c r="Q93" s="113"/>
      <c r="R93" s="5"/>
      <c r="S93" s="5"/>
      <c r="T93" s="10"/>
    </row>
    <row r="94" spans="1:20" s="7" customFormat="1" ht="18" customHeight="1">
      <c r="A94" s="25"/>
      <c r="B94" s="5"/>
      <c r="C94" s="5"/>
      <c r="D94" s="5"/>
      <c r="E94" s="113"/>
      <c r="F94" s="5"/>
      <c r="G94" s="12"/>
      <c r="H94" s="5"/>
      <c r="I94" s="113"/>
      <c r="J94" s="5"/>
      <c r="K94" s="5"/>
      <c r="L94" s="18"/>
      <c r="M94" s="113"/>
      <c r="N94" s="5"/>
      <c r="O94" s="5"/>
      <c r="P94" s="5"/>
      <c r="Q94" s="113"/>
      <c r="R94" s="5"/>
      <c r="S94" s="5"/>
      <c r="T94" s="10"/>
    </row>
    <row r="95" spans="1:20" s="7" customFormat="1" ht="18" customHeight="1">
      <c r="A95" s="25"/>
      <c r="B95" s="5"/>
      <c r="C95" s="5"/>
      <c r="D95" s="5"/>
      <c r="E95" s="113"/>
      <c r="F95" s="5"/>
      <c r="G95" s="12"/>
      <c r="H95" s="5"/>
      <c r="I95" s="113"/>
      <c r="J95" s="5"/>
      <c r="K95" s="5"/>
      <c r="L95" s="18"/>
      <c r="M95" s="113"/>
      <c r="N95" s="5"/>
      <c r="O95" s="5"/>
      <c r="P95" s="5"/>
      <c r="Q95" s="113"/>
      <c r="R95" s="5"/>
      <c r="S95" s="5"/>
      <c r="T95" s="10"/>
    </row>
    <row r="96" spans="1:20" s="7" customFormat="1" ht="18" customHeight="1">
      <c r="A96" s="25"/>
      <c r="B96" s="5"/>
      <c r="C96" s="5"/>
      <c r="D96" s="5"/>
      <c r="E96" s="113"/>
      <c r="F96" s="5"/>
      <c r="G96" s="12"/>
      <c r="H96" s="5"/>
      <c r="I96" s="113"/>
      <c r="J96" s="5"/>
      <c r="K96" s="5"/>
      <c r="L96" s="18"/>
      <c r="M96" s="113"/>
      <c r="N96" s="5"/>
      <c r="O96" s="5"/>
      <c r="P96" s="5"/>
      <c r="Q96" s="113"/>
      <c r="R96" s="5"/>
      <c r="S96" s="5"/>
      <c r="T96" s="10"/>
    </row>
    <row r="97" spans="1:20" s="7" customFormat="1" ht="18" customHeight="1">
      <c r="A97" s="25"/>
      <c r="B97" s="5"/>
      <c r="C97" s="5"/>
      <c r="D97" s="5"/>
      <c r="E97" s="113"/>
      <c r="F97" s="5"/>
      <c r="G97" s="12"/>
      <c r="H97" s="5"/>
      <c r="I97" s="113"/>
      <c r="J97" s="5"/>
      <c r="K97" s="5"/>
      <c r="L97" s="18"/>
      <c r="M97" s="113"/>
      <c r="N97" s="5"/>
      <c r="O97" s="5"/>
      <c r="P97" s="5"/>
      <c r="Q97" s="113"/>
      <c r="R97" s="5"/>
      <c r="S97" s="5"/>
      <c r="T97" s="10"/>
    </row>
    <row r="98" spans="1:20" s="7" customFormat="1" ht="18" customHeight="1">
      <c r="A98" s="25"/>
      <c r="B98" s="5"/>
      <c r="C98" s="5"/>
      <c r="D98" s="5"/>
      <c r="E98" s="113"/>
      <c r="F98" s="5"/>
      <c r="G98" s="12"/>
      <c r="H98" s="5"/>
      <c r="I98" s="113"/>
      <c r="J98" s="5"/>
      <c r="K98" s="5"/>
      <c r="L98" s="18"/>
      <c r="M98" s="113"/>
      <c r="N98" s="5"/>
      <c r="O98" s="5"/>
      <c r="P98" s="5"/>
      <c r="Q98" s="113"/>
      <c r="R98" s="5"/>
      <c r="S98" s="5"/>
      <c r="T98" s="10"/>
    </row>
    <row r="99" spans="1:20" s="7" customFormat="1" ht="18" customHeight="1">
      <c r="A99" s="25"/>
      <c r="B99" s="5"/>
      <c r="C99" s="5"/>
      <c r="D99" s="5"/>
      <c r="E99" s="113"/>
      <c r="F99" s="5"/>
      <c r="G99" s="12"/>
      <c r="H99" s="5"/>
      <c r="I99" s="113"/>
      <c r="J99" s="5"/>
      <c r="K99" s="5"/>
      <c r="L99" s="18"/>
      <c r="M99" s="113"/>
      <c r="N99" s="5"/>
      <c r="O99" s="5"/>
      <c r="P99" s="5"/>
      <c r="Q99" s="113"/>
      <c r="R99" s="5"/>
      <c r="S99" s="5"/>
      <c r="T99" s="10"/>
    </row>
    <row r="100" spans="1:20" s="7" customFormat="1" ht="18" customHeight="1">
      <c r="A100" s="25"/>
      <c r="B100" s="5"/>
      <c r="C100" s="5"/>
      <c r="D100" s="5"/>
      <c r="E100" s="113"/>
      <c r="F100" s="5"/>
      <c r="G100" s="12"/>
      <c r="H100" s="5"/>
      <c r="I100" s="113"/>
      <c r="J100" s="5"/>
      <c r="K100" s="5"/>
      <c r="L100" s="18"/>
      <c r="M100" s="113"/>
      <c r="N100" s="5"/>
      <c r="O100" s="5"/>
      <c r="P100" s="5"/>
      <c r="Q100" s="113"/>
      <c r="R100" s="5"/>
      <c r="S100" s="5"/>
      <c r="T100" s="10"/>
    </row>
    <row r="101" spans="1:20" s="7" customFormat="1" ht="18" customHeight="1">
      <c r="A101" s="25"/>
      <c r="B101" s="5"/>
      <c r="C101" s="5"/>
      <c r="D101" s="5"/>
      <c r="E101" s="113"/>
      <c r="F101" s="5"/>
      <c r="G101" s="12"/>
      <c r="H101" s="5"/>
      <c r="I101" s="113"/>
      <c r="J101" s="5"/>
      <c r="K101" s="5"/>
      <c r="L101" s="18"/>
      <c r="M101" s="113"/>
      <c r="N101" s="5"/>
      <c r="O101" s="5"/>
      <c r="P101" s="5"/>
      <c r="Q101" s="113"/>
      <c r="R101" s="5"/>
      <c r="S101" s="5"/>
      <c r="T101" s="10"/>
    </row>
    <row r="102" spans="1:20" s="7" customFormat="1" ht="18" customHeight="1">
      <c r="A102" s="25"/>
      <c r="B102" s="5"/>
      <c r="C102" s="5"/>
      <c r="D102" s="5"/>
      <c r="E102" s="113"/>
      <c r="F102" s="5"/>
      <c r="G102" s="12"/>
      <c r="H102" s="5"/>
      <c r="I102" s="113"/>
      <c r="J102" s="5"/>
      <c r="K102" s="5"/>
      <c r="L102" s="18"/>
      <c r="M102" s="113"/>
      <c r="N102" s="5"/>
      <c r="O102" s="5"/>
      <c r="P102" s="5"/>
      <c r="Q102" s="113"/>
      <c r="R102" s="5"/>
      <c r="S102" s="5"/>
      <c r="T102" s="10"/>
    </row>
    <row r="103" spans="1:20" s="7" customFormat="1" ht="18" customHeight="1">
      <c r="A103" s="25"/>
      <c r="B103" s="5"/>
      <c r="C103" s="5"/>
      <c r="D103" s="5"/>
      <c r="E103" s="113"/>
      <c r="F103" s="5"/>
      <c r="G103" s="12"/>
      <c r="H103" s="5"/>
      <c r="I103" s="113"/>
      <c r="J103" s="5"/>
      <c r="K103" s="5"/>
      <c r="L103" s="18"/>
      <c r="M103" s="113"/>
      <c r="N103" s="5"/>
      <c r="O103" s="5"/>
      <c r="P103" s="5"/>
      <c r="Q103" s="113"/>
      <c r="R103" s="5"/>
      <c r="S103" s="5"/>
      <c r="T103" s="10"/>
    </row>
    <row r="104" spans="1:20" s="7" customFormat="1" ht="18" customHeight="1">
      <c r="A104" s="21"/>
      <c r="B104" s="5"/>
      <c r="C104" s="14"/>
      <c r="D104" s="5" t="s">
        <v>65</v>
      </c>
      <c r="E104" s="118" t="s">
        <v>66</v>
      </c>
      <c r="F104" s="2" t="s">
        <v>69</v>
      </c>
      <c r="G104" s="13" t="s">
        <v>27</v>
      </c>
      <c r="H104" s="2" t="s">
        <v>1</v>
      </c>
      <c r="I104" s="118"/>
      <c r="J104" s="2" t="s">
        <v>76</v>
      </c>
      <c r="K104" s="13"/>
      <c r="L104" s="18"/>
      <c r="M104" s="118"/>
      <c r="N104" s="2"/>
      <c r="O104" s="13"/>
      <c r="P104" s="2"/>
      <c r="Q104" s="118"/>
      <c r="R104" s="2"/>
      <c r="S104" s="2"/>
      <c r="T104" s="10"/>
    </row>
    <row r="105" spans="1:20">
      <c r="A105" s="21"/>
      <c r="B105" s="5"/>
      <c r="C105" s="426" t="s">
        <v>246</v>
      </c>
      <c r="D105" s="2">
        <f t="shared" ref="D105:D114" si="10">SUMIF($C$10:$C$76,C105,$H$10:$H$76)</f>
        <v>13.950000000000001</v>
      </c>
      <c r="E105" s="2">
        <f t="shared" ref="E105:E114" si="11">SUMIF($C$10:$C$76,C105,$L$10:$L$104)</f>
        <v>4.7</v>
      </c>
      <c r="F105" s="2">
        <f t="shared" ref="F105:F114" si="12">SUMIF($C$10:$C$76,C105,$P$10:$P$104)</f>
        <v>6.7166666666666668</v>
      </c>
      <c r="G105" s="13">
        <f>SUM(D105:F105)</f>
        <v>25.366666666666667</v>
      </c>
      <c r="H105" s="2">
        <f t="shared" ref="H105:H114" si="13">COUNTIF($C$10:$C$76,C105)</f>
        <v>8</v>
      </c>
      <c r="I105" s="118"/>
      <c r="J105" s="2">
        <f>H105*10</f>
        <v>80</v>
      </c>
      <c r="K105" s="13"/>
      <c r="L105" s="18"/>
      <c r="M105" s="118"/>
      <c r="N105" s="2"/>
      <c r="O105" s="13"/>
      <c r="P105" s="2"/>
      <c r="Q105" s="118"/>
      <c r="R105" s="2"/>
      <c r="S105" s="2"/>
    </row>
    <row r="106" spans="1:20">
      <c r="A106" s="22"/>
      <c r="B106" s="17"/>
      <c r="C106" s="426" t="s">
        <v>186</v>
      </c>
      <c r="D106" s="2">
        <f t="shared" si="10"/>
        <v>11.066666666666666</v>
      </c>
      <c r="E106" s="2">
        <f t="shared" si="11"/>
        <v>2.7166666666666663</v>
      </c>
      <c r="F106" s="2">
        <f t="shared" si="12"/>
        <v>1.9333333333333331</v>
      </c>
      <c r="G106" s="13">
        <f t="shared" ref="G106:G114" si="14">SUM(D106:F106)</f>
        <v>15.716666666666667</v>
      </c>
      <c r="H106" s="2">
        <f t="shared" si="13"/>
        <v>9</v>
      </c>
      <c r="I106" s="119"/>
      <c r="J106" s="2">
        <f>H106*10+2</f>
        <v>92</v>
      </c>
      <c r="K106" s="17"/>
      <c r="L106" s="18"/>
      <c r="M106" s="119"/>
      <c r="N106" s="17"/>
      <c r="O106" s="17"/>
      <c r="P106" s="17"/>
      <c r="Q106" s="119"/>
      <c r="R106" s="717"/>
      <c r="S106" s="3"/>
    </row>
    <row r="107" spans="1:20">
      <c r="A107" s="22"/>
      <c r="B107" s="17"/>
      <c r="C107" s="433" t="s">
        <v>233</v>
      </c>
      <c r="D107" s="2">
        <f t="shared" si="10"/>
        <v>8.3000000000000007</v>
      </c>
      <c r="E107" s="2">
        <f t="shared" si="11"/>
        <v>0</v>
      </c>
      <c r="F107" s="2">
        <f t="shared" si="12"/>
        <v>0</v>
      </c>
      <c r="G107" s="13">
        <f t="shared" si="14"/>
        <v>8.3000000000000007</v>
      </c>
      <c r="H107" s="2">
        <f t="shared" si="13"/>
        <v>2</v>
      </c>
      <c r="I107" s="119"/>
      <c r="J107" s="2">
        <f t="shared" ref="J107:J114" si="15">H107*10</f>
        <v>20</v>
      </c>
      <c r="K107" s="17"/>
      <c r="L107" s="18"/>
      <c r="M107" s="119"/>
      <c r="N107" s="17"/>
      <c r="O107" s="17"/>
      <c r="P107" s="17"/>
      <c r="Q107" s="119"/>
      <c r="R107" s="717"/>
      <c r="S107" s="3"/>
    </row>
    <row r="108" spans="1:20">
      <c r="A108" s="22"/>
      <c r="B108" s="17"/>
      <c r="C108" s="17" t="s">
        <v>205</v>
      </c>
      <c r="D108" s="2">
        <f t="shared" si="10"/>
        <v>4.3633333333333333</v>
      </c>
      <c r="E108" s="2">
        <f t="shared" si="11"/>
        <v>0.41666666666666669</v>
      </c>
      <c r="F108" s="2">
        <f t="shared" si="12"/>
        <v>1.3666666666666667</v>
      </c>
      <c r="G108" s="13">
        <f t="shared" si="14"/>
        <v>6.1466666666666665</v>
      </c>
      <c r="H108" s="2">
        <f t="shared" si="13"/>
        <v>4</v>
      </c>
      <c r="I108" s="119"/>
      <c r="J108" s="2">
        <f t="shared" si="15"/>
        <v>40</v>
      </c>
      <c r="K108" s="17"/>
      <c r="L108" s="18"/>
      <c r="M108" s="119"/>
      <c r="N108" s="17"/>
      <c r="O108" s="17"/>
      <c r="P108" s="17"/>
      <c r="Q108" s="119"/>
      <c r="R108" s="717"/>
      <c r="S108" s="3"/>
    </row>
    <row r="109" spans="1:20">
      <c r="A109" s="22"/>
      <c r="B109" s="17"/>
      <c r="C109" s="17" t="s">
        <v>47</v>
      </c>
      <c r="D109" s="2">
        <f t="shared" si="10"/>
        <v>2.6833333333333331</v>
      </c>
      <c r="E109" s="2">
        <f t="shared" si="11"/>
        <v>0</v>
      </c>
      <c r="F109" s="2">
        <f t="shared" si="12"/>
        <v>0.95</v>
      </c>
      <c r="G109" s="13">
        <f t="shared" si="14"/>
        <v>3.6333333333333329</v>
      </c>
      <c r="H109" s="2">
        <f t="shared" si="13"/>
        <v>2</v>
      </c>
      <c r="I109" s="119"/>
      <c r="J109" s="2">
        <f t="shared" si="15"/>
        <v>20</v>
      </c>
      <c r="K109" s="17"/>
      <c r="L109" s="18"/>
      <c r="M109" s="119"/>
      <c r="N109" s="17"/>
      <c r="O109" s="17"/>
      <c r="P109" s="17"/>
      <c r="Q109" s="119"/>
      <c r="R109" s="717"/>
      <c r="S109" s="3"/>
    </row>
    <row r="110" spans="1:20">
      <c r="A110" s="22"/>
      <c r="B110" s="17"/>
      <c r="C110" s="17" t="s">
        <v>215</v>
      </c>
      <c r="D110" s="2">
        <f t="shared" si="10"/>
        <v>5.6</v>
      </c>
      <c r="E110" s="2">
        <f t="shared" si="11"/>
        <v>0.35</v>
      </c>
      <c r="F110" s="2">
        <f t="shared" si="12"/>
        <v>2.4166666666666665</v>
      </c>
      <c r="G110" s="13">
        <f t="shared" si="14"/>
        <v>8.3666666666666654</v>
      </c>
      <c r="H110" s="2">
        <f t="shared" si="13"/>
        <v>5</v>
      </c>
      <c r="I110" s="119"/>
      <c r="J110" s="2">
        <f t="shared" si="15"/>
        <v>50</v>
      </c>
      <c r="K110" s="17"/>
      <c r="L110" s="18"/>
      <c r="M110" s="119"/>
      <c r="N110" s="17"/>
      <c r="O110" s="17"/>
      <c r="P110" s="17"/>
      <c r="Q110" s="119"/>
      <c r="R110" s="717"/>
      <c r="S110" s="3"/>
    </row>
    <row r="111" spans="1:20">
      <c r="A111" s="22"/>
      <c r="B111" s="17"/>
      <c r="C111" s="17" t="s">
        <v>223</v>
      </c>
      <c r="D111" s="2">
        <f t="shared" si="10"/>
        <v>0.93333333333333335</v>
      </c>
      <c r="E111" s="2">
        <f t="shared" si="11"/>
        <v>0</v>
      </c>
      <c r="F111" s="2">
        <f t="shared" si="12"/>
        <v>9.0833333333333339</v>
      </c>
      <c r="G111" s="13">
        <f t="shared" si="14"/>
        <v>10.016666666666667</v>
      </c>
      <c r="H111" s="2">
        <f t="shared" si="13"/>
        <v>3</v>
      </c>
      <c r="I111" s="119"/>
      <c r="J111" s="2">
        <f t="shared" si="15"/>
        <v>30</v>
      </c>
      <c r="K111" s="17"/>
      <c r="L111" s="18"/>
      <c r="M111" s="119"/>
      <c r="N111" s="17"/>
      <c r="O111" s="17"/>
      <c r="P111" s="17"/>
      <c r="Q111" s="119"/>
      <c r="R111" s="518"/>
      <c r="S111" s="3"/>
    </row>
    <row r="112" spans="1:20">
      <c r="A112" s="22"/>
      <c r="B112" s="17"/>
      <c r="C112" s="433" t="s">
        <v>216</v>
      </c>
      <c r="D112" s="2">
        <f t="shared" si="10"/>
        <v>2.2833333333333332</v>
      </c>
      <c r="E112" s="2">
        <f t="shared" si="11"/>
        <v>0</v>
      </c>
      <c r="F112" s="2">
        <f t="shared" si="12"/>
        <v>1.4833333333333334</v>
      </c>
      <c r="G112" s="13">
        <f t="shared" si="14"/>
        <v>3.7666666666666666</v>
      </c>
      <c r="H112" s="2">
        <f t="shared" si="13"/>
        <v>1</v>
      </c>
      <c r="I112" s="119"/>
      <c r="J112" s="2">
        <f t="shared" si="15"/>
        <v>10</v>
      </c>
      <c r="K112" s="17"/>
      <c r="L112" s="18"/>
      <c r="M112" s="119"/>
      <c r="N112" s="17"/>
      <c r="O112" s="17"/>
      <c r="P112" s="17"/>
      <c r="Q112" s="119"/>
      <c r="R112" s="518"/>
      <c r="S112" s="3"/>
    </row>
    <row r="113" spans="1:19">
      <c r="A113" s="22"/>
      <c r="B113" s="17"/>
      <c r="C113" s="17" t="s">
        <v>228</v>
      </c>
      <c r="D113" s="2">
        <f t="shared" si="10"/>
        <v>6.4</v>
      </c>
      <c r="E113" s="2">
        <f t="shared" si="11"/>
        <v>0</v>
      </c>
      <c r="F113" s="2">
        <f t="shared" si="12"/>
        <v>3.9</v>
      </c>
      <c r="G113" s="13">
        <f t="shared" si="14"/>
        <v>10.3</v>
      </c>
      <c r="H113" s="2">
        <f t="shared" si="13"/>
        <v>3</v>
      </c>
      <c r="I113" s="119"/>
      <c r="J113" s="2">
        <f t="shared" si="15"/>
        <v>30</v>
      </c>
      <c r="K113" s="17"/>
      <c r="L113" s="18"/>
      <c r="M113" s="119"/>
      <c r="N113" s="17"/>
      <c r="O113" s="17"/>
      <c r="P113" s="17"/>
      <c r="Q113" s="119"/>
      <c r="R113" s="518"/>
      <c r="S113" s="3"/>
    </row>
    <row r="114" spans="1:19">
      <c r="A114" s="21"/>
      <c r="B114" s="8"/>
      <c r="C114" s="53" t="s">
        <v>37</v>
      </c>
      <c r="D114" s="2">
        <f t="shared" si="10"/>
        <v>1.7166666666666666</v>
      </c>
      <c r="E114" s="2">
        <f t="shared" si="11"/>
        <v>0</v>
      </c>
      <c r="F114" s="2">
        <f t="shared" si="12"/>
        <v>0.15</v>
      </c>
      <c r="G114" s="13">
        <f t="shared" si="14"/>
        <v>1.8666666666666665</v>
      </c>
      <c r="H114" s="2">
        <f t="shared" si="13"/>
        <v>2</v>
      </c>
      <c r="I114" s="120"/>
      <c r="J114" s="2">
        <f t="shared" si="15"/>
        <v>20</v>
      </c>
      <c r="K114" s="3"/>
      <c r="L114" s="18"/>
      <c r="M114" s="120"/>
      <c r="N114" s="3"/>
      <c r="O114" s="3"/>
      <c r="P114" s="3"/>
      <c r="Q114" s="120"/>
      <c r="R114" s="3"/>
      <c r="S114" s="3"/>
    </row>
    <row r="115" spans="1:19">
      <c r="A115" s="21"/>
      <c r="B115" s="5"/>
      <c r="C115" s="12"/>
      <c r="D115" s="5"/>
      <c r="E115" s="118"/>
      <c r="F115" s="2"/>
      <c r="G115" s="13"/>
      <c r="H115" s="13"/>
      <c r="I115" s="13"/>
      <c r="J115" s="13">
        <f>SUM(J105:J114)</f>
        <v>392</v>
      </c>
      <c r="K115" s="13"/>
      <c r="L115" s="18"/>
      <c r="M115" s="118"/>
      <c r="N115" s="2"/>
      <c r="O115" s="13"/>
      <c r="P115" s="2"/>
      <c r="Q115" s="118"/>
      <c r="R115" s="2"/>
      <c r="S115" s="13"/>
    </row>
    <row r="116" spans="1:19">
      <c r="A116" s="21"/>
      <c r="B116" s="5"/>
      <c r="C116" s="12"/>
      <c r="D116" s="2">
        <f>SUM(D105:D115)</f>
        <v>57.296666666666653</v>
      </c>
      <c r="E116" s="2">
        <f>SUM(E105:E115)</f>
        <v>8.1833333333333336</v>
      </c>
      <c r="F116" s="2">
        <f>SUM(F105:F115)</f>
        <v>28</v>
      </c>
      <c r="G116" s="13"/>
      <c r="H116" s="2"/>
      <c r="I116" s="118"/>
      <c r="J116" s="2">
        <f>G115/J115*100</f>
        <v>0</v>
      </c>
      <c r="K116" s="13"/>
      <c r="L116" s="2"/>
      <c r="M116" s="118"/>
      <c r="N116" s="2"/>
      <c r="O116" s="13"/>
      <c r="P116" s="2"/>
      <c r="Q116" s="118"/>
      <c r="R116" s="2"/>
      <c r="S116" s="13"/>
    </row>
    <row r="117" spans="1:19">
      <c r="A117" s="21"/>
      <c r="B117" s="5"/>
      <c r="C117" s="12"/>
      <c r="D117" s="5"/>
      <c r="E117" s="118"/>
      <c r="F117" s="2"/>
      <c r="G117" s="13"/>
      <c r="H117" s="2"/>
      <c r="I117" s="118"/>
      <c r="J117" s="2"/>
      <c r="K117" s="13"/>
      <c r="L117" s="2"/>
      <c r="M117" s="118"/>
      <c r="N117" s="2"/>
      <c r="O117" s="13"/>
      <c r="P117" s="2"/>
      <c r="Q117" s="118"/>
      <c r="R117" s="2"/>
      <c r="S117" s="13"/>
    </row>
    <row r="118" spans="1:19">
      <c r="A118" s="21"/>
      <c r="B118" s="8"/>
      <c r="C118" s="11"/>
      <c r="D118" s="8"/>
      <c r="E118" s="120"/>
      <c r="F118" s="3"/>
      <c r="G118" s="15"/>
      <c r="H118" s="3"/>
      <c r="I118" s="120"/>
      <c r="J118" s="3"/>
      <c r="K118" s="3"/>
      <c r="L118" s="3"/>
      <c r="M118" s="120"/>
      <c r="N118" s="3"/>
      <c r="O118" s="3"/>
      <c r="P118" s="3"/>
      <c r="Q118" s="120"/>
      <c r="R118" s="3"/>
      <c r="S118" s="3"/>
    </row>
    <row r="119" spans="1:19">
      <c r="A119" s="21"/>
      <c r="B119" s="5"/>
      <c r="C119" s="12"/>
      <c r="D119" s="5"/>
      <c r="E119" s="118"/>
      <c r="F119" s="2"/>
      <c r="G119" s="13"/>
      <c r="H119" s="2"/>
      <c r="I119" s="118"/>
      <c r="J119" s="2"/>
      <c r="K119" s="13"/>
      <c r="L119" s="2"/>
      <c r="M119" s="118"/>
      <c r="N119" s="2"/>
      <c r="O119" s="13"/>
      <c r="P119" s="2"/>
      <c r="Q119" s="118"/>
      <c r="R119" s="2"/>
      <c r="S119" s="13"/>
    </row>
    <row r="120" spans="1:19">
      <c r="A120" s="21"/>
      <c r="B120" s="8"/>
      <c r="C120" s="11"/>
      <c r="D120" s="8"/>
      <c r="E120" s="120"/>
      <c r="F120" s="3"/>
      <c r="G120" s="15"/>
      <c r="H120" s="3"/>
      <c r="I120" s="120"/>
      <c r="J120" s="3"/>
      <c r="K120" s="3"/>
      <c r="L120" s="3"/>
      <c r="M120" s="120"/>
      <c r="N120" s="3"/>
      <c r="O120" s="3"/>
      <c r="P120" s="3"/>
      <c r="Q120" s="120"/>
      <c r="R120" s="3"/>
      <c r="S120" s="3"/>
    </row>
    <row r="121" spans="1:19">
      <c r="A121" s="21"/>
      <c r="B121" s="8"/>
      <c r="C121" s="11"/>
      <c r="D121" s="8"/>
      <c r="E121" s="120"/>
      <c r="F121" s="3"/>
      <c r="G121" s="15"/>
      <c r="H121" s="3"/>
      <c r="I121" s="120"/>
      <c r="J121" s="3"/>
      <c r="K121" s="3"/>
      <c r="L121" s="3"/>
      <c r="M121" s="120"/>
      <c r="N121" s="3"/>
      <c r="O121" s="3"/>
      <c r="P121" s="3"/>
      <c r="Q121" s="120"/>
      <c r="R121" s="3"/>
      <c r="S121" s="3"/>
    </row>
    <row r="122" spans="1:19">
      <c r="A122" s="21"/>
      <c r="B122" s="8"/>
      <c r="C122" s="11"/>
      <c r="D122" s="8"/>
      <c r="E122" s="120"/>
      <c r="F122" s="3"/>
      <c r="G122" s="15"/>
      <c r="H122" s="3"/>
      <c r="I122" s="120"/>
      <c r="J122" s="3"/>
      <c r="K122" s="3"/>
      <c r="L122" s="3"/>
      <c r="M122" s="120"/>
      <c r="N122" s="3"/>
      <c r="O122" s="3"/>
      <c r="P122" s="3"/>
      <c r="Q122" s="120"/>
      <c r="R122" s="3"/>
      <c r="S122" s="3"/>
    </row>
    <row r="123" spans="1:19">
      <c r="A123" s="21"/>
      <c r="B123" s="5"/>
      <c r="C123" s="696"/>
      <c r="D123" s="696"/>
      <c r="E123" s="696"/>
      <c r="F123" s="5"/>
      <c r="G123" s="12"/>
      <c r="H123" s="5"/>
      <c r="I123" s="113"/>
      <c r="J123" s="5"/>
      <c r="K123" s="5"/>
      <c r="L123" s="5"/>
      <c r="M123" s="113"/>
      <c r="N123" s="5"/>
      <c r="O123" s="5"/>
      <c r="P123" s="696"/>
      <c r="Q123" s="696"/>
      <c r="R123" s="696"/>
      <c r="S123" s="5"/>
    </row>
    <row r="124" spans="1:19">
      <c r="A124" s="21"/>
      <c r="B124" s="5"/>
      <c r="C124" s="5"/>
      <c r="D124" s="5"/>
      <c r="E124" s="113"/>
      <c r="F124" s="5"/>
      <c r="G124" s="12"/>
      <c r="H124" s="5"/>
      <c r="I124" s="113"/>
      <c r="J124" s="5"/>
      <c r="K124" s="5"/>
      <c r="L124" s="5"/>
      <c r="M124" s="113"/>
      <c r="N124" s="5"/>
      <c r="O124" s="5"/>
      <c r="P124" s="5"/>
      <c r="Q124" s="113"/>
      <c r="R124" s="5"/>
      <c r="S124" s="5"/>
    </row>
    <row r="125" spans="1:19" ht="15.75">
      <c r="A125" s="21"/>
      <c r="B125" s="5"/>
      <c r="C125" s="715"/>
      <c r="D125" s="715"/>
      <c r="E125" s="715"/>
      <c r="F125" s="5"/>
      <c r="G125" s="12"/>
      <c r="H125" s="5"/>
      <c r="I125" s="113"/>
      <c r="J125" s="5"/>
      <c r="K125" s="5"/>
      <c r="L125" s="5"/>
      <c r="M125" s="113"/>
      <c r="N125" s="5"/>
      <c r="O125" s="5"/>
      <c r="P125" s="715"/>
      <c r="Q125" s="715"/>
      <c r="R125" s="715"/>
      <c r="S125" s="5"/>
    </row>
    <row r="126" spans="1:19">
      <c r="A126" s="21"/>
      <c r="B126" s="5"/>
      <c r="C126" s="5"/>
      <c r="D126" s="5"/>
      <c r="E126" s="113"/>
      <c r="F126" s="5"/>
      <c r="G126" s="12"/>
      <c r="H126" s="5"/>
      <c r="I126" s="113"/>
      <c r="J126" s="5"/>
      <c r="K126" s="5"/>
      <c r="L126" s="5"/>
      <c r="M126" s="113"/>
      <c r="N126" s="5"/>
      <c r="O126" s="5"/>
      <c r="P126" s="5"/>
      <c r="Q126" s="113"/>
      <c r="R126" s="5"/>
      <c r="S126" s="5"/>
    </row>
    <row r="127" spans="1:19">
      <c r="A127" s="23"/>
    </row>
    <row r="128" spans="1:19">
      <c r="A128" s="23"/>
    </row>
    <row r="129" spans="1:1">
      <c r="A129" s="23"/>
    </row>
    <row r="130" spans="1:1">
      <c r="A130" s="23"/>
    </row>
    <row r="131" spans="1:1">
      <c r="A131" s="23"/>
    </row>
    <row r="132" spans="1:1">
      <c r="A132" s="23"/>
    </row>
    <row r="133" spans="1:1">
      <c r="A133" s="23"/>
    </row>
    <row r="134" spans="1:1">
      <c r="A134" s="23"/>
    </row>
    <row r="135" spans="1:1">
      <c r="A135" s="23"/>
    </row>
    <row r="136" spans="1:1">
      <c r="A136" s="23"/>
    </row>
    <row r="137" spans="1:1">
      <c r="A137" s="23"/>
    </row>
    <row r="138" spans="1:1">
      <c r="A138" s="23"/>
    </row>
    <row r="139" spans="1:1">
      <c r="A139" s="23"/>
    </row>
    <row r="140" spans="1:1">
      <c r="A140" s="23"/>
    </row>
    <row r="141" spans="1:1">
      <c r="A141" s="23"/>
    </row>
    <row r="142" spans="1:1">
      <c r="A142" s="23"/>
    </row>
    <row r="143" spans="1:1">
      <c r="A143" s="23"/>
    </row>
    <row r="144" spans="1:1">
      <c r="A144" s="23"/>
    </row>
    <row r="145" spans="1:1">
      <c r="A145" s="23"/>
    </row>
    <row r="146" spans="1:1">
      <c r="A146" s="23"/>
    </row>
    <row r="147" spans="1:1">
      <c r="A147" s="23"/>
    </row>
    <row r="148" spans="1:1">
      <c r="A148" s="23"/>
    </row>
    <row r="149" spans="1:1">
      <c r="A149" s="23"/>
    </row>
    <row r="150" spans="1:1">
      <c r="A150" s="23"/>
    </row>
    <row r="151" spans="1:1">
      <c r="A151" s="23"/>
    </row>
    <row r="152" spans="1:1">
      <c r="A152" s="23"/>
    </row>
    <row r="153" spans="1:1">
      <c r="A153" s="23"/>
    </row>
    <row r="154" spans="1:1">
      <c r="A154" s="23"/>
    </row>
    <row r="155" spans="1:1">
      <c r="A155" s="23"/>
    </row>
    <row r="156" spans="1:1">
      <c r="A156" s="23"/>
    </row>
    <row r="157" spans="1:1">
      <c r="A157" s="23"/>
    </row>
    <row r="158" spans="1:1">
      <c r="A158" s="23"/>
    </row>
    <row r="159" spans="1:1">
      <c r="A159" s="23"/>
    </row>
    <row r="160" spans="1:1">
      <c r="A160" s="23"/>
    </row>
    <row r="161" spans="1:1">
      <c r="A161" s="23"/>
    </row>
    <row r="162" spans="1:1">
      <c r="A162" s="23"/>
    </row>
    <row r="163" spans="1:1">
      <c r="A163" s="23"/>
    </row>
  </sheetData>
  <mergeCells count="25">
    <mergeCell ref="Q2:S2"/>
    <mergeCell ref="Q1:S1"/>
    <mergeCell ref="R106:R110"/>
    <mergeCell ref="C123:E123"/>
    <mergeCell ref="P123:R123"/>
    <mergeCell ref="L8:M8"/>
    <mergeCell ref="N8:O8"/>
    <mergeCell ref="P8:Q8"/>
    <mergeCell ref="R8:S8"/>
    <mergeCell ref="D8:E8"/>
    <mergeCell ref="F8:G8"/>
    <mergeCell ref="H8:I8"/>
    <mergeCell ref="J8:K8"/>
    <mergeCell ref="A4:R4"/>
    <mergeCell ref="A5:S5"/>
    <mergeCell ref="D7:G7"/>
    <mergeCell ref="H7:K7"/>
    <mergeCell ref="L7:O7"/>
    <mergeCell ref="P7:S7"/>
    <mergeCell ref="C125:E125"/>
    <mergeCell ref="P125:R125"/>
    <mergeCell ref="C85:F85"/>
    <mergeCell ref="O85:S85"/>
    <mergeCell ref="C88:F88"/>
    <mergeCell ref="O88:S88"/>
  </mergeCells>
  <phoneticPr fontId="0" type="noConversion"/>
  <pageMargins left="0.54" right="0.23" top="0.47" bottom="0.62" header="0.36" footer="0.5"/>
  <pageSetup paperSize="9" orientation="landscape" r:id="rId1"/>
  <headerFooter alignWithMargins="0">
    <oddFooter xml:space="preserve">&amp;L&amp;".VnTime, Bold"&amp;11&amp;UN¬i göi :&amp;U &amp;".VnTime,Regular"&amp;12      &amp;".VnTime,  Italic"&amp;10Ban Gi¸m ®èc
                          L­u P/X c¸n&amp;".VnTime,Regular"&amp;12
</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01"/>
  <sheetViews>
    <sheetView workbookViewId="0"/>
  </sheetViews>
  <sheetFormatPr defaultRowHeight="20.100000000000001" customHeight="1"/>
  <cols>
    <col min="1" max="1" width="4" style="32" customWidth="1"/>
    <col min="2" max="2" width="0.125" style="32" customWidth="1"/>
    <col min="3" max="3" width="3.25" style="32" customWidth="1"/>
    <col min="4" max="4" width="13.25" style="32" customWidth="1"/>
    <col min="5" max="5" width="9" style="32"/>
    <col min="6" max="6" width="10.625" style="32" customWidth="1"/>
    <col min="7" max="7" width="10.75" style="52" customWidth="1"/>
    <col min="8" max="8" width="8.875" style="52" customWidth="1"/>
    <col min="9" max="9" width="6.375" style="32" customWidth="1"/>
    <col min="10" max="10" width="5.125" style="32" customWidth="1"/>
    <col min="11" max="11" width="6.375" style="32" customWidth="1"/>
    <col min="12" max="12" width="7.25" style="56" customWidth="1"/>
    <col min="13" max="13" width="6.375" style="56" customWidth="1"/>
    <col min="14" max="14" width="7.125" style="32" customWidth="1"/>
    <col min="15" max="15" width="8.75" style="32" customWidth="1"/>
    <col min="16" max="16" width="7.375" style="32" customWidth="1"/>
    <col min="17" max="17" width="7.5" style="32" customWidth="1"/>
    <col min="18" max="18" width="6.875" style="32" customWidth="1"/>
    <col min="19" max="19" width="11.25" style="32" customWidth="1"/>
    <col min="20" max="20" width="10.25" style="32" customWidth="1"/>
    <col min="21" max="21" width="9" style="32"/>
    <col min="22" max="22" width="11.25" style="32" bestFit="1" customWidth="1"/>
    <col min="23" max="23" width="10.125" style="32" bestFit="1" customWidth="1"/>
    <col min="24" max="24" width="9.125" style="32" bestFit="1" customWidth="1"/>
    <col min="25" max="25" width="9.25" style="32" bestFit="1" customWidth="1"/>
    <col min="26" max="16384" width="9" style="32"/>
  </cols>
  <sheetData>
    <row r="1" spans="1:20" ht="20.100000000000001" customHeight="1">
      <c r="P1" s="428"/>
      <c r="Q1" s="731" t="s">
        <v>203</v>
      </c>
      <c r="R1" s="731"/>
    </row>
    <row r="2" spans="1:20" ht="20.100000000000001" customHeight="1">
      <c r="P2" s="732" t="s">
        <v>204</v>
      </c>
      <c r="Q2" s="732"/>
      <c r="R2" s="732"/>
    </row>
    <row r="3" spans="1:20" ht="24.75" customHeight="1">
      <c r="A3" s="201" t="s">
        <v>87</v>
      </c>
    </row>
    <row r="4" spans="1:20" s="205" customFormat="1" ht="21.75" customHeight="1">
      <c r="A4" s="204"/>
      <c r="B4" s="204"/>
      <c r="C4" s="204"/>
      <c r="D4" s="204"/>
      <c r="E4" s="202" t="s">
        <v>86</v>
      </c>
      <c r="F4" s="202"/>
      <c r="G4" s="202"/>
      <c r="H4" s="202"/>
      <c r="I4" s="202"/>
      <c r="J4" s="202"/>
      <c r="K4" s="202"/>
      <c r="L4" s="202"/>
      <c r="M4" s="202"/>
      <c r="N4" s="202"/>
      <c r="O4" s="202"/>
      <c r="P4" s="202"/>
      <c r="Q4" s="202"/>
      <c r="R4" s="202"/>
    </row>
    <row r="5" spans="1:20" ht="18" customHeight="1">
      <c r="A5" s="673" t="s">
        <v>305</v>
      </c>
      <c r="B5" s="673"/>
      <c r="C5" s="673"/>
      <c r="D5" s="673"/>
      <c r="E5" s="673"/>
      <c r="F5" s="673"/>
      <c r="G5" s="673"/>
      <c r="H5" s="673"/>
      <c r="I5" s="673"/>
      <c r="J5" s="673"/>
      <c r="K5" s="673"/>
      <c r="L5" s="673"/>
      <c r="M5" s="673"/>
      <c r="N5" s="673"/>
      <c r="O5" s="673"/>
      <c r="P5" s="673"/>
      <c r="Q5" s="673"/>
      <c r="R5" s="673"/>
    </row>
    <row r="6" spans="1:20" ht="13.5" customHeight="1">
      <c r="B6" s="201"/>
      <c r="C6" s="201"/>
      <c r="D6" s="201"/>
      <c r="E6" s="175"/>
      <c r="F6" s="175"/>
      <c r="G6" s="176"/>
      <c r="H6" s="176"/>
      <c r="I6" s="175"/>
      <c r="J6" s="175"/>
      <c r="K6" s="175"/>
      <c r="L6" s="177"/>
      <c r="M6" s="177"/>
      <c r="N6" s="175"/>
      <c r="O6" s="175"/>
      <c r="P6" s="175"/>
      <c r="Q6" s="175"/>
      <c r="R6" s="175"/>
    </row>
    <row r="7" spans="1:20" s="65" customFormat="1" ht="14.1" customHeight="1">
      <c r="A7" s="456" t="s">
        <v>0</v>
      </c>
      <c r="B7" s="296"/>
      <c r="C7" s="297" t="s">
        <v>1</v>
      </c>
      <c r="D7" s="298"/>
      <c r="E7" s="674" t="s">
        <v>91</v>
      </c>
      <c r="F7" s="675"/>
      <c r="G7" s="676" t="s">
        <v>2</v>
      </c>
      <c r="H7" s="676"/>
      <c r="I7" s="677" t="s">
        <v>3</v>
      </c>
      <c r="J7" s="678"/>
      <c r="K7" s="677" t="s">
        <v>49</v>
      </c>
      <c r="L7" s="678"/>
      <c r="M7" s="676" t="s">
        <v>50</v>
      </c>
      <c r="N7" s="676"/>
      <c r="O7" s="679" t="s">
        <v>4</v>
      </c>
      <c r="P7" s="680"/>
      <c r="Q7" s="676" t="s">
        <v>5</v>
      </c>
      <c r="R7" s="676"/>
    </row>
    <row r="8" spans="1:20" s="65" customFormat="1" ht="14.1" customHeight="1">
      <c r="A8" s="299"/>
      <c r="B8" s="300"/>
      <c r="C8" s="301" t="s">
        <v>6</v>
      </c>
      <c r="D8" s="686" t="s">
        <v>12</v>
      </c>
      <c r="E8" s="297" t="s">
        <v>0</v>
      </c>
      <c r="F8" s="297" t="s">
        <v>7</v>
      </c>
      <c r="G8" s="297" t="s">
        <v>0</v>
      </c>
      <c r="H8" s="297" t="s">
        <v>7</v>
      </c>
      <c r="I8" s="297" t="s">
        <v>0</v>
      </c>
      <c r="J8" s="297" t="s">
        <v>90</v>
      </c>
      <c r="K8" s="297" t="s">
        <v>0</v>
      </c>
      <c r="L8" s="297" t="s">
        <v>7</v>
      </c>
      <c r="M8" s="297" t="s">
        <v>0</v>
      </c>
      <c r="N8" s="297" t="s">
        <v>90</v>
      </c>
      <c r="O8" s="302" t="s">
        <v>0</v>
      </c>
      <c r="P8" s="297" t="s">
        <v>7</v>
      </c>
      <c r="Q8" s="297" t="s">
        <v>0</v>
      </c>
      <c r="R8" s="297" t="s">
        <v>90</v>
      </c>
    </row>
    <row r="9" spans="1:20" s="65" customFormat="1" ht="14.1" customHeight="1">
      <c r="A9" s="303"/>
      <c r="B9" s="304"/>
      <c r="C9" s="305"/>
      <c r="D9" s="687"/>
      <c r="E9" s="189" t="s">
        <v>8</v>
      </c>
      <c r="F9" s="189" t="s">
        <v>8</v>
      </c>
      <c r="G9" s="189" t="s">
        <v>8</v>
      </c>
      <c r="H9" s="189" t="s">
        <v>8</v>
      </c>
      <c r="I9" s="189" t="s">
        <v>9</v>
      </c>
      <c r="J9" s="189" t="s">
        <v>9</v>
      </c>
      <c r="K9" s="189" t="s">
        <v>73</v>
      </c>
      <c r="L9" s="189" t="s">
        <v>73</v>
      </c>
      <c r="M9" s="335" t="s">
        <v>74</v>
      </c>
      <c r="N9" s="335" t="s">
        <v>74</v>
      </c>
      <c r="O9" s="336" t="s">
        <v>10</v>
      </c>
      <c r="P9" s="336" t="s">
        <v>10</v>
      </c>
      <c r="Q9" s="335" t="s">
        <v>11</v>
      </c>
      <c r="R9" s="335" t="s">
        <v>11</v>
      </c>
    </row>
    <row r="10" spans="1:20" s="65" customFormat="1" ht="15.95" customHeight="1">
      <c r="A10" s="269" t="s">
        <v>265</v>
      </c>
      <c r="B10" s="208"/>
      <c r="C10" s="187"/>
      <c r="D10" s="531" t="s">
        <v>156</v>
      </c>
      <c r="E10" s="661">
        <f>SUM(O144)</f>
        <v>277.04820000000001</v>
      </c>
      <c r="F10" s="307"/>
      <c r="G10" s="508">
        <v>253.63399999999999</v>
      </c>
      <c r="H10" s="307"/>
      <c r="I10" s="728">
        <f>SUM(G10:G11)/E10*100</f>
        <v>94.987081670265312</v>
      </c>
      <c r="J10" s="307"/>
      <c r="K10" s="649">
        <v>10687</v>
      </c>
      <c r="L10" s="307"/>
      <c r="M10" s="728">
        <f>K10/SUM(G10:G11)</f>
        <v>40.610275117799063</v>
      </c>
      <c r="N10" s="307"/>
      <c r="O10" s="649">
        <v>18726</v>
      </c>
      <c r="P10" s="307"/>
      <c r="Q10" s="728">
        <f>O10/SUM(G10:G11)</f>
        <v>71.158230734154131</v>
      </c>
      <c r="R10" s="307"/>
      <c r="S10" s="65">
        <v>954</v>
      </c>
      <c r="T10" s="65">
        <v>878</v>
      </c>
    </row>
    <row r="11" spans="1:20" s="65" customFormat="1" ht="15.95" customHeight="1">
      <c r="A11" s="188"/>
      <c r="B11" s="208"/>
      <c r="C11" s="187"/>
      <c r="D11" s="532" t="s">
        <v>266</v>
      </c>
      <c r="E11" s="646"/>
      <c r="F11" s="307"/>
      <c r="G11" s="534">
        <v>9.5259999999999998</v>
      </c>
      <c r="H11" s="307"/>
      <c r="I11" s="729"/>
      <c r="J11" s="307"/>
      <c r="K11" s="727"/>
      <c r="L11" s="307"/>
      <c r="M11" s="729"/>
      <c r="N11" s="307"/>
      <c r="O11" s="727"/>
      <c r="P11" s="307"/>
      <c r="Q11" s="729"/>
      <c r="R11" s="307"/>
    </row>
    <row r="12" spans="1:20" s="65" customFormat="1" ht="24.75" customHeight="1">
      <c r="A12" s="178"/>
      <c r="B12" s="179"/>
      <c r="C12" s="178"/>
      <c r="D12" s="178"/>
      <c r="E12" s="276">
        <f>SUM(E10)</f>
        <v>277.04820000000001</v>
      </c>
      <c r="F12" s="276">
        <f>E12</f>
        <v>277.04820000000001</v>
      </c>
      <c r="G12" s="276">
        <f>SUM(G10:G11)</f>
        <v>263.15999999999997</v>
      </c>
      <c r="H12" s="276">
        <f>G12</f>
        <v>263.15999999999997</v>
      </c>
      <c r="I12" s="276"/>
      <c r="J12" s="309">
        <f>H12/F12*100</f>
        <v>94.987081670265312</v>
      </c>
      <c r="K12" s="310">
        <f>SUM(K10)</f>
        <v>10687</v>
      </c>
      <c r="L12" s="310">
        <f>K12</f>
        <v>10687</v>
      </c>
      <c r="M12" s="276"/>
      <c r="N12" s="309">
        <f>L12/G12*100</f>
        <v>4061.0275117799065</v>
      </c>
      <c r="O12" s="310">
        <f>SUM(O10)</f>
        <v>18726</v>
      </c>
      <c r="P12" s="310">
        <f>O12</f>
        <v>18726</v>
      </c>
      <c r="Q12" s="311"/>
      <c r="R12" s="278">
        <f>P12/H12</f>
        <v>71.158230734154131</v>
      </c>
    </row>
    <row r="13" spans="1:20" s="65" customFormat="1" ht="15.95" customHeight="1">
      <c r="A13" s="269">
        <v>37990</v>
      </c>
      <c r="B13" s="208"/>
      <c r="C13" s="226" t="s">
        <v>26</v>
      </c>
      <c r="D13" s="531" t="s">
        <v>274</v>
      </c>
      <c r="E13" s="661">
        <f>SUM(O146:O147)</f>
        <v>324.19159999999999</v>
      </c>
      <c r="F13" s="211"/>
      <c r="G13" s="211">
        <v>295.91699999999997</v>
      </c>
      <c r="H13" s="270"/>
      <c r="I13" s="647">
        <f>SUM(G13:G15)/E13*100</f>
        <v>96.373255815388177</v>
      </c>
      <c r="J13" s="211"/>
      <c r="K13" s="649">
        <v>11147</v>
      </c>
      <c r="L13" s="211"/>
      <c r="M13" s="651">
        <f>K13/SUM(G13:G15)</f>
        <v>35.677935179910001</v>
      </c>
      <c r="N13" s="211"/>
      <c r="O13" s="649">
        <v>21083</v>
      </c>
      <c r="P13" s="211"/>
      <c r="Q13" s="651">
        <f>O13/SUM(G13:G15)</f>
        <v>67.479851744688489</v>
      </c>
      <c r="R13" s="211"/>
    </row>
    <row r="14" spans="1:20" s="65" customFormat="1" ht="15.95" customHeight="1">
      <c r="A14" s="269"/>
      <c r="B14" s="208"/>
      <c r="C14" s="226"/>
      <c r="D14" s="532" t="s">
        <v>276</v>
      </c>
      <c r="E14" s="662"/>
      <c r="F14" s="211"/>
      <c r="G14" s="211">
        <v>14.551</v>
      </c>
      <c r="H14" s="270"/>
      <c r="I14" s="665"/>
      <c r="J14" s="211"/>
      <c r="K14" s="650"/>
      <c r="L14" s="211"/>
      <c r="M14" s="652"/>
      <c r="N14" s="211"/>
      <c r="O14" s="650"/>
      <c r="P14" s="211"/>
      <c r="Q14" s="652"/>
      <c r="R14" s="211"/>
    </row>
    <row r="15" spans="1:20" s="65" customFormat="1" ht="15.95" customHeight="1">
      <c r="A15" s="188"/>
      <c r="B15" s="208"/>
      <c r="C15" s="226"/>
      <c r="D15" s="532" t="s">
        <v>275</v>
      </c>
      <c r="E15" s="662"/>
      <c r="F15" s="211"/>
      <c r="G15" s="211">
        <v>1.966</v>
      </c>
      <c r="H15" s="211"/>
      <c r="I15" s="648"/>
      <c r="J15" s="211"/>
      <c r="K15" s="650"/>
      <c r="L15" s="211"/>
      <c r="M15" s="652"/>
      <c r="N15" s="211"/>
      <c r="O15" s="650"/>
      <c r="P15" s="211"/>
      <c r="Q15" s="652"/>
      <c r="R15" s="211"/>
    </row>
    <row r="16" spans="1:20" s="65" customFormat="1" ht="15.95" customHeight="1">
      <c r="A16" s="209"/>
      <c r="B16" s="210"/>
      <c r="C16" s="352" t="s">
        <v>23</v>
      </c>
      <c r="D16" s="531" t="s">
        <v>41</v>
      </c>
      <c r="E16" s="645">
        <f>SUM(O148)</f>
        <v>384.25100000000003</v>
      </c>
      <c r="F16" s="212"/>
      <c r="G16" s="212">
        <v>360.38200000000001</v>
      </c>
      <c r="H16" s="212"/>
      <c r="I16" s="647">
        <f>SUM(G16:G17)/E16*100</f>
        <v>93.788174916916276</v>
      </c>
      <c r="J16" s="212"/>
      <c r="K16" s="649">
        <v>12985</v>
      </c>
      <c r="L16" s="212"/>
      <c r="M16" s="651">
        <f>K16/SUM(G16:G17)</f>
        <v>36.031211325759891</v>
      </c>
      <c r="N16" s="212"/>
      <c r="O16" s="649">
        <v>28536</v>
      </c>
      <c r="P16" s="212"/>
      <c r="Q16" s="730">
        <f>O16/SUM(G16:G17)</f>
        <v>79.182645082162821</v>
      </c>
      <c r="R16" s="212"/>
    </row>
    <row r="17" spans="1:18" s="65" customFormat="1" ht="15.95" customHeight="1">
      <c r="A17" s="209"/>
      <c r="B17" s="210"/>
      <c r="C17" s="352"/>
      <c r="D17" s="532"/>
      <c r="E17" s="646"/>
      <c r="F17" s="212"/>
      <c r="G17" s="212"/>
      <c r="H17" s="212"/>
      <c r="I17" s="648"/>
      <c r="J17" s="212"/>
      <c r="K17" s="650"/>
      <c r="L17" s="212"/>
      <c r="M17" s="652"/>
      <c r="N17" s="212"/>
      <c r="O17" s="650"/>
      <c r="P17" s="212"/>
      <c r="Q17" s="726"/>
      <c r="R17" s="212"/>
    </row>
    <row r="18" spans="1:18" s="65" customFormat="1" ht="15.95" customHeight="1">
      <c r="A18" s="178"/>
      <c r="B18" s="179"/>
      <c r="C18" s="178"/>
      <c r="D18" s="178"/>
      <c r="E18" s="276">
        <f>SUM(E13:E17)</f>
        <v>708.44260000000008</v>
      </c>
      <c r="F18" s="276">
        <f>E18+F12</f>
        <v>985.49080000000004</v>
      </c>
      <c r="G18" s="276">
        <f>SUM(G13:G17)</f>
        <v>672.81600000000003</v>
      </c>
      <c r="H18" s="276">
        <f>G18+H12</f>
        <v>935.976</v>
      </c>
      <c r="I18" s="276"/>
      <c r="J18" s="309">
        <f>H18/F18*100</f>
        <v>94.975620269615916</v>
      </c>
      <c r="K18" s="310">
        <f>SUM(K13:K17)</f>
        <v>24132</v>
      </c>
      <c r="L18" s="310">
        <f>K18+L12</f>
        <v>34819</v>
      </c>
      <c r="M18" s="276"/>
      <c r="N18" s="309">
        <f>L18/H18</f>
        <v>37.200740189919401</v>
      </c>
      <c r="O18" s="310">
        <f>SUM(O13:O17)</f>
        <v>49619</v>
      </c>
      <c r="P18" s="310">
        <f>O18+P12</f>
        <v>68345</v>
      </c>
      <c r="Q18" s="311"/>
      <c r="R18" s="278">
        <f>P18/H18</f>
        <v>73.020034701744493</v>
      </c>
    </row>
    <row r="19" spans="1:18" s="65" customFormat="1" ht="15.95" customHeight="1">
      <c r="A19" s="269">
        <v>38021</v>
      </c>
      <c r="B19" s="208"/>
      <c r="C19" s="226" t="s">
        <v>170</v>
      </c>
      <c r="D19" s="531" t="s">
        <v>41</v>
      </c>
      <c r="E19" s="661">
        <f>SUM(O150:O151)</f>
        <v>398.45860000000005</v>
      </c>
      <c r="F19" s="211"/>
      <c r="G19" s="211">
        <v>370.233</v>
      </c>
      <c r="H19" s="270"/>
      <c r="I19" s="647">
        <f>SUM(G19:G21)/E19*100</f>
        <v>95.613446415763136</v>
      </c>
      <c r="J19" s="211"/>
      <c r="K19" s="649">
        <v>12994</v>
      </c>
      <c r="L19" s="211"/>
      <c r="M19" s="651">
        <f>K19/SUM(G19:G21)</f>
        <v>34.106777258648748</v>
      </c>
      <c r="N19" s="211"/>
      <c r="O19" s="649">
        <v>30015</v>
      </c>
      <c r="P19" s="211"/>
      <c r="Q19" s="651">
        <f>O19/SUM(G19:G21)</f>
        <v>78.783663184419126</v>
      </c>
      <c r="R19" s="211"/>
    </row>
    <row r="20" spans="1:18" s="65" customFormat="1" ht="15.95" customHeight="1">
      <c r="A20" s="269"/>
      <c r="B20" s="208"/>
      <c r="C20" s="226"/>
      <c r="D20" s="532" t="s">
        <v>219</v>
      </c>
      <c r="E20" s="662"/>
      <c r="F20" s="211"/>
      <c r="G20" s="211">
        <v>3.4489999999999998</v>
      </c>
      <c r="H20" s="270"/>
      <c r="I20" s="665"/>
      <c r="J20" s="211"/>
      <c r="K20" s="650"/>
      <c r="L20" s="211"/>
      <c r="M20" s="652"/>
      <c r="N20" s="211"/>
      <c r="O20" s="650"/>
      <c r="P20" s="211"/>
      <c r="Q20" s="652"/>
      <c r="R20" s="211"/>
    </row>
    <row r="21" spans="1:18" s="65" customFormat="1" ht="15.95" customHeight="1">
      <c r="A21" s="188"/>
      <c r="B21" s="208"/>
      <c r="C21" s="226"/>
      <c r="D21" s="532" t="s">
        <v>234</v>
      </c>
      <c r="E21" s="662"/>
      <c r="F21" s="211"/>
      <c r="G21" s="211">
        <v>7.298</v>
      </c>
      <c r="H21" s="211"/>
      <c r="I21" s="648"/>
      <c r="J21" s="211"/>
      <c r="K21" s="650"/>
      <c r="L21" s="211"/>
      <c r="M21" s="652"/>
      <c r="N21" s="211"/>
      <c r="O21" s="650"/>
      <c r="P21" s="211"/>
      <c r="Q21" s="652"/>
      <c r="R21" s="211"/>
    </row>
    <row r="22" spans="1:18" s="65" customFormat="1" ht="15.95" customHeight="1">
      <c r="A22" s="209"/>
      <c r="B22" s="210"/>
      <c r="C22" s="352" t="s">
        <v>26</v>
      </c>
      <c r="D22" s="505" t="s">
        <v>249</v>
      </c>
      <c r="E22" s="645">
        <f>SUM(O152)</f>
        <v>276.3519</v>
      </c>
      <c r="F22" s="212"/>
      <c r="G22" s="212">
        <v>266.08499999999998</v>
      </c>
      <c r="H22" s="212"/>
      <c r="I22" s="647">
        <f>SUM(G22:G23)/E22*100</f>
        <v>96.575778925348416</v>
      </c>
      <c r="J22" s="212"/>
      <c r="K22" s="649">
        <v>9561</v>
      </c>
      <c r="L22" s="212"/>
      <c r="M22" s="651">
        <f>K22/SUM(G22:G23)</f>
        <v>35.823881838517146</v>
      </c>
      <c r="N22" s="212"/>
      <c r="O22" s="649">
        <v>40179</v>
      </c>
      <c r="P22" s="212"/>
      <c r="Q22" s="730">
        <f>O22/SUM(G22:G23)</f>
        <v>150.54573249553187</v>
      </c>
      <c r="R22" s="212"/>
    </row>
    <row r="23" spans="1:18" s="65" customFormat="1" ht="15.95" customHeight="1">
      <c r="A23" s="209"/>
      <c r="B23" s="210"/>
      <c r="C23" s="352"/>
      <c r="D23" s="401" t="s">
        <v>250</v>
      </c>
      <c r="E23" s="646"/>
      <c r="F23" s="212"/>
      <c r="G23" s="212">
        <v>0.80400000000000005</v>
      </c>
      <c r="H23" s="212"/>
      <c r="I23" s="648"/>
      <c r="J23" s="212"/>
      <c r="K23" s="650"/>
      <c r="L23" s="212"/>
      <c r="M23" s="652"/>
      <c r="N23" s="212"/>
      <c r="O23" s="650"/>
      <c r="P23" s="212"/>
      <c r="Q23" s="726"/>
      <c r="R23" s="212"/>
    </row>
    <row r="24" spans="1:18" s="65" customFormat="1" ht="15.95" customHeight="1">
      <c r="A24" s="178"/>
      <c r="B24" s="179"/>
      <c r="C24" s="178"/>
      <c r="D24" s="178"/>
      <c r="E24" s="276">
        <f>SUM(E19:E23)</f>
        <v>674.81050000000005</v>
      </c>
      <c r="F24" s="276">
        <f>E24+F18</f>
        <v>1660.3013000000001</v>
      </c>
      <c r="G24" s="276">
        <f>SUM(G19:G23)</f>
        <v>647.86900000000003</v>
      </c>
      <c r="H24" s="276">
        <f>G24+H18</f>
        <v>1583.845</v>
      </c>
      <c r="I24" s="276"/>
      <c r="J24" s="309">
        <f>H24/F24*100</f>
        <v>95.395034624137196</v>
      </c>
      <c r="K24" s="310">
        <f>SUM(K19:K23)</f>
        <v>22555</v>
      </c>
      <c r="L24" s="310">
        <f>K24+L18</f>
        <v>57374</v>
      </c>
      <c r="M24" s="276"/>
      <c r="N24" s="309">
        <f>L24/H24</f>
        <v>36.224504291770977</v>
      </c>
      <c r="O24" s="310">
        <f>SUM(O19:O23)</f>
        <v>70194</v>
      </c>
      <c r="P24" s="310">
        <f>O24+P18</f>
        <v>138539</v>
      </c>
      <c r="Q24" s="311"/>
      <c r="R24" s="278">
        <f>P24/H24</f>
        <v>87.470049152537015</v>
      </c>
    </row>
    <row r="25" spans="1:18" s="65" customFormat="1" ht="15.95" customHeight="1">
      <c r="A25" s="269">
        <v>38050</v>
      </c>
      <c r="B25" s="208"/>
      <c r="C25" s="226" t="s">
        <v>170</v>
      </c>
      <c r="D25" s="505" t="s">
        <v>249</v>
      </c>
      <c r="E25" s="661">
        <f>SUM(O154:O155)</f>
        <v>392.40299999999996</v>
      </c>
      <c r="F25" s="211"/>
      <c r="G25" s="211">
        <v>372.86099999999999</v>
      </c>
      <c r="H25" s="270"/>
      <c r="I25" s="647">
        <f>SUM(G25:G26)/E25*100</f>
        <v>97.740588119866572</v>
      </c>
      <c r="J25" s="211"/>
      <c r="K25" s="649">
        <v>12882</v>
      </c>
      <c r="L25" s="211"/>
      <c r="M25" s="651">
        <f>K25/SUM(G25:G26)</f>
        <v>33.587372274382915</v>
      </c>
      <c r="N25" s="211"/>
      <c r="O25" s="649">
        <v>49942</v>
      </c>
      <c r="P25" s="211"/>
      <c r="Q25" s="651">
        <f>O25/SUM(G25:G26)</f>
        <v>130.21429483987205</v>
      </c>
      <c r="R25" s="211"/>
    </row>
    <row r="26" spans="1:18" s="65" customFormat="1" ht="15.95" customHeight="1">
      <c r="A26" s="269"/>
      <c r="B26" s="208"/>
      <c r="C26" s="226"/>
      <c r="D26" s="401" t="s">
        <v>250</v>
      </c>
      <c r="E26" s="662"/>
      <c r="F26" s="211"/>
      <c r="G26" s="211">
        <f>383.537-G25</f>
        <v>10.675999999999988</v>
      </c>
      <c r="H26" s="270"/>
      <c r="I26" s="665"/>
      <c r="J26" s="211"/>
      <c r="K26" s="650"/>
      <c r="L26" s="211"/>
      <c r="M26" s="652"/>
      <c r="N26" s="211"/>
      <c r="O26" s="650"/>
      <c r="P26" s="211"/>
      <c r="Q26" s="652"/>
      <c r="R26" s="211"/>
    </row>
    <row r="27" spans="1:18" s="65" customFormat="1" ht="15.95" customHeight="1">
      <c r="A27" s="209"/>
      <c r="B27" s="210"/>
      <c r="C27" s="352" t="s">
        <v>26</v>
      </c>
      <c r="D27" s="505" t="s">
        <v>249</v>
      </c>
      <c r="E27" s="645">
        <f>SUM(O156)</f>
        <v>308.91300000000001</v>
      </c>
      <c r="F27" s="212"/>
      <c r="G27" s="212">
        <v>298.73500000000001</v>
      </c>
      <c r="H27" s="212"/>
      <c r="I27" s="647">
        <f>SUM(G27:G28)/E27*100</f>
        <v>98.041519780650205</v>
      </c>
      <c r="J27" s="212"/>
      <c r="K27" s="649">
        <v>10905</v>
      </c>
      <c r="L27" s="212"/>
      <c r="M27" s="651">
        <f>K27/SUM(G27:G28)</f>
        <v>36.006379121913206</v>
      </c>
      <c r="N27" s="212"/>
      <c r="O27" s="649">
        <v>43105</v>
      </c>
      <c r="P27" s="212"/>
      <c r="Q27" s="730">
        <f>O27/SUM(G27:G28)</f>
        <v>142.32507767538459</v>
      </c>
      <c r="R27" s="212"/>
    </row>
    <row r="28" spans="1:18" s="65" customFormat="1" ht="15.95" customHeight="1">
      <c r="A28" s="209"/>
      <c r="B28" s="210"/>
      <c r="C28" s="352"/>
      <c r="D28" s="401" t="s">
        <v>250</v>
      </c>
      <c r="E28" s="646"/>
      <c r="F28" s="212"/>
      <c r="G28" s="212">
        <v>4.1280000000000001</v>
      </c>
      <c r="H28" s="212"/>
      <c r="I28" s="648"/>
      <c r="J28" s="212"/>
      <c r="K28" s="650"/>
      <c r="L28" s="212"/>
      <c r="M28" s="652"/>
      <c r="N28" s="212"/>
      <c r="O28" s="650"/>
      <c r="P28" s="212"/>
      <c r="Q28" s="726"/>
      <c r="R28" s="212"/>
    </row>
    <row r="29" spans="1:18" s="65" customFormat="1" ht="15.95" customHeight="1">
      <c r="A29" s="178"/>
      <c r="B29" s="179"/>
      <c r="C29" s="178"/>
      <c r="D29" s="178"/>
      <c r="E29" s="276">
        <f>SUM(E25:E28)</f>
        <v>701.31600000000003</v>
      </c>
      <c r="F29" s="276">
        <f>E29+F24</f>
        <v>2361.6172999999999</v>
      </c>
      <c r="G29" s="276">
        <f>SUM(G25:G28)</f>
        <v>686.4</v>
      </c>
      <c r="H29" s="276">
        <f>G29+H24</f>
        <v>2270.2449999999999</v>
      </c>
      <c r="I29" s="276"/>
      <c r="J29" s="309">
        <f>H29/F29*100</f>
        <v>96.130943823963349</v>
      </c>
      <c r="K29" s="310">
        <f>SUM(K25:K28)</f>
        <v>23787</v>
      </c>
      <c r="L29" s="310">
        <f>K29+L24</f>
        <v>81161</v>
      </c>
      <c r="M29" s="276"/>
      <c r="N29" s="309">
        <f>L29/H29</f>
        <v>35.749886025517071</v>
      </c>
      <c r="O29" s="310">
        <f>SUM(O25:O28)</f>
        <v>93047</v>
      </c>
      <c r="P29" s="310">
        <f>O29+P24</f>
        <v>231586</v>
      </c>
      <c r="Q29" s="311"/>
      <c r="R29" s="278">
        <f>P29/H29</f>
        <v>102.00925450777339</v>
      </c>
    </row>
    <row r="30" spans="1:18" s="65" customFormat="1" ht="15.95" customHeight="1">
      <c r="A30" s="269">
        <v>38081</v>
      </c>
      <c r="B30" s="208"/>
      <c r="C30" s="226" t="s">
        <v>23</v>
      </c>
      <c r="D30" s="505" t="s">
        <v>249</v>
      </c>
      <c r="E30" s="661">
        <f>SUM(O158)</f>
        <v>348.98820000000001</v>
      </c>
      <c r="F30" s="384"/>
      <c r="G30" s="384">
        <v>341.55799999999999</v>
      </c>
      <c r="H30" s="386"/>
      <c r="I30" s="664">
        <f>SUM(G30:G31)/E30*100</f>
        <v>97.870930879611393</v>
      </c>
      <c r="J30" s="384"/>
      <c r="K30" s="649">
        <v>11077</v>
      </c>
      <c r="L30" s="384"/>
      <c r="M30" s="651">
        <f>K30/SUM(G30:G31)</f>
        <v>32.430802382025895</v>
      </c>
      <c r="N30" s="384"/>
      <c r="O30" s="649">
        <v>45461</v>
      </c>
      <c r="P30" s="384"/>
      <c r="Q30" s="651">
        <f>O30/SUM(G30:G31)</f>
        <v>133.09891731418969</v>
      </c>
      <c r="R30" s="384"/>
    </row>
    <row r="31" spans="1:18" s="65" customFormat="1" ht="15.95" customHeight="1">
      <c r="A31" s="269"/>
      <c r="B31" s="208"/>
      <c r="C31" s="226"/>
      <c r="D31" s="535" t="s">
        <v>250</v>
      </c>
      <c r="E31" s="663"/>
      <c r="F31" s="388"/>
      <c r="G31" s="388"/>
      <c r="H31" s="389"/>
      <c r="I31" s="735"/>
      <c r="J31" s="388"/>
      <c r="K31" s="667"/>
      <c r="L31" s="388"/>
      <c r="M31" s="668"/>
      <c r="N31" s="388"/>
      <c r="O31" s="667"/>
      <c r="P31" s="388"/>
      <c r="Q31" s="668"/>
      <c r="R31" s="388"/>
    </row>
    <row r="32" spans="1:18" s="65" customFormat="1" ht="15.95" customHeight="1">
      <c r="A32" s="209"/>
      <c r="B32" s="210"/>
      <c r="C32" s="352" t="s">
        <v>170</v>
      </c>
      <c r="D32" s="401" t="s">
        <v>235</v>
      </c>
      <c r="E32" s="662">
        <f>SUM(O160)</f>
        <v>317.262</v>
      </c>
      <c r="F32" s="212"/>
      <c r="G32" s="212">
        <v>303.94099999999997</v>
      </c>
      <c r="H32" s="212"/>
      <c r="I32" s="665">
        <f>SUM(G32:G33)/E32*100</f>
        <v>97.335325377763482</v>
      </c>
      <c r="J32" s="212"/>
      <c r="K32" s="650">
        <v>10533</v>
      </c>
      <c r="L32" s="212"/>
      <c r="M32" s="652">
        <f>K32/SUM(G32:G33)</f>
        <v>34.108572316779359</v>
      </c>
      <c r="N32" s="212"/>
      <c r="O32" s="650">
        <v>39285</v>
      </c>
      <c r="P32" s="212"/>
      <c r="Q32" s="652">
        <f>O32/SUM(G32:G33)</f>
        <v>127.21496852413151</v>
      </c>
      <c r="R32" s="212"/>
    </row>
    <row r="33" spans="1:18" s="65" customFormat="1" ht="15.95" customHeight="1">
      <c r="A33" s="209"/>
      <c r="B33" s="210"/>
      <c r="C33" s="352"/>
      <c r="D33" s="401" t="s">
        <v>236</v>
      </c>
      <c r="E33" s="646"/>
      <c r="F33" s="212"/>
      <c r="G33" s="212">
        <f>0.838+0.764+0.852+0.78+0.827+0.806</f>
        <v>4.867</v>
      </c>
      <c r="H33" s="212"/>
      <c r="I33" s="648"/>
      <c r="J33" s="212"/>
      <c r="K33" s="650"/>
      <c r="L33" s="212"/>
      <c r="M33" s="652"/>
      <c r="N33" s="212"/>
      <c r="O33" s="650"/>
      <c r="P33" s="212"/>
      <c r="Q33" s="726"/>
      <c r="R33" s="212"/>
    </row>
    <row r="34" spans="1:18" s="65" customFormat="1" ht="15.95" customHeight="1">
      <c r="A34" s="178"/>
      <c r="B34" s="179"/>
      <c r="C34" s="178"/>
      <c r="D34" s="178"/>
      <c r="E34" s="276">
        <f>SUM(E30:E33)</f>
        <v>666.25019999999995</v>
      </c>
      <c r="F34" s="276">
        <f>E34+F29</f>
        <v>3027.8674999999998</v>
      </c>
      <c r="G34" s="276">
        <f>SUM(G30:G33)</f>
        <v>650.36599999999999</v>
      </c>
      <c r="H34" s="276">
        <f>G34+H29</f>
        <v>2920.6109999999999</v>
      </c>
      <c r="I34" s="276"/>
      <c r="J34" s="309">
        <f>H34/F34*100</f>
        <v>96.457688455654022</v>
      </c>
      <c r="K34" s="310">
        <f>SUM(K30:K33)</f>
        <v>21610</v>
      </c>
      <c r="L34" s="310">
        <f>K34+L29</f>
        <v>102771</v>
      </c>
      <c r="M34" s="276"/>
      <c r="N34" s="309">
        <f>L34/H34</f>
        <v>35.188184938014686</v>
      </c>
      <c r="O34" s="310">
        <f>SUM(O30:O33)</f>
        <v>84746</v>
      </c>
      <c r="P34" s="310">
        <f>O34+P29</f>
        <v>316332</v>
      </c>
      <c r="Q34" s="311"/>
      <c r="R34" s="278">
        <f>P34/H34</f>
        <v>108.31021317114809</v>
      </c>
    </row>
    <row r="35" spans="1:18" s="65" customFormat="1" ht="15.95" customHeight="1">
      <c r="A35" s="269">
        <v>38111</v>
      </c>
      <c r="B35" s="208"/>
      <c r="C35" s="226" t="s">
        <v>23</v>
      </c>
      <c r="D35" s="505" t="s">
        <v>235</v>
      </c>
      <c r="E35" s="661">
        <f>SUM(O162)</f>
        <v>385.72379999999998</v>
      </c>
      <c r="F35" s="384"/>
      <c r="G35" s="384">
        <v>372.745</v>
      </c>
      <c r="H35" s="386"/>
      <c r="I35" s="664">
        <f>SUM(G35:G38)/E35*100</f>
        <v>99.686355884703005</v>
      </c>
      <c r="J35" s="384"/>
      <c r="K35" s="649">
        <v>11987</v>
      </c>
      <c r="L35" s="384"/>
      <c r="M35" s="651">
        <f>K35/SUM(G35:G38)</f>
        <v>31.174417576473157</v>
      </c>
      <c r="N35" s="384"/>
      <c r="O35" s="649">
        <v>46985</v>
      </c>
      <c r="P35" s="384"/>
      <c r="Q35" s="651">
        <f>O35/SUM(G35:G38)</f>
        <v>122.19321013019031</v>
      </c>
      <c r="R35" s="384"/>
    </row>
    <row r="36" spans="1:18" s="65" customFormat="1" ht="15.95" customHeight="1">
      <c r="A36" s="269"/>
      <c r="B36" s="208"/>
      <c r="C36" s="226"/>
      <c r="D36" s="532" t="s">
        <v>220</v>
      </c>
      <c r="E36" s="662"/>
      <c r="F36" s="212"/>
      <c r="G36" s="579">
        <v>5.8460000000000001</v>
      </c>
      <c r="H36" s="431" t="s">
        <v>313</v>
      </c>
      <c r="I36" s="665"/>
      <c r="J36" s="212"/>
      <c r="K36" s="650"/>
      <c r="L36" s="212"/>
      <c r="M36" s="652"/>
      <c r="N36" s="212"/>
      <c r="O36" s="650"/>
      <c r="P36" s="212"/>
      <c r="Q36" s="652"/>
      <c r="R36" s="212"/>
    </row>
    <row r="37" spans="1:18" s="65" customFormat="1" ht="15.95" customHeight="1">
      <c r="A37" s="269"/>
      <c r="B37" s="208"/>
      <c r="C37" s="226"/>
      <c r="D37" s="532" t="s">
        <v>234</v>
      </c>
      <c r="E37" s="662"/>
      <c r="F37" s="212"/>
      <c r="G37" s="579">
        <v>1.8260000000000001</v>
      </c>
      <c r="H37" s="431">
        <f>G37+G36</f>
        <v>7.6720000000000006</v>
      </c>
      <c r="I37" s="665"/>
      <c r="J37" s="212"/>
      <c r="K37" s="650"/>
      <c r="L37" s="212"/>
      <c r="M37" s="652"/>
      <c r="N37" s="212"/>
      <c r="O37" s="650"/>
      <c r="P37" s="212"/>
      <c r="Q37" s="652"/>
      <c r="R37" s="212"/>
    </row>
    <row r="38" spans="1:18" s="65" customFormat="1" ht="15.95" customHeight="1">
      <c r="A38" s="269"/>
      <c r="B38" s="208"/>
      <c r="C38" s="226"/>
      <c r="D38" s="535" t="s">
        <v>236</v>
      </c>
      <c r="E38" s="663"/>
      <c r="F38" s="388"/>
      <c r="G38" s="388">
        <v>4.0970000000000004</v>
      </c>
      <c r="H38" s="389"/>
      <c r="I38" s="735"/>
      <c r="J38" s="388"/>
      <c r="K38" s="667"/>
      <c r="L38" s="388"/>
      <c r="M38" s="668"/>
      <c r="N38" s="388"/>
      <c r="O38" s="667"/>
      <c r="P38" s="388"/>
      <c r="Q38" s="668"/>
      <c r="R38" s="388"/>
    </row>
    <row r="39" spans="1:18" s="65" customFormat="1" ht="15.95" customHeight="1">
      <c r="A39" s="209"/>
      <c r="B39" s="210"/>
      <c r="C39" s="352" t="s">
        <v>170</v>
      </c>
      <c r="D39" s="401" t="s">
        <v>235</v>
      </c>
      <c r="E39" s="662">
        <f>SUM(O164)</f>
        <v>314.75729999999999</v>
      </c>
      <c r="F39" s="212"/>
      <c r="G39" s="212">
        <v>305.41699999999997</v>
      </c>
      <c r="H39" s="212"/>
      <c r="I39" s="665">
        <f>SUM(G39:G40)/E39*100</f>
        <v>97.032539038808636</v>
      </c>
      <c r="J39" s="212"/>
      <c r="K39" s="650">
        <v>10802</v>
      </c>
      <c r="L39" s="212"/>
      <c r="M39" s="652">
        <f>K39/SUM(G39:G40)</f>
        <v>35.368037797503092</v>
      </c>
      <c r="N39" s="212"/>
      <c r="O39" s="650">
        <v>39809</v>
      </c>
      <c r="P39" s="212"/>
      <c r="Q39" s="652">
        <f>O39/SUM(G39:G40)</f>
        <v>130.34310467328277</v>
      </c>
      <c r="R39" s="212"/>
    </row>
    <row r="40" spans="1:18" s="65" customFormat="1" ht="15.95" customHeight="1">
      <c r="A40" s="209"/>
      <c r="B40" s="210"/>
      <c r="C40" s="352"/>
      <c r="D40" s="401" t="s">
        <v>236</v>
      </c>
      <c r="E40" s="646"/>
      <c r="F40" s="212"/>
      <c r="G40" s="212"/>
      <c r="H40" s="212"/>
      <c r="I40" s="648"/>
      <c r="J40" s="212"/>
      <c r="K40" s="650"/>
      <c r="L40" s="212"/>
      <c r="M40" s="652"/>
      <c r="N40" s="212"/>
      <c r="O40" s="650"/>
      <c r="P40" s="212"/>
      <c r="Q40" s="726"/>
      <c r="R40" s="212"/>
    </row>
    <row r="41" spans="1:18" s="65" customFormat="1" ht="15.95" customHeight="1">
      <c r="A41" s="178"/>
      <c r="B41" s="179"/>
      <c r="C41" s="178"/>
      <c r="D41" s="178"/>
      <c r="E41" s="276">
        <f>SUM(E35:E40)</f>
        <v>700.48109999999997</v>
      </c>
      <c r="F41" s="276">
        <f>E41+F34</f>
        <v>3728.3485999999998</v>
      </c>
      <c r="G41" s="276">
        <f>SUM(G35:G40)</f>
        <v>689.93100000000004</v>
      </c>
      <c r="H41" s="276">
        <f>G41+H34</f>
        <v>3610.5419999999999</v>
      </c>
      <c r="I41" s="276"/>
      <c r="J41" s="309">
        <f>H41/F41*100</f>
        <v>96.840247180749145</v>
      </c>
      <c r="K41" s="310">
        <f>SUM(K35:K40)</f>
        <v>22789</v>
      </c>
      <c r="L41" s="310">
        <f>K41+L34</f>
        <v>125560</v>
      </c>
      <c r="M41" s="276"/>
      <c r="N41" s="309">
        <f>L41/H41</f>
        <v>34.775942226956509</v>
      </c>
      <c r="O41" s="310">
        <f>SUM(O35:O40)</f>
        <v>86794</v>
      </c>
      <c r="P41" s="310">
        <f>O41+P34</f>
        <v>403126</v>
      </c>
      <c r="Q41" s="311"/>
      <c r="R41" s="278">
        <f>P41/H41</f>
        <v>111.65248873991771</v>
      </c>
    </row>
    <row r="42" spans="1:18" s="65" customFormat="1" ht="15.95" customHeight="1">
      <c r="A42" s="269">
        <v>38142</v>
      </c>
      <c r="B42" s="208"/>
      <c r="C42" s="226" t="s">
        <v>26</v>
      </c>
      <c r="D42" s="505" t="s">
        <v>235</v>
      </c>
      <c r="E42" s="661">
        <f>SUM(O166)</f>
        <v>359.84190000000001</v>
      </c>
      <c r="F42" s="384"/>
      <c r="G42" s="384">
        <v>352.798</v>
      </c>
      <c r="H42" s="386"/>
      <c r="I42" s="664">
        <f>SUM(G42:G43)/E42*100</f>
        <v>98.042501442994819</v>
      </c>
      <c r="J42" s="384"/>
      <c r="K42" s="649">
        <v>12343</v>
      </c>
      <c r="L42" s="384"/>
      <c r="M42" s="651">
        <f>K42/SUM(G42:G43)</f>
        <v>34.986025997879807</v>
      </c>
      <c r="N42" s="384"/>
      <c r="O42" s="649">
        <v>44136</v>
      </c>
      <c r="P42" s="384"/>
      <c r="Q42" s="651">
        <f>O42/SUM(G42:G43)</f>
        <v>125.10275001558966</v>
      </c>
      <c r="R42" s="384"/>
    </row>
    <row r="43" spans="1:18" s="65" customFormat="1" ht="15.95" customHeight="1">
      <c r="A43" s="269"/>
      <c r="B43" s="208"/>
      <c r="C43" s="226"/>
      <c r="D43" s="535" t="s">
        <v>236</v>
      </c>
      <c r="E43" s="663"/>
      <c r="F43" s="388"/>
      <c r="G43" s="388"/>
      <c r="H43" s="389"/>
      <c r="I43" s="735"/>
      <c r="J43" s="388"/>
      <c r="K43" s="667"/>
      <c r="L43" s="388"/>
      <c r="M43" s="668"/>
      <c r="N43" s="388"/>
      <c r="O43" s="667"/>
      <c r="P43" s="388"/>
      <c r="Q43" s="668"/>
      <c r="R43" s="388"/>
    </row>
    <row r="44" spans="1:18" s="65" customFormat="1" ht="15.95" customHeight="1">
      <c r="A44" s="209"/>
      <c r="B44" s="210"/>
      <c r="C44" s="352" t="s">
        <v>23</v>
      </c>
      <c r="D44" s="401" t="s">
        <v>235</v>
      </c>
      <c r="E44" s="662">
        <f>SUM(O168)</f>
        <v>86.829599999999999</v>
      </c>
      <c r="F44" s="212"/>
      <c r="G44" s="431">
        <v>84.63</v>
      </c>
      <c r="H44" s="212"/>
      <c r="I44" s="665">
        <f>SUM(G44:G45)/E44*100</f>
        <v>97.466762486525326</v>
      </c>
      <c r="J44" s="212"/>
      <c r="K44" s="650">
        <v>6594</v>
      </c>
      <c r="L44" s="212"/>
      <c r="M44" s="652">
        <f>K44/SUM(G44:G45)</f>
        <v>77.91563275434244</v>
      </c>
      <c r="N44" s="212"/>
      <c r="O44" s="650">
        <v>16201</v>
      </c>
      <c r="P44" s="212"/>
      <c r="Q44" s="652">
        <f>O44/SUM(G44:G45)</f>
        <v>191.43329788491079</v>
      </c>
      <c r="R44" s="212"/>
    </row>
    <row r="45" spans="1:18" s="65" customFormat="1" ht="15.95" customHeight="1">
      <c r="A45" s="209"/>
      <c r="B45" s="210"/>
      <c r="C45" s="352"/>
      <c r="D45" s="401" t="s">
        <v>236</v>
      </c>
      <c r="E45" s="646"/>
      <c r="F45" s="212"/>
      <c r="G45" s="212"/>
      <c r="H45" s="212"/>
      <c r="I45" s="648"/>
      <c r="J45" s="212"/>
      <c r="K45" s="650"/>
      <c r="L45" s="212"/>
      <c r="M45" s="652"/>
      <c r="N45" s="212"/>
      <c r="O45" s="650"/>
      <c r="P45" s="212"/>
      <c r="Q45" s="726"/>
      <c r="R45" s="212"/>
    </row>
    <row r="46" spans="1:18" s="65" customFormat="1" ht="15.95" customHeight="1">
      <c r="A46" s="178"/>
      <c r="B46" s="179"/>
      <c r="C46" s="178"/>
      <c r="D46" s="178"/>
      <c r="E46" s="276">
        <f>SUM(E42:E45)</f>
        <v>446.67150000000004</v>
      </c>
      <c r="F46" s="276">
        <f>E46+F41</f>
        <v>4175.0200999999997</v>
      </c>
      <c r="G46" s="276">
        <f>SUM(G42:G45)</f>
        <v>437.428</v>
      </c>
      <c r="H46" s="276">
        <f>G46+H41</f>
        <v>4047.97</v>
      </c>
      <c r="I46" s="276"/>
      <c r="J46" s="309">
        <f>H46/F46*100</f>
        <v>96.956898482955808</v>
      </c>
      <c r="K46" s="310">
        <f>SUM(K42:K45)</f>
        <v>18937</v>
      </c>
      <c r="L46" s="310">
        <f>K46+L41</f>
        <v>144497</v>
      </c>
      <c r="M46" s="276"/>
      <c r="N46" s="309">
        <f>L46/H46</f>
        <v>35.69616375615432</v>
      </c>
      <c r="O46" s="310">
        <f>SUM(O42:O45)</f>
        <v>60337</v>
      </c>
      <c r="P46" s="310">
        <f>O46+P41</f>
        <v>463463</v>
      </c>
      <c r="Q46" s="311"/>
      <c r="R46" s="278">
        <f>P46/H46</f>
        <v>114.49269633915272</v>
      </c>
    </row>
    <row r="47" spans="1:18" s="65" customFormat="1" ht="15.95" customHeight="1">
      <c r="A47" s="269">
        <v>38172</v>
      </c>
      <c r="B47" s="208"/>
      <c r="C47" s="226" t="s">
        <v>26</v>
      </c>
      <c r="D47" s="505" t="s">
        <v>235</v>
      </c>
      <c r="E47" s="661">
        <f>SUM(O170)</f>
        <v>284.70089999999999</v>
      </c>
      <c r="F47" s="384"/>
      <c r="G47" s="384">
        <v>277.28500000000003</v>
      </c>
      <c r="H47" s="386"/>
      <c r="I47" s="664">
        <f>SUM(G47:G48)/E47*100</f>
        <v>97.395196151469861</v>
      </c>
      <c r="J47" s="384"/>
      <c r="K47" s="649">
        <v>10037</v>
      </c>
      <c r="L47" s="384"/>
      <c r="M47" s="651">
        <f>K47/SUM(G47:G48)</f>
        <v>36.197414212813527</v>
      </c>
      <c r="N47" s="384"/>
      <c r="O47" s="649">
        <v>35697</v>
      </c>
      <c r="P47" s="384"/>
      <c r="Q47" s="651">
        <f>O47/SUM(G47:G48)</f>
        <v>128.73758046774978</v>
      </c>
      <c r="R47" s="384"/>
    </row>
    <row r="48" spans="1:18" s="65" customFormat="1" ht="15.95" customHeight="1">
      <c r="A48" s="269"/>
      <c r="B48" s="208"/>
      <c r="C48" s="226"/>
      <c r="D48" s="535" t="s">
        <v>236</v>
      </c>
      <c r="E48" s="663"/>
      <c r="F48" s="388"/>
      <c r="G48" s="388"/>
      <c r="H48" s="389"/>
      <c r="I48" s="735"/>
      <c r="J48" s="388"/>
      <c r="K48" s="667"/>
      <c r="L48" s="388"/>
      <c r="M48" s="668"/>
      <c r="N48" s="388"/>
      <c r="O48" s="667"/>
      <c r="P48" s="388"/>
      <c r="Q48" s="668"/>
      <c r="R48" s="388"/>
    </row>
    <row r="49" spans="1:18" s="65" customFormat="1" ht="15.95" customHeight="1">
      <c r="A49" s="209"/>
      <c r="B49" s="210"/>
      <c r="C49" s="352" t="s">
        <v>23</v>
      </c>
      <c r="D49" s="432" t="s">
        <v>111</v>
      </c>
      <c r="E49" s="662">
        <f>SUM(O172)</f>
        <v>174.36600000000001</v>
      </c>
      <c r="F49" s="212"/>
      <c r="G49" s="431">
        <v>163.18899999999999</v>
      </c>
      <c r="H49" s="212"/>
      <c r="I49" s="665">
        <f>SUM(G49:G50)/E49*100</f>
        <v>94.291891767890519</v>
      </c>
      <c r="J49" s="212"/>
      <c r="K49" s="650">
        <v>8246</v>
      </c>
      <c r="L49" s="212"/>
      <c r="M49" s="652">
        <f>K49/SUM(G49:G50)</f>
        <v>50.154184888056299</v>
      </c>
      <c r="N49" s="212"/>
      <c r="O49" s="650">
        <v>26550</v>
      </c>
      <c r="P49" s="212"/>
      <c r="Q49" s="652">
        <f>O49/SUM(G49:G50)</f>
        <v>161.48358098203914</v>
      </c>
      <c r="R49" s="212"/>
    </row>
    <row r="50" spans="1:18" s="65" customFormat="1" ht="15.95" customHeight="1">
      <c r="A50" s="209"/>
      <c r="B50" s="210"/>
      <c r="C50" s="352"/>
      <c r="D50" s="432" t="s">
        <v>139</v>
      </c>
      <c r="E50" s="646"/>
      <c r="F50" s="212"/>
      <c r="G50" s="212">
        <v>1.224</v>
      </c>
      <c r="H50" s="212"/>
      <c r="I50" s="648"/>
      <c r="J50" s="212"/>
      <c r="K50" s="650"/>
      <c r="L50" s="212"/>
      <c r="M50" s="652"/>
      <c r="N50" s="212"/>
      <c r="O50" s="650"/>
      <c r="P50" s="212"/>
      <c r="Q50" s="726"/>
      <c r="R50" s="212"/>
    </row>
    <row r="51" spans="1:18" s="65" customFormat="1" ht="15.95" customHeight="1">
      <c r="A51" s="178"/>
      <c r="B51" s="179"/>
      <c r="C51" s="178"/>
      <c r="D51" s="178"/>
      <c r="E51" s="276">
        <f>SUM(E47:E50)</f>
        <v>459.06690000000003</v>
      </c>
      <c r="F51" s="276">
        <f>E51+F46</f>
        <v>4634.0869999999995</v>
      </c>
      <c r="G51" s="276">
        <f>SUM(G47:G50)</f>
        <v>441.69800000000004</v>
      </c>
      <c r="H51" s="276">
        <f>G51+H46</f>
        <v>4489.6679999999997</v>
      </c>
      <c r="I51" s="276"/>
      <c r="J51" s="309">
        <f>H51/F51*100</f>
        <v>96.883550093038835</v>
      </c>
      <c r="K51" s="310">
        <f>SUM(K47:K50)</f>
        <v>18283</v>
      </c>
      <c r="L51" s="310">
        <f>K51+L46</f>
        <v>162780</v>
      </c>
      <c r="M51" s="276"/>
      <c r="N51" s="309">
        <f>L51/H51</f>
        <v>36.256578437425667</v>
      </c>
      <c r="O51" s="310">
        <f>SUM(O47:O50)</f>
        <v>62247</v>
      </c>
      <c r="P51" s="310">
        <f>O51+P46</f>
        <v>525710</v>
      </c>
      <c r="Q51" s="311"/>
      <c r="R51" s="278">
        <f>P51/H51</f>
        <v>117.09329063975332</v>
      </c>
    </row>
    <row r="52" spans="1:18" s="65" customFormat="1" ht="15.95" customHeight="1">
      <c r="A52" s="269">
        <v>38203</v>
      </c>
      <c r="B52" s="208"/>
      <c r="C52" s="226" t="s">
        <v>170</v>
      </c>
      <c r="D52" s="432" t="s">
        <v>111</v>
      </c>
      <c r="E52" s="661">
        <f>SUM(O174:O175)</f>
        <v>317.08780000000002</v>
      </c>
      <c r="F52" s="384"/>
      <c r="G52" s="384">
        <v>300.19799999999998</v>
      </c>
      <c r="H52" s="386"/>
      <c r="I52" s="664">
        <f>SUM(G52:G53)/E52*100</f>
        <v>94.67346268131412</v>
      </c>
      <c r="J52" s="384"/>
      <c r="K52" s="649">
        <v>9949</v>
      </c>
      <c r="L52" s="384"/>
      <c r="M52" s="651">
        <f>K52/SUM(G52:G53)</f>
        <v>33.141459969753299</v>
      </c>
      <c r="N52" s="384"/>
      <c r="O52" s="649">
        <v>39655</v>
      </c>
      <c r="P52" s="384"/>
      <c r="Q52" s="651">
        <f>O52/SUM(G52:G53)</f>
        <v>132.09614987441623</v>
      </c>
      <c r="R52" s="384"/>
    </row>
    <row r="53" spans="1:18" s="65" customFormat="1" ht="15.95" customHeight="1">
      <c r="A53" s="269"/>
      <c r="B53" s="208"/>
      <c r="C53" s="226"/>
      <c r="D53" s="432" t="s">
        <v>139</v>
      </c>
      <c r="E53" s="663"/>
      <c r="F53" s="388"/>
      <c r="G53" s="388"/>
      <c r="H53" s="389"/>
      <c r="I53" s="735"/>
      <c r="J53" s="388"/>
      <c r="K53" s="667"/>
      <c r="L53" s="388"/>
      <c r="M53" s="668"/>
      <c r="N53" s="388"/>
      <c r="O53" s="667"/>
      <c r="P53" s="388"/>
      <c r="Q53" s="668"/>
      <c r="R53" s="388"/>
    </row>
    <row r="54" spans="1:18" s="65" customFormat="1" ht="15.95" customHeight="1">
      <c r="A54" s="209"/>
      <c r="B54" s="210"/>
      <c r="C54" s="352" t="s">
        <v>26</v>
      </c>
      <c r="D54" s="432" t="s">
        <v>111</v>
      </c>
      <c r="E54" s="662">
        <f>SUM(O176)</f>
        <v>318.37940000000003</v>
      </c>
      <c r="F54" s="212"/>
      <c r="G54" s="431">
        <v>300.858</v>
      </c>
      <c r="H54" s="212"/>
      <c r="I54" s="665">
        <f>SUM(G54:G55)/E54*100</f>
        <v>94.496691682941787</v>
      </c>
      <c r="J54" s="212"/>
      <c r="K54" s="650">
        <v>11000</v>
      </c>
      <c r="L54" s="212"/>
      <c r="M54" s="652">
        <f>K54/SUM(G54:G55)</f>
        <v>36.562099063345499</v>
      </c>
      <c r="N54" s="212"/>
      <c r="O54" s="650">
        <v>41118</v>
      </c>
      <c r="P54" s="212"/>
      <c r="Q54" s="652">
        <f>O54/SUM(G54:G55)</f>
        <v>136.66912629878547</v>
      </c>
      <c r="R54" s="212"/>
    </row>
    <row r="55" spans="1:18" s="65" customFormat="1" ht="15.95" customHeight="1">
      <c r="A55" s="209"/>
      <c r="B55" s="210"/>
      <c r="C55" s="352"/>
      <c r="D55" s="432" t="s">
        <v>139</v>
      </c>
      <c r="E55" s="646"/>
      <c r="F55" s="212"/>
      <c r="G55" s="212"/>
      <c r="H55" s="212"/>
      <c r="I55" s="648"/>
      <c r="J55" s="212"/>
      <c r="K55" s="650"/>
      <c r="L55" s="212"/>
      <c r="M55" s="652"/>
      <c r="N55" s="212"/>
      <c r="O55" s="650"/>
      <c r="P55" s="212"/>
      <c r="Q55" s="726"/>
      <c r="R55" s="212"/>
    </row>
    <row r="56" spans="1:18" s="65" customFormat="1" ht="15.95" customHeight="1">
      <c r="A56" s="178"/>
      <c r="B56" s="179"/>
      <c r="C56" s="178"/>
      <c r="D56" s="178"/>
      <c r="E56" s="276">
        <f>SUM(E52:E55)</f>
        <v>635.46720000000005</v>
      </c>
      <c r="F56" s="276">
        <f>E56+F51</f>
        <v>5269.5541999999996</v>
      </c>
      <c r="G56" s="276">
        <f>SUM(G52:G55)</f>
        <v>601.05600000000004</v>
      </c>
      <c r="H56" s="276">
        <f>G56+H51</f>
        <v>5090.7240000000002</v>
      </c>
      <c r="I56" s="276"/>
      <c r="J56" s="309">
        <f>H56/F56*100</f>
        <v>96.606350495455587</v>
      </c>
      <c r="K56" s="310">
        <f>SUM(K52:K55)</f>
        <v>20949</v>
      </c>
      <c r="L56" s="310">
        <f>K56+L51</f>
        <v>183729</v>
      </c>
      <c r="M56" s="276"/>
      <c r="N56" s="309">
        <f>L56/H56</f>
        <v>36.090937163358298</v>
      </c>
      <c r="O56" s="310">
        <f>SUM(O52:O55)</f>
        <v>80773</v>
      </c>
      <c r="P56" s="310">
        <f>O56+P51</f>
        <v>606483</v>
      </c>
      <c r="Q56" s="311"/>
      <c r="R56" s="278">
        <f>P56/H56</f>
        <v>119.13492069104512</v>
      </c>
    </row>
    <row r="57" spans="1:18" s="65" customFormat="1" ht="15.95" customHeight="1">
      <c r="A57" s="269">
        <v>38234</v>
      </c>
      <c r="B57" s="208"/>
      <c r="C57" s="226" t="s">
        <v>170</v>
      </c>
      <c r="D57" s="432" t="s">
        <v>111</v>
      </c>
      <c r="E57" s="661">
        <f>SUM(O178)</f>
        <v>335.17020000000002</v>
      </c>
      <c r="F57" s="384"/>
      <c r="G57" s="384">
        <v>319.464</v>
      </c>
      <c r="H57" s="386"/>
      <c r="I57" s="664">
        <f>SUM(G57:G59)/E57*100</f>
        <v>96.902409581758747</v>
      </c>
      <c r="J57" s="384"/>
      <c r="K57" s="649">
        <v>10326</v>
      </c>
      <c r="L57" s="384"/>
      <c r="M57" s="651">
        <f>K57/SUM(G57:G59)</f>
        <v>31.793046541128373</v>
      </c>
      <c r="N57" s="384"/>
      <c r="O57" s="649">
        <v>40456</v>
      </c>
      <c r="P57" s="384"/>
      <c r="Q57" s="651">
        <f>O57/SUM(G57:G59)</f>
        <v>124.56125226301467</v>
      </c>
      <c r="R57" s="384"/>
    </row>
    <row r="58" spans="1:18" s="65" customFormat="1" ht="15.95" customHeight="1">
      <c r="A58" s="269"/>
      <c r="B58" s="208"/>
      <c r="C58" s="226"/>
      <c r="D58" s="432" t="s">
        <v>220</v>
      </c>
      <c r="E58" s="662"/>
      <c r="F58" s="212"/>
      <c r="G58" s="579">
        <v>2.0009999999999999</v>
      </c>
      <c r="H58" s="431"/>
      <c r="I58" s="665"/>
      <c r="J58" s="212"/>
      <c r="K58" s="650"/>
      <c r="L58" s="212"/>
      <c r="M58" s="652"/>
      <c r="N58" s="212"/>
      <c r="O58" s="650"/>
      <c r="P58" s="212"/>
      <c r="Q58" s="652"/>
      <c r="R58" s="212"/>
    </row>
    <row r="59" spans="1:18" s="65" customFormat="1" ht="15.95" customHeight="1">
      <c r="A59" s="269"/>
      <c r="B59" s="208"/>
      <c r="C59" s="226"/>
      <c r="D59" s="432" t="s">
        <v>266</v>
      </c>
      <c r="E59" s="663"/>
      <c r="F59" s="388"/>
      <c r="G59" s="580">
        <v>3.323</v>
      </c>
      <c r="H59" s="389"/>
      <c r="I59" s="735"/>
      <c r="J59" s="388"/>
      <c r="K59" s="667"/>
      <c r="L59" s="388"/>
      <c r="M59" s="668"/>
      <c r="N59" s="388"/>
      <c r="O59" s="667"/>
      <c r="P59" s="388"/>
      <c r="Q59" s="668"/>
      <c r="R59" s="388"/>
    </row>
    <row r="60" spans="1:18" s="65" customFormat="1" ht="15.95" customHeight="1">
      <c r="A60" s="209"/>
      <c r="B60" s="210"/>
      <c r="C60" s="352" t="s">
        <v>26</v>
      </c>
      <c r="D60" s="432" t="s">
        <v>48</v>
      </c>
      <c r="E60" s="662">
        <f>SUM(O180)</f>
        <v>330.64960000000002</v>
      </c>
      <c r="F60" s="212"/>
      <c r="G60" s="431">
        <v>311.625</v>
      </c>
      <c r="H60" s="212"/>
      <c r="I60" s="665">
        <f>SUM(G60:G61)/E60*100</f>
        <v>94.246295776556195</v>
      </c>
      <c r="J60" s="212"/>
      <c r="K60" s="650">
        <v>11161</v>
      </c>
      <c r="L60" s="212"/>
      <c r="M60" s="652">
        <f>K60/SUM(G60:G61)</f>
        <v>35.815483353389489</v>
      </c>
      <c r="N60" s="212"/>
      <c r="O60" s="650">
        <v>38115</v>
      </c>
      <c r="P60" s="212"/>
      <c r="Q60" s="652">
        <f>O60/SUM(G60:G61)</f>
        <v>122.31046931407943</v>
      </c>
      <c r="R60" s="212"/>
    </row>
    <row r="61" spans="1:18" s="65" customFormat="1" ht="15.95" customHeight="1">
      <c r="A61" s="209"/>
      <c r="B61" s="210"/>
      <c r="C61" s="352"/>
      <c r="D61" s="432" t="s">
        <v>279</v>
      </c>
      <c r="E61" s="646"/>
      <c r="F61" s="212"/>
      <c r="G61" s="212"/>
      <c r="H61" s="212"/>
      <c r="I61" s="648"/>
      <c r="J61" s="212"/>
      <c r="K61" s="650"/>
      <c r="L61" s="212"/>
      <c r="M61" s="652"/>
      <c r="N61" s="212"/>
      <c r="O61" s="650"/>
      <c r="P61" s="212"/>
      <c r="Q61" s="726"/>
      <c r="R61" s="212"/>
    </row>
    <row r="62" spans="1:18" s="65" customFormat="1" ht="15.95" customHeight="1">
      <c r="A62" s="178"/>
      <c r="B62" s="179"/>
      <c r="C62" s="178"/>
      <c r="D62" s="178"/>
      <c r="E62" s="276">
        <f>SUM(E57:E61)</f>
        <v>665.81979999999999</v>
      </c>
      <c r="F62" s="276">
        <f>E62+F56</f>
        <v>5935.3739999999998</v>
      </c>
      <c r="G62" s="276">
        <f>SUM(G57:G61)</f>
        <v>636.41300000000001</v>
      </c>
      <c r="H62" s="276">
        <f>G62+H56</f>
        <v>5727.1370000000006</v>
      </c>
      <c r="I62" s="276"/>
      <c r="J62" s="309">
        <f>H62/F62*100</f>
        <v>96.491594295490074</v>
      </c>
      <c r="K62" s="310">
        <f>SUM(K57:K61)</f>
        <v>21487</v>
      </c>
      <c r="L62" s="310">
        <f>K62+L56</f>
        <v>205216</v>
      </c>
      <c r="M62" s="276"/>
      <c r="N62" s="309">
        <f>L62/H62</f>
        <v>35.832214245966178</v>
      </c>
      <c r="O62" s="310">
        <f>SUM(O57:O61)</f>
        <v>78571</v>
      </c>
      <c r="P62" s="310">
        <f>O62+P56</f>
        <v>685054</v>
      </c>
      <c r="Q62" s="311"/>
      <c r="R62" s="278">
        <f>P62/H62</f>
        <v>119.61543787061493</v>
      </c>
    </row>
    <row r="63" spans="1:18" s="65" customFormat="1" ht="15.95" customHeight="1">
      <c r="A63" s="269">
        <v>38264</v>
      </c>
      <c r="B63" s="208"/>
      <c r="C63" s="226" t="s">
        <v>23</v>
      </c>
      <c r="D63" s="432" t="s">
        <v>45</v>
      </c>
      <c r="E63" s="661">
        <f>SUM(O183:O184)</f>
        <v>415.75510000000003</v>
      </c>
      <c r="F63" s="384"/>
      <c r="G63" s="384">
        <v>363.392</v>
      </c>
      <c r="H63" s="386"/>
      <c r="I63" s="664">
        <f>SUM(G63:G64)/E63*100</f>
        <v>95.640919377777919</v>
      </c>
      <c r="J63" s="384"/>
      <c r="K63" s="649">
        <v>13621</v>
      </c>
      <c r="L63" s="384"/>
      <c r="M63" s="651">
        <f>K63/SUM(G63:G64)</f>
        <v>34.255291324641881</v>
      </c>
      <c r="N63" s="384"/>
      <c r="O63" s="649">
        <v>42720</v>
      </c>
      <c r="P63" s="384"/>
      <c r="Q63" s="651">
        <f>O63/SUM(G63:G64)</f>
        <v>107.43602124577498</v>
      </c>
      <c r="R63" s="384"/>
    </row>
    <row r="64" spans="1:18" s="65" customFormat="1" ht="15.95" customHeight="1">
      <c r="A64" s="269"/>
      <c r="B64" s="208"/>
      <c r="C64" s="215"/>
      <c r="D64" s="544" t="s">
        <v>48</v>
      </c>
      <c r="E64" s="663"/>
      <c r="F64" s="388"/>
      <c r="G64" s="389">
        <v>34.24</v>
      </c>
      <c r="H64" s="389"/>
      <c r="I64" s="735"/>
      <c r="J64" s="388"/>
      <c r="K64" s="667"/>
      <c r="L64" s="388"/>
      <c r="M64" s="668"/>
      <c r="N64" s="388"/>
      <c r="O64" s="667"/>
      <c r="P64" s="388"/>
      <c r="Q64" s="668"/>
      <c r="R64" s="388"/>
    </row>
    <row r="65" spans="1:18" s="65" customFormat="1" ht="15.95" customHeight="1">
      <c r="A65" s="209"/>
      <c r="B65" s="210"/>
      <c r="C65" s="352" t="s">
        <v>170</v>
      </c>
      <c r="D65" s="432" t="s">
        <v>118</v>
      </c>
      <c r="E65" s="662">
        <f>SUM(O185:O186)</f>
        <v>363.96930000000003</v>
      </c>
      <c r="F65" s="212"/>
      <c r="G65" s="431">
        <v>344.30799999999999</v>
      </c>
      <c r="H65" s="212"/>
      <c r="I65" s="665">
        <f>SUM(G65:G66)/E65*100</f>
        <v>94.598088355254134</v>
      </c>
      <c r="J65" s="212"/>
      <c r="K65" s="650">
        <v>12373</v>
      </c>
      <c r="L65" s="212"/>
      <c r="M65" s="652">
        <f>K65/SUM(G65:G66)</f>
        <v>35.935848135971284</v>
      </c>
      <c r="N65" s="212"/>
      <c r="O65" s="650">
        <v>28952</v>
      </c>
      <c r="P65" s="212"/>
      <c r="Q65" s="652">
        <f>O65/SUM(G65:G66)</f>
        <v>84.087503049595128</v>
      </c>
      <c r="R65" s="212"/>
    </row>
    <row r="66" spans="1:18" s="65" customFormat="1" ht="15.95" customHeight="1">
      <c r="A66" s="209"/>
      <c r="B66" s="210"/>
      <c r="C66" s="352"/>
      <c r="D66" s="432"/>
      <c r="E66" s="646"/>
      <c r="F66" s="212"/>
      <c r="G66" s="212"/>
      <c r="H66" s="212"/>
      <c r="I66" s="648"/>
      <c r="J66" s="212"/>
      <c r="K66" s="650"/>
      <c r="L66" s="212"/>
      <c r="M66" s="652"/>
      <c r="N66" s="212"/>
      <c r="O66" s="650"/>
      <c r="P66" s="212"/>
      <c r="Q66" s="726"/>
      <c r="R66" s="212"/>
    </row>
    <row r="67" spans="1:18" s="65" customFormat="1" ht="15.95" customHeight="1">
      <c r="A67" s="178"/>
      <c r="B67" s="179"/>
      <c r="C67" s="178"/>
      <c r="D67" s="178"/>
      <c r="E67" s="276">
        <f>SUM(E63:E66)</f>
        <v>779.72440000000006</v>
      </c>
      <c r="F67" s="276">
        <f>E67+F62</f>
        <v>6715.0983999999999</v>
      </c>
      <c r="G67" s="276">
        <f>SUM(G63:G66)</f>
        <v>741.94</v>
      </c>
      <c r="H67" s="276">
        <f>G67+H62</f>
        <v>6469.0770000000011</v>
      </c>
      <c r="I67" s="276"/>
      <c r="J67" s="309">
        <f>H67/F67*100</f>
        <v>96.336294937986338</v>
      </c>
      <c r="K67" s="310">
        <f>SUM(K63:K66)</f>
        <v>25994</v>
      </c>
      <c r="L67" s="310">
        <f>K67+L62</f>
        <v>231210</v>
      </c>
      <c r="M67" s="276"/>
      <c r="N67" s="309">
        <f>L67/H67</f>
        <v>35.74080197221334</v>
      </c>
      <c r="O67" s="310">
        <f>SUM(O63:O66)</f>
        <v>71672</v>
      </c>
      <c r="P67" s="310">
        <f>O67+P62</f>
        <v>756726</v>
      </c>
      <c r="Q67" s="311"/>
      <c r="R67" s="278">
        <f>P67/H67</f>
        <v>116.9758838857537</v>
      </c>
    </row>
    <row r="68" spans="1:18" s="65" customFormat="1" ht="15.95" customHeight="1">
      <c r="A68" s="269">
        <v>38295</v>
      </c>
      <c r="B68" s="208"/>
      <c r="C68" s="226" t="s">
        <v>23</v>
      </c>
      <c r="D68" s="432" t="s">
        <v>143</v>
      </c>
      <c r="E68" s="661">
        <f>SUM(O188:O190)</f>
        <v>206.83449999999999</v>
      </c>
      <c r="F68" s="384"/>
      <c r="G68" s="384">
        <v>63.744</v>
      </c>
      <c r="H68" s="386"/>
      <c r="I68" s="664">
        <f>SUM(G68:G71)/E68*100</f>
        <v>94.767555702747856</v>
      </c>
      <c r="J68" s="384"/>
      <c r="K68" s="649">
        <v>6991</v>
      </c>
      <c r="L68" s="384"/>
      <c r="M68" s="651">
        <f>K68/SUM(G68:G71)</f>
        <v>35.666183703038591</v>
      </c>
      <c r="N68" s="384"/>
      <c r="O68" s="649">
        <v>24286</v>
      </c>
      <c r="P68" s="384"/>
      <c r="Q68" s="651">
        <f>O68/SUM(G68:G71)</f>
        <v>123.90057751566231</v>
      </c>
      <c r="R68" s="384"/>
    </row>
    <row r="69" spans="1:18" s="65" customFormat="1" ht="15.95" customHeight="1">
      <c r="A69" s="269"/>
      <c r="B69" s="208"/>
      <c r="C69" s="226"/>
      <c r="D69" s="432" t="s">
        <v>118</v>
      </c>
      <c r="E69" s="662"/>
      <c r="F69" s="212"/>
      <c r="G69" s="211">
        <v>30.291</v>
      </c>
      <c r="H69" s="431"/>
      <c r="I69" s="665"/>
      <c r="J69" s="212"/>
      <c r="K69" s="650"/>
      <c r="L69" s="212"/>
      <c r="M69" s="652"/>
      <c r="N69" s="212"/>
      <c r="O69" s="650"/>
      <c r="P69" s="212"/>
      <c r="Q69" s="652"/>
      <c r="R69" s="212"/>
    </row>
    <row r="70" spans="1:18" s="65" customFormat="1" ht="15.95" customHeight="1">
      <c r="A70" s="269"/>
      <c r="B70" s="208"/>
      <c r="C70" s="226"/>
      <c r="D70" s="507" t="s">
        <v>235</v>
      </c>
      <c r="E70" s="662"/>
      <c r="F70" s="212"/>
      <c r="G70" s="579">
        <v>83.665999999999997</v>
      </c>
      <c r="H70" s="431"/>
      <c r="I70" s="665"/>
      <c r="J70" s="212"/>
      <c r="K70" s="650"/>
      <c r="L70" s="212"/>
      <c r="M70" s="652"/>
      <c r="N70" s="212"/>
      <c r="O70" s="650"/>
      <c r="P70" s="212"/>
      <c r="Q70" s="652"/>
      <c r="R70" s="212"/>
    </row>
    <row r="71" spans="1:18" s="65" customFormat="1" ht="15.95" customHeight="1">
      <c r="A71" s="269"/>
      <c r="B71" s="208"/>
      <c r="C71" s="215"/>
      <c r="D71" s="543" t="s">
        <v>236</v>
      </c>
      <c r="E71" s="663"/>
      <c r="F71" s="388"/>
      <c r="G71" s="580">
        <v>18.311</v>
      </c>
      <c r="H71" s="389"/>
      <c r="I71" s="735"/>
      <c r="J71" s="388"/>
      <c r="K71" s="667"/>
      <c r="L71" s="388"/>
      <c r="M71" s="668"/>
      <c r="N71" s="388"/>
      <c r="O71" s="667"/>
      <c r="P71" s="388"/>
      <c r="Q71" s="668"/>
      <c r="R71" s="388"/>
    </row>
    <row r="72" spans="1:18" s="65" customFormat="1" ht="15.95" customHeight="1">
      <c r="A72" s="209"/>
      <c r="B72" s="210"/>
      <c r="C72" s="352" t="s">
        <v>170</v>
      </c>
      <c r="D72" s="401" t="s">
        <v>235</v>
      </c>
      <c r="E72" s="662">
        <f>SUM(O191:O192)</f>
        <v>308.76030000000003</v>
      </c>
      <c r="F72" s="212"/>
      <c r="G72" s="431">
        <v>301.25700000000001</v>
      </c>
      <c r="H72" s="212"/>
      <c r="I72" s="665">
        <f>SUM(G72:G73)/E72*100</f>
        <v>97.569862446694074</v>
      </c>
      <c r="J72" s="212"/>
      <c r="K72" s="650">
        <v>10946</v>
      </c>
      <c r="L72" s="212"/>
      <c r="M72" s="652">
        <f>K72/SUM(G72:G73)</f>
        <v>36.334425424139525</v>
      </c>
      <c r="N72" s="212"/>
      <c r="O72" s="650">
        <v>37206</v>
      </c>
      <c r="P72" s="212"/>
      <c r="Q72" s="652">
        <f>O72/SUM(G72:G73)</f>
        <v>123.50252442266901</v>
      </c>
      <c r="R72" s="212"/>
    </row>
    <row r="73" spans="1:18" s="65" customFormat="1" ht="15.95" customHeight="1">
      <c r="A73" s="209"/>
      <c r="B73" s="210"/>
      <c r="C73" s="352"/>
      <c r="D73" s="401" t="s">
        <v>236</v>
      </c>
      <c r="E73" s="646"/>
      <c r="F73" s="212"/>
      <c r="G73" s="212"/>
      <c r="H73" s="212"/>
      <c r="I73" s="648"/>
      <c r="J73" s="212"/>
      <c r="K73" s="650"/>
      <c r="L73" s="212"/>
      <c r="M73" s="652"/>
      <c r="N73" s="212"/>
      <c r="O73" s="650"/>
      <c r="P73" s="212"/>
      <c r="Q73" s="726"/>
      <c r="R73" s="212"/>
    </row>
    <row r="74" spans="1:18" s="65" customFormat="1" ht="15.95" customHeight="1">
      <c r="A74" s="178"/>
      <c r="B74" s="179"/>
      <c r="C74" s="178"/>
      <c r="D74" s="178"/>
      <c r="E74" s="276">
        <f>SUM(E68:E73)</f>
        <v>515.59480000000008</v>
      </c>
      <c r="F74" s="276">
        <f>E74+F67</f>
        <v>7230.6931999999997</v>
      </c>
      <c r="G74" s="276">
        <f>SUM(G68:G73)</f>
        <v>497.26900000000001</v>
      </c>
      <c r="H74" s="276">
        <f>G74+H67</f>
        <v>6966.3460000000014</v>
      </c>
      <c r="I74" s="276"/>
      <c r="J74" s="309">
        <f>H74/F74*100</f>
        <v>96.344096026643783</v>
      </c>
      <c r="K74" s="310">
        <f>SUM(K68:K73)</f>
        <v>17937</v>
      </c>
      <c r="L74" s="310">
        <f>K74+L67</f>
        <v>249147</v>
      </c>
      <c r="M74" s="276"/>
      <c r="N74" s="309">
        <f>L74/H74</f>
        <v>35.764373460634879</v>
      </c>
      <c r="O74" s="310">
        <f>SUM(O68:O73)</f>
        <v>61492</v>
      </c>
      <c r="P74" s="310">
        <f>O74+P67</f>
        <v>818218</v>
      </c>
      <c r="Q74" s="311"/>
      <c r="R74" s="278">
        <f>P74/H74</f>
        <v>117.45296601690468</v>
      </c>
    </row>
    <row r="75" spans="1:18" s="65" customFormat="1" ht="15.95" customHeight="1">
      <c r="A75" s="269">
        <v>38325</v>
      </c>
      <c r="B75" s="208"/>
      <c r="C75" s="226" t="s">
        <v>26</v>
      </c>
      <c r="D75" s="432" t="s">
        <v>121</v>
      </c>
      <c r="E75" s="661">
        <f>SUM(O194:O194)</f>
        <v>342.3057</v>
      </c>
      <c r="F75" s="384"/>
      <c r="G75" s="384">
        <v>1.7430000000000001</v>
      </c>
      <c r="H75" s="386"/>
      <c r="I75" s="664">
        <f>SUM(G75:G77)/E75*100</f>
        <v>97.203756758943825</v>
      </c>
      <c r="J75" s="384"/>
      <c r="K75" s="649">
        <v>10920</v>
      </c>
      <c r="L75" s="384"/>
      <c r="M75" s="651">
        <f>K75/SUM(G75:G77)</f>
        <v>32.81900857742221</v>
      </c>
      <c r="N75" s="384"/>
      <c r="O75" s="649">
        <v>40671</v>
      </c>
      <c r="P75" s="384"/>
      <c r="Q75" s="651">
        <f>O75/SUM(G75:G77)</f>
        <v>122.23277452860243</v>
      </c>
      <c r="R75" s="384"/>
    </row>
    <row r="76" spans="1:18" s="65" customFormat="1" ht="15.95" customHeight="1">
      <c r="A76" s="269"/>
      <c r="B76" s="208"/>
      <c r="C76" s="226"/>
      <c r="D76" s="507" t="s">
        <v>235</v>
      </c>
      <c r="E76" s="662"/>
      <c r="F76" s="212"/>
      <c r="G76" s="212">
        <v>330.99099999999999</v>
      </c>
      <c r="H76" s="431"/>
      <c r="I76" s="665"/>
      <c r="J76" s="212"/>
      <c r="K76" s="650"/>
      <c r="L76" s="212"/>
      <c r="M76" s="652"/>
      <c r="N76" s="212"/>
      <c r="O76" s="650"/>
      <c r="P76" s="212"/>
      <c r="Q76" s="652"/>
      <c r="R76" s="212"/>
    </row>
    <row r="77" spans="1:18" s="65" customFormat="1" ht="15.95" customHeight="1">
      <c r="A77" s="269"/>
      <c r="B77" s="208"/>
      <c r="C77" s="215"/>
      <c r="D77" s="543"/>
      <c r="E77" s="663"/>
      <c r="F77" s="388"/>
      <c r="G77" s="388"/>
      <c r="H77" s="389"/>
      <c r="I77" s="735"/>
      <c r="J77" s="388"/>
      <c r="K77" s="667"/>
      <c r="L77" s="388"/>
      <c r="M77" s="668"/>
      <c r="N77" s="388"/>
      <c r="O77" s="667"/>
      <c r="P77" s="388"/>
      <c r="Q77" s="668"/>
      <c r="R77" s="388"/>
    </row>
    <row r="78" spans="1:18" s="65" customFormat="1" ht="15.95" customHeight="1">
      <c r="A78" s="209"/>
      <c r="B78" s="210"/>
      <c r="C78" s="352" t="s">
        <v>23</v>
      </c>
      <c r="D78" s="401" t="s">
        <v>235</v>
      </c>
      <c r="E78" s="662">
        <f>SUM(O196:O197)</f>
        <v>353.56139999999999</v>
      </c>
      <c r="F78" s="212"/>
      <c r="G78" s="431">
        <v>342.83600000000001</v>
      </c>
      <c r="H78" s="212"/>
      <c r="I78" s="665">
        <f>SUM(G78:G79)/E78*100</f>
        <v>97.236576164705767</v>
      </c>
      <c r="J78" s="212"/>
      <c r="K78" s="650">
        <v>11264</v>
      </c>
      <c r="L78" s="212"/>
      <c r="M78" s="652">
        <f>K78/SUM(G78:G79)</f>
        <v>32.764092137374163</v>
      </c>
      <c r="N78" s="212"/>
      <c r="O78" s="650">
        <v>41195</v>
      </c>
      <c r="P78" s="212"/>
      <c r="Q78" s="652">
        <f>O78/SUM(G78:G79)</f>
        <v>119.82570806100217</v>
      </c>
      <c r="R78" s="212"/>
    </row>
    <row r="79" spans="1:18" s="65" customFormat="1" ht="15.95" customHeight="1">
      <c r="A79" s="209"/>
      <c r="B79" s="210"/>
      <c r="C79" s="352"/>
      <c r="D79" s="401" t="s">
        <v>236</v>
      </c>
      <c r="E79" s="646"/>
      <c r="F79" s="212"/>
      <c r="G79" s="212">
        <v>0.95499999999999996</v>
      </c>
      <c r="H79" s="212"/>
      <c r="I79" s="648"/>
      <c r="J79" s="212"/>
      <c r="K79" s="650"/>
      <c r="L79" s="212"/>
      <c r="M79" s="652"/>
      <c r="N79" s="212"/>
      <c r="O79" s="650"/>
      <c r="P79" s="212"/>
      <c r="Q79" s="726"/>
      <c r="R79" s="212"/>
    </row>
    <row r="80" spans="1:18" s="65" customFormat="1" ht="15.95" customHeight="1">
      <c r="A80" s="178"/>
      <c r="B80" s="179"/>
      <c r="C80" s="178"/>
      <c r="D80" s="178"/>
      <c r="E80" s="276">
        <f>SUM(E75:E79)</f>
        <v>695.86709999999994</v>
      </c>
      <c r="F80" s="276">
        <f>E80+F74</f>
        <v>7926.5602999999992</v>
      </c>
      <c r="G80" s="276">
        <f>SUM(G75:G79)</f>
        <v>676.52499999999998</v>
      </c>
      <c r="H80" s="276">
        <f>G80+H74</f>
        <v>7642.871000000001</v>
      </c>
      <c r="I80" s="276"/>
      <c r="J80" s="309">
        <f>H80/F80*100</f>
        <v>96.421028929786871</v>
      </c>
      <c r="K80" s="310">
        <f>SUM(K75:K79)</f>
        <v>22184</v>
      </c>
      <c r="L80" s="310">
        <f>K80+L74</f>
        <v>271331</v>
      </c>
      <c r="M80" s="276"/>
      <c r="N80" s="309">
        <f>L80/H80</f>
        <v>35.501187969808726</v>
      </c>
      <c r="O80" s="310">
        <f>SUM(O75:O79)</f>
        <v>81866</v>
      </c>
      <c r="P80" s="310">
        <f>O80+P74</f>
        <v>900084</v>
      </c>
      <c r="Q80" s="311"/>
      <c r="R80" s="278">
        <f>P80/H80</f>
        <v>117.7677864770974</v>
      </c>
    </row>
    <row r="81" spans="1:18" s="65" customFormat="1" ht="15.95" customHeight="1">
      <c r="A81" s="269" t="s">
        <v>283</v>
      </c>
      <c r="B81" s="208"/>
      <c r="C81" s="226" t="s">
        <v>26</v>
      </c>
      <c r="D81" s="401" t="s">
        <v>235</v>
      </c>
      <c r="E81" s="661">
        <f>SUM(O199:O200)</f>
        <v>356.20980000000003</v>
      </c>
      <c r="F81" s="384"/>
      <c r="G81" s="384">
        <v>343.56900000000002</v>
      </c>
      <c r="H81" s="386"/>
      <c r="I81" s="664">
        <f>SUM(G81:G83)/E81*100</f>
        <v>96.717720848780687</v>
      </c>
      <c r="J81" s="384"/>
      <c r="K81" s="649">
        <v>11046</v>
      </c>
      <c r="L81" s="384"/>
      <c r="M81" s="651">
        <f>K81/SUM(G81:G83)</f>
        <v>32.062185430079126</v>
      </c>
      <c r="N81" s="384"/>
      <c r="O81" s="649">
        <v>41426</v>
      </c>
      <c r="P81" s="384"/>
      <c r="Q81" s="651">
        <f>O81/SUM(G81:G83)</f>
        <v>120.24335448365541</v>
      </c>
      <c r="R81" s="384"/>
    </row>
    <row r="82" spans="1:18" s="65" customFormat="1" ht="15.95" customHeight="1">
      <c r="A82" s="269"/>
      <c r="B82" s="208"/>
      <c r="C82" s="226"/>
      <c r="D82" s="507" t="s">
        <v>236</v>
      </c>
      <c r="E82" s="662"/>
      <c r="F82" s="212"/>
      <c r="G82" s="212">
        <v>0.94899999999999995</v>
      </c>
      <c r="H82" s="431"/>
      <c r="I82" s="665"/>
      <c r="J82" s="212"/>
      <c r="K82" s="650"/>
      <c r="L82" s="212"/>
      <c r="M82" s="652"/>
      <c r="N82" s="212"/>
      <c r="O82" s="650"/>
      <c r="P82" s="212"/>
      <c r="Q82" s="652"/>
      <c r="R82" s="212"/>
    </row>
    <row r="83" spans="1:18" s="65" customFormat="1" ht="15.95" customHeight="1">
      <c r="A83" s="554"/>
      <c r="B83" s="208"/>
      <c r="C83" s="215"/>
      <c r="D83" s="543"/>
      <c r="E83" s="663"/>
      <c r="F83" s="388"/>
      <c r="G83" s="388"/>
      <c r="H83" s="389"/>
      <c r="I83" s="735"/>
      <c r="J83" s="388"/>
      <c r="K83" s="667"/>
      <c r="L83" s="388"/>
      <c r="M83" s="668"/>
      <c r="N83" s="388"/>
      <c r="O83" s="667"/>
      <c r="P83" s="388"/>
      <c r="Q83" s="668"/>
      <c r="R83" s="388"/>
    </row>
    <row r="84" spans="1:18" s="65" customFormat="1" ht="15.95" customHeight="1">
      <c r="A84" s="553"/>
      <c r="B84" s="210"/>
      <c r="C84" s="352" t="s">
        <v>23</v>
      </c>
      <c r="D84" s="432" t="s">
        <v>35</v>
      </c>
      <c r="E84" s="662">
        <f>SUM(O201:O202)</f>
        <v>339.9264</v>
      </c>
      <c r="F84" s="212"/>
      <c r="G84" s="431">
        <v>320.50299999999999</v>
      </c>
      <c r="H84" s="555"/>
      <c r="I84" s="665">
        <f>SUM(G84:G85)/E84*100</f>
        <v>95.708659286245492</v>
      </c>
      <c r="J84" s="212"/>
      <c r="K84" s="650">
        <v>12487</v>
      </c>
      <c r="L84" s="212"/>
      <c r="M84" s="652">
        <f>K84/SUM(G84:G85)</f>
        <v>38.381503600859411</v>
      </c>
      <c r="N84" s="212"/>
      <c r="O84" s="650">
        <v>25857</v>
      </c>
      <c r="P84" s="212"/>
      <c r="Q84" s="652">
        <f>O84/SUM(G84:G85)</f>
        <v>79.477099271836451</v>
      </c>
      <c r="R84" s="212"/>
    </row>
    <row r="85" spans="1:18" s="65" customFormat="1" ht="15.95" customHeight="1">
      <c r="A85" s="209"/>
      <c r="B85" s="210"/>
      <c r="C85" s="352"/>
      <c r="D85" s="432" t="s">
        <v>39</v>
      </c>
      <c r="E85" s="646"/>
      <c r="F85" s="212"/>
      <c r="G85" s="212">
        <v>4.8360000000000003</v>
      </c>
      <c r="H85" s="212"/>
      <c r="I85" s="648"/>
      <c r="J85" s="212"/>
      <c r="K85" s="650"/>
      <c r="L85" s="212"/>
      <c r="M85" s="652"/>
      <c r="N85" s="212"/>
      <c r="O85" s="650"/>
      <c r="P85" s="212"/>
      <c r="Q85" s="726"/>
      <c r="R85" s="212"/>
    </row>
    <row r="86" spans="1:18" s="65" customFormat="1" ht="15.95" customHeight="1">
      <c r="A86" s="178"/>
      <c r="B86" s="179"/>
      <c r="C86" s="178"/>
      <c r="D86" s="178"/>
      <c r="E86" s="276">
        <f>SUM(E81:E85)</f>
        <v>696.13620000000003</v>
      </c>
      <c r="F86" s="276">
        <f>E86+F80</f>
        <v>8622.6965</v>
      </c>
      <c r="G86" s="276">
        <f>SUM(G81:G85)</f>
        <v>669.85699999999997</v>
      </c>
      <c r="H86" s="276">
        <f>G86+H80</f>
        <v>8312.728000000001</v>
      </c>
      <c r="I86" s="276"/>
      <c r="J86" s="309">
        <f>H86/F86*100</f>
        <v>96.405202247348043</v>
      </c>
      <c r="K86" s="310">
        <f>SUM(K81:K85)</f>
        <v>23533</v>
      </c>
      <c r="L86" s="310">
        <f>K86+L80</f>
        <v>294864</v>
      </c>
      <c r="M86" s="276"/>
      <c r="N86" s="309">
        <f>L86/H86</f>
        <v>35.471387972756951</v>
      </c>
      <c r="O86" s="310">
        <f>SUM(O81:O85)</f>
        <v>67283</v>
      </c>
      <c r="P86" s="310">
        <f>O86+P80</f>
        <v>967367</v>
      </c>
      <c r="Q86" s="311"/>
      <c r="R86" s="278">
        <f>P86/H86</f>
        <v>116.37178553177728</v>
      </c>
    </row>
    <row r="87" spans="1:18" s="65" customFormat="1" ht="15.95" customHeight="1">
      <c r="A87" s="269" t="s">
        <v>286</v>
      </c>
      <c r="B87" s="208"/>
      <c r="C87" s="382" t="s">
        <v>170</v>
      </c>
      <c r="D87" s="478" t="s">
        <v>35</v>
      </c>
      <c r="E87" s="661">
        <f>SUM(O204:O205)</f>
        <v>408.8304</v>
      </c>
      <c r="F87" s="384"/>
      <c r="G87" s="384">
        <v>392.05500000000001</v>
      </c>
      <c r="H87" s="386"/>
      <c r="I87" s="664">
        <f>SUM(G87:G89)/E87*100</f>
        <v>96.786344655387666</v>
      </c>
      <c r="J87" s="384"/>
      <c r="K87" s="649">
        <f>12742+400</f>
        <v>13142</v>
      </c>
      <c r="L87" s="384"/>
      <c r="M87" s="651">
        <f>K87/SUM(G87:G89)</f>
        <v>33.212700787481168</v>
      </c>
      <c r="N87" s="384"/>
      <c r="O87" s="649">
        <f>28937+1500</f>
        <v>30437</v>
      </c>
      <c r="P87" s="384"/>
      <c r="Q87" s="651">
        <f>O87/SUM(G87:G89)</f>
        <v>76.920938507728238</v>
      </c>
      <c r="R87" s="384"/>
    </row>
    <row r="88" spans="1:18" s="65" customFormat="1" ht="15.95" customHeight="1">
      <c r="A88" s="269"/>
      <c r="B88" s="208"/>
      <c r="C88" s="226"/>
      <c r="D88" s="432" t="s">
        <v>146</v>
      </c>
      <c r="E88" s="662"/>
      <c r="F88" s="212"/>
      <c r="G88" s="212">
        <v>2.016</v>
      </c>
      <c r="H88" s="431"/>
      <c r="I88" s="665"/>
      <c r="J88" s="212"/>
      <c r="K88" s="650"/>
      <c r="L88" s="212"/>
      <c r="M88" s="652"/>
      <c r="N88" s="212"/>
      <c r="O88" s="650"/>
      <c r="P88" s="212"/>
      <c r="Q88" s="652"/>
      <c r="R88" s="212"/>
    </row>
    <row r="89" spans="1:18" s="65" customFormat="1" ht="15.95" customHeight="1">
      <c r="A89" s="554"/>
      <c r="B89" s="208"/>
      <c r="C89" s="215"/>
      <c r="D89" s="500" t="s">
        <v>121</v>
      </c>
      <c r="E89" s="663"/>
      <c r="F89" s="388"/>
      <c r="G89" s="388">
        <v>1.621</v>
      </c>
      <c r="H89" s="389"/>
      <c r="I89" s="735"/>
      <c r="J89" s="388"/>
      <c r="K89" s="667"/>
      <c r="L89" s="388"/>
      <c r="M89" s="668"/>
      <c r="N89" s="388"/>
      <c r="O89" s="667"/>
      <c r="P89" s="388"/>
      <c r="Q89" s="668"/>
      <c r="R89" s="388"/>
    </row>
    <row r="90" spans="1:18" s="65" customFormat="1" ht="15.95" customHeight="1">
      <c r="A90" s="553"/>
      <c r="B90" s="210"/>
      <c r="C90" s="352" t="s">
        <v>26</v>
      </c>
      <c r="D90" s="432" t="s">
        <v>104</v>
      </c>
      <c r="E90" s="662">
        <f>SUM(O206:O207)</f>
        <v>128.44740000000002</v>
      </c>
      <c r="F90" s="212"/>
      <c r="G90" s="431">
        <f>111.856</f>
        <v>111.85599999999999</v>
      </c>
      <c r="H90" s="555"/>
      <c r="I90" s="665">
        <f>SUM(G90:G91)/E90*100</f>
        <v>87.083117291591719</v>
      </c>
      <c r="J90" s="212"/>
      <c r="K90" s="650">
        <f>6205-400</f>
        <v>5805</v>
      </c>
      <c r="L90" s="212"/>
      <c r="M90" s="652">
        <f>K90/SUM(G90:G91)</f>
        <v>51.897081962523245</v>
      </c>
      <c r="N90" s="212"/>
      <c r="O90" s="650">
        <f>21237-1500</f>
        <v>19737</v>
      </c>
      <c r="P90" s="212"/>
      <c r="Q90" s="652">
        <f>O90/SUM(G90:G91)</f>
        <v>176.45007867257902</v>
      </c>
      <c r="R90" s="212"/>
    </row>
    <row r="91" spans="1:18" s="65" customFormat="1" ht="15.95" customHeight="1">
      <c r="A91" s="209"/>
      <c r="B91" s="210"/>
      <c r="C91" s="352"/>
      <c r="D91" s="432" t="s">
        <v>105</v>
      </c>
      <c r="E91" s="646"/>
      <c r="F91" s="212"/>
      <c r="G91" s="212">
        <v>0</v>
      </c>
      <c r="H91" s="212"/>
      <c r="I91" s="648"/>
      <c r="J91" s="212"/>
      <c r="K91" s="650"/>
      <c r="L91" s="212"/>
      <c r="M91" s="652"/>
      <c r="N91" s="212"/>
      <c r="O91" s="650"/>
      <c r="P91" s="212"/>
      <c r="Q91" s="726"/>
      <c r="R91" s="212"/>
    </row>
    <row r="92" spans="1:18" s="65" customFormat="1" ht="15.95" customHeight="1">
      <c r="A92" s="178"/>
      <c r="B92" s="179"/>
      <c r="C92" s="178"/>
      <c r="D92" s="178"/>
      <c r="E92" s="276">
        <f>SUM(E87:E91)</f>
        <v>537.27780000000007</v>
      </c>
      <c r="F92" s="276">
        <f>E92+F86</f>
        <v>9159.9742999999999</v>
      </c>
      <c r="G92" s="276">
        <f>SUM(G87:G91)</f>
        <v>507.548</v>
      </c>
      <c r="H92" s="276">
        <f>G92+H86</f>
        <v>8820.2760000000017</v>
      </c>
      <c r="I92" s="276"/>
      <c r="J92" s="309">
        <f>H92/F92*100</f>
        <v>96.291492870236567</v>
      </c>
      <c r="K92" s="310">
        <f>SUM(K87:K91)</f>
        <v>18947</v>
      </c>
      <c r="L92" s="310">
        <f>K92+L86</f>
        <v>313811</v>
      </c>
      <c r="M92" s="276"/>
      <c r="N92" s="309">
        <f>L92/H92</f>
        <v>35.57836512145424</v>
      </c>
      <c r="O92" s="310">
        <f>SUM(O87:O91)</f>
        <v>50174</v>
      </c>
      <c r="P92" s="310">
        <f>O92+P86</f>
        <v>1017541</v>
      </c>
      <c r="Q92" s="311"/>
      <c r="R92" s="278">
        <f>P92/H92</f>
        <v>115.36385029221306</v>
      </c>
    </row>
    <row r="93" spans="1:18" s="65" customFormat="1" ht="15.95" customHeight="1">
      <c r="A93" s="269" t="s">
        <v>287</v>
      </c>
      <c r="B93" s="208"/>
      <c r="C93" s="382" t="s">
        <v>170</v>
      </c>
      <c r="D93" s="432" t="s">
        <v>104</v>
      </c>
      <c r="E93" s="661">
        <f>SUM(O209:O210)</f>
        <v>184.10640000000001</v>
      </c>
      <c r="F93" s="386"/>
      <c r="G93" s="384">
        <v>169.84800000000001</v>
      </c>
      <c r="H93" s="386"/>
      <c r="I93" s="664">
        <f>SUM(G93:G94)/E93*100</f>
        <v>92.255347994420617</v>
      </c>
      <c r="J93" s="384"/>
      <c r="K93" s="649">
        <f>7899-300</f>
        <v>7599</v>
      </c>
      <c r="L93" s="384"/>
      <c r="M93" s="651">
        <f>K93/SUM(G93:G94)</f>
        <v>44.740002826056234</v>
      </c>
      <c r="N93" s="384"/>
      <c r="O93" s="649">
        <v>25210</v>
      </c>
      <c r="P93" s="384"/>
      <c r="Q93" s="651">
        <f>O93/SUM(G93:G94)</f>
        <v>148.426828693891</v>
      </c>
      <c r="R93" s="384"/>
    </row>
    <row r="94" spans="1:18" s="65" customFormat="1" ht="15.95" customHeight="1">
      <c r="A94" s="554"/>
      <c r="B94" s="208"/>
      <c r="C94" s="215"/>
      <c r="D94" s="500"/>
      <c r="E94" s="663"/>
      <c r="F94" s="388"/>
      <c r="G94" s="388"/>
      <c r="H94" s="389"/>
      <c r="I94" s="735"/>
      <c r="J94" s="388"/>
      <c r="K94" s="667"/>
      <c r="L94" s="388"/>
      <c r="M94" s="668"/>
      <c r="N94" s="388"/>
      <c r="O94" s="667"/>
      <c r="P94" s="388"/>
      <c r="Q94" s="668"/>
      <c r="R94" s="388"/>
    </row>
    <row r="95" spans="1:18" s="65" customFormat="1" ht="15.95" customHeight="1">
      <c r="A95" s="553"/>
      <c r="B95" s="210"/>
      <c r="C95" s="352" t="s">
        <v>26</v>
      </c>
      <c r="D95" s="432" t="s">
        <v>104</v>
      </c>
      <c r="E95" s="662">
        <f>SUM(O211)</f>
        <v>306.23999999999995</v>
      </c>
      <c r="F95" s="431"/>
      <c r="G95" s="431">
        <v>292.29399999999998</v>
      </c>
      <c r="H95" s="555"/>
      <c r="I95" s="665">
        <f>SUM(G95:G96)/E95*100</f>
        <v>95.446055381400214</v>
      </c>
      <c r="J95" s="212"/>
      <c r="K95" s="650">
        <f>9366+300</f>
        <v>9666</v>
      </c>
      <c r="L95" s="212"/>
      <c r="M95" s="652">
        <f>K95/SUM(G95:G96)</f>
        <v>33.069443779208605</v>
      </c>
      <c r="N95" s="212"/>
      <c r="O95" s="650">
        <v>38115</v>
      </c>
      <c r="P95" s="212"/>
      <c r="Q95" s="652">
        <f>O95/SUM(G95:G96)</f>
        <v>130.39952924110656</v>
      </c>
      <c r="R95" s="212"/>
    </row>
    <row r="96" spans="1:18" s="65" customFormat="1" ht="15.95" customHeight="1">
      <c r="A96" s="209"/>
      <c r="B96" s="210"/>
      <c r="C96" s="352"/>
      <c r="D96" s="432" t="s">
        <v>105</v>
      </c>
      <c r="E96" s="646"/>
      <c r="F96" s="212"/>
      <c r="G96" s="212"/>
      <c r="H96" s="212"/>
      <c r="I96" s="648"/>
      <c r="J96" s="212"/>
      <c r="K96" s="650"/>
      <c r="L96" s="212"/>
      <c r="M96" s="652"/>
      <c r="N96" s="212"/>
      <c r="O96" s="650"/>
      <c r="P96" s="212"/>
      <c r="Q96" s="726"/>
      <c r="R96" s="212"/>
    </row>
    <row r="97" spans="1:19" s="65" customFormat="1" ht="15.95" customHeight="1">
      <c r="A97" s="178"/>
      <c r="B97" s="179"/>
      <c r="C97" s="178"/>
      <c r="D97" s="178"/>
      <c r="E97" s="276">
        <f>SUM(E93:E96)</f>
        <v>490.34639999999996</v>
      </c>
      <c r="F97" s="276">
        <f>E97+F92</f>
        <v>9650.3207000000002</v>
      </c>
      <c r="G97" s="276">
        <f>SUM(G93:G96)</f>
        <v>462.142</v>
      </c>
      <c r="H97" s="276">
        <f>G97+H92</f>
        <v>9282.4180000000015</v>
      </c>
      <c r="I97" s="276"/>
      <c r="J97" s="309">
        <f>H97/F97*100</f>
        <v>96.187663483556577</v>
      </c>
      <c r="K97" s="310">
        <f>SUM(K93:K96)</f>
        <v>17265</v>
      </c>
      <c r="L97" s="310">
        <f>K97+L92</f>
        <v>331076</v>
      </c>
      <c r="M97" s="276"/>
      <c r="N97" s="309">
        <f>L97/H97</f>
        <v>35.666999697708071</v>
      </c>
      <c r="O97" s="310">
        <f>SUM(O93:O96)</f>
        <v>63325</v>
      </c>
      <c r="P97" s="310">
        <f>O97+P92</f>
        <v>1080866</v>
      </c>
      <c r="Q97" s="311"/>
      <c r="R97" s="278">
        <f>P97/H97</f>
        <v>116.4422890673529</v>
      </c>
    </row>
    <row r="98" spans="1:19" s="65" customFormat="1" ht="15.95" customHeight="1">
      <c r="A98" s="269" t="s">
        <v>288</v>
      </c>
      <c r="B98" s="208"/>
      <c r="C98" s="382" t="s">
        <v>23</v>
      </c>
      <c r="D98" s="432" t="s">
        <v>104</v>
      </c>
      <c r="E98" s="661">
        <f>SUM(O214:O215)</f>
        <v>264.89759999999995</v>
      </c>
      <c r="F98" s="386"/>
      <c r="G98" s="384">
        <v>250.971</v>
      </c>
      <c r="H98" s="386"/>
      <c r="I98" s="664">
        <f>SUM(G98:G99)/E98*100</f>
        <v>94.742647725007728</v>
      </c>
      <c r="J98" s="384"/>
      <c r="K98" s="649">
        <v>9556</v>
      </c>
      <c r="L98" s="384"/>
      <c r="M98" s="651">
        <f>K98/SUM(G98:G99)</f>
        <v>38.076112379517951</v>
      </c>
      <c r="N98" s="384"/>
      <c r="O98" s="649">
        <f>34157-1500</f>
        <v>32657</v>
      </c>
      <c r="P98" s="384"/>
      <c r="Q98" s="651">
        <f>O98/SUM(G98:G99)</f>
        <v>130.12260380681434</v>
      </c>
      <c r="R98" s="384"/>
    </row>
    <row r="99" spans="1:19" s="65" customFormat="1" ht="15.95" customHeight="1">
      <c r="A99" s="554"/>
      <c r="B99" s="208"/>
      <c r="C99" s="215"/>
      <c r="D99" s="500"/>
      <c r="E99" s="663"/>
      <c r="F99" s="388"/>
      <c r="G99" s="388"/>
      <c r="H99" s="389"/>
      <c r="I99" s="735"/>
      <c r="J99" s="388"/>
      <c r="K99" s="667"/>
      <c r="L99" s="388"/>
      <c r="M99" s="668"/>
      <c r="N99" s="388"/>
      <c r="O99" s="667"/>
      <c r="P99" s="388"/>
      <c r="Q99" s="668"/>
      <c r="R99" s="388"/>
    </row>
    <row r="100" spans="1:19" s="65" customFormat="1" ht="15.95" customHeight="1">
      <c r="A100" s="553"/>
      <c r="B100" s="210"/>
      <c r="C100" s="352" t="s">
        <v>170</v>
      </c>
      <c r="D100" s="432" t="s">
        <v>124</v>
      </c>
      <c r="E100" s="662">
        <f>SUM(O216:O217)</f>
        <v>347.58239999999995</v>
      </c>
      <c r="F100" s="431"/>
      <c r="G100" s="431">
        <v>330.14299999999997</v>
      </c>
      <c r="H100" s="555"/>
      <c r="I100" s="665">
        <f>SUM(G100:G101)/E100*100</f>
        <v>96.226966612808937</v>
      </c>
      <c r="J100" s="212"/>
      <c r="K100" s="650">
        <v>11623</v>
      </c>
      <c r="L100" s="212"/>
      <c r="M100" s="652">
        <f>K100/SUM(G100:G101)</f>
        <v>34.750708587966564</v>
      </c>
      <c r="N100" s="212"/>
      <c r="O100" s="650">
        <f>24979+1500</f>
        <v>26479</v>
      </c>
      <c r="P100" s="212"/>
      <c r="Q100" s="652">
        <f>O100/SUM(G100:G101)</f>
        <v>79.167513783082399</v>
      </c>
      <c r="R100" s="212"/>
    </row>
    <row r="101" spans="1:19" s="65" customFormat="1" ht="15.95" customHeight="1">
      <c r="A101" s="209"/>
      <c r="B101" s="210"/>
      <c r="C101" s="352"/>
      <c r="D101" s="476" t="s">
        <v>125</v>
      </c>
      <c r="E101" s="662"/>
      <c r="F101" s="212"/>
      <c r="G101" s="212">
        <v>4.3250000000000002</v>
      </c>
      <c r="H101" s="212"/>
      <c r="I101" s="665"/>
      <c r="J101" s="212"/>
      <c r="K101" s="650"/>
      <c r="L101" s="212"/>
      <c r="M101" s="652"/>
      <c r="N101" s="212"/>
      <c r="O101" s="650"/>
      <c r="P101" s="212"/>
      <c r="Q101" s="652"/>
      <c r="R101" s="212"/>
    </row>
    <row r="102" spans="1:19" s="65" customFormat="1" ht="15.95" customHeight="1">
      <c r="A102" s="488"/>
      <c r="B102" s="561"/>
      <c r="C102" s="488"/>
      <c r="D102" s="488"/>
      <c r="E102" s="489">
        <f>SUM(E98:E101)</f>
        <v>612.4799999999999</v>
      </c>
      <c r="F102" s="489">
        <f>E102+F97</f>
        <v>10262.8007</v>
      </c>
      <c r="G102" s="489">
        <f>SUM(G98:G101)</f>
        <v>585.43900000000008</v>
      </c>
      <c r="H102" s="489">
        <f>G102+H97</f>
        <v>9867.8570000000018</v>
      </c>
      <c r="I102" s="489"/>
      <c r="J102" s="490">
        <f>H102/F102*100</f>
        <v>96.151696680614691</v>
      </c>
      <c r="K102" s="491">
        <f>SUM(K98:K101)</f>
        <v>21179</v>
      </c>
      <c r="L102" s="491">
        <f>K102+L97</f>
        <v>352255</v>
      </c>
      <c r="M102" s="489"/>
      <c r="N102" s="490">
        <f>L102/H102</f>
        <v>35.69721369087533</v>
      </c>
      <c r="O102" s="491">
        <f>SUM(O98:O101)</f>
        <v>59136</v>
      </c>
      <c r="P102" s="491">
        <f>O102+P97</f>
        <v>1140002</v>
      </c>
      <c r="Q102" s="492"/>
      <c r="R102" s="493">
        <f>P102/H102</f>
        <v>115.52680587081873</v>
      </c>
    </row>
    <row r="103" spans="1:19" s="65" customFormat="1" ht="15.95" customHeight="1">
      <c r="A103" s="269" t="s">
        <v>290</v>
      </c>
      <c r="B103" s="208"/>
      <c r="C103" s="382" t="s">
        <v>23</v>
      </c>
      <c r="D103" s="432" t="s">
        <v>124</v>
      </c>
      <c r="E103" s="661">
        <f>SUM(O219:O220)</f>
        <v>378.20639999999997</v>
      </c>
      <c r="F103" s="386"/>
      <c r="G103" s="384">
        <v>365.76</v>
      </c>
      <c r="H103" s="386"/>
      <c r="I103" s="664">
        <f>SUM(G103:G105)/E103*100</f>
        <v>97.579787121529421</v>
      </c>
      <c r="J103" s="384"/>
      <c r="K103" s="649">
        <v>12352</v>
      </c>
      <c r="L103" s="384"/>
      <c r="M103" s="651">
        <f>K103/SUM(G103:G105)</f>
        <v>33.469447477733553</v>
      </c>
      <c r="N103" s="384"/>
      <c r="O103" s="649">
        <v>26996</v>
      </c>
      <c r="P103" s="384"/>
      <c r="Q103" s="651">
        <f>O103/SUM(G103:G105)</f>
        <v>73.149385047676077</v>
      </c>
      <c r="R103" s="384"/>
    </row>
    <row r="104" spans="1:19" s="65" customFormat="1" ht="15.95" customHeight="1">
      <c r="A104" s="565"/>
      <c r="B104" s="208"/>
      <c r="C104" s="352"/>
      <c r="D104" s="532" t="s">
        <v>130</v>
      </c>
      <c r="E104" s="662"/>
      <c r="F104" s="431"/>
      <c r="G104" s="431">
        <v>1.7</v>
      </c>
      <c r="H104" s="431"/>
      <c r="I104" s="665"/>
      <c r="J104" s="212"/>
      <c r="K104" s="650"/>
      <c r="L104" s="212"/>
      <c r="M104" s="652"/>
      <c r="N104" s="212"/>
      <c r="O104" s="650"/>
      <c r="P104" s="212"/>
      <c r="Q104" s="652"/>
      <c r="R104" s="212"/>
    </row>
    <row r="105" spans="1:19" s="65" customFormat="1" ht="15.95" customHeight="1">
      <c r="A105" s="554"/>
      <c r="B105" s="208"/>
      <c r="C105" s="215"/>
      <c r="D105" s="500" t="s">
        <v>146</v>
      </c>
      <c r="E105" s="663"/>
      <c r="F105" s="388"/>
      <c r="G105" s="564">
        <v>1.593</v>
      </c>
      <c r="H105" s="389"/>
      <c r="I105" s="735"/>
      <c r="J105" s="388"/>
      <c r="K105" s="667"/>
      <c r="L105" s="388"/>
      <c r="M105" s="668"/>
      <c r="N105" s="388"/>
      <c r="O105" s="667"/>
      <c r="P105" s="388"/>
      <c r="Q105" s="668"/>
      <c r="R105" s="388"/>
    </row>
    <row r="106" spans="1:19" s="65" customFormat="1" ht="15.95" customHeight="1">
      <c r="A106" s="553"/>
      <c r="B106" s="210"/>
      <c r="C106" s="352" t="s">
        <v>170</v>
      </c>
      <c r="D106" s="432" t="s">
        <v>118</v>
      </c>
      <c r="E106" s="662">
        <f>SUM(O221:O222)</f>
        <v>375.14399999999995</v>
      </c>
      <c r="F106" s="431"/>
      <c r="G106" s="431">
        <v>360.71800000000002</v>
      </c>
      <c r="H106" s="555"/>
      <c r="I106" s="665">
        <f>SUM(G106:G107)/E106*100</f>
        <v>97.461508114217494</v>
      </c>
      <c r="J106" s="212"/>
      <c r="K106" s="650">
        <v>13305</v>
      </c>
      <c r="L106" s="212"/>
      <c r="M106" s="652">
        <f>K106/SUM(G106:G107)</f>
        <v>36.390141704114363</v>
      </c>
      <c r="N106" s="212"/>
      <c r="O106" s="650">
        <v>30199</v>
      </c>
      <c r="P106" s="212"/>
      <c r="Q106" s="652">
        <f>O106/SUM(G106:G107)</f>
        <v>82.596459174937976</v>
      </c>
      <c r="R106" s="212"/>
    </row>
    <row r="107" spans="1:19" s="65" customFormat="1" ht="15.95" customHeight="1">
      <c r="A107" s="209"/>
      <c r="B107" s="210"/>
      <c r="C107" s="352"/>
      <c r="D107" s="476" t="s">
        <v>120</v>
      </c>
      <c r="E107" s="662"/>
      <c r="F107" s="212"/>
      <c r="G107" s="212">
        <v>4.9029999999999996</v>
      </c>
      <c r="H107" s="212"/>
      <c r="I107" s="665"/>
      <c r="J107" s="212"/>
      <c r="K107" s="650"/>
      <c r="L107" s="212"/>
      <c r="M107" s="652"/>
      <c r="N107" s="212"/>
      <c r="O107" s="650"/>
      <c r="P107" s="212"/>
      <c r="Q107" s="652"/>
      <c r="R107" s="212"/>
    </row>
    <row r="108" spans="1:19" s="65" customFormat="1" ht="15.95" customHeight="1">
      <c r="A108" s="488"/>
      <c r="B108" s="561"/>
      <c r="C108" s="488"/>
      <c r="D108" s="488"/>
      <c r="E108" s="489">
        <f>SUM(E103:E107)</f>
        <v>753.35039999999992</v>
      </c>
      <c r="F108" s="489">
        <f>E108+F102</f>
        <v>11016.151099999999</v>
      </c>
      <c r="G108" s="489">
        <f>SUM(G103:G107)</f>
        <v>734.67399999999998</v>
      </c>
      <c r="H108" s="489">
        <f>G108+H102</f>
        <v>10602.531000000003</v>
      </c>
      <c r="I108" s="489"/>
      <c r="J108" s="490">
        <f>H108/F108*100</f>
        <v>96.245330186148266</v>
      </c>
      <c r="K108" s="491">
        <f>SUM(K103:K107)</f>
        <v>25657</v>
      </c>
      <c r="L108" s="491">
        <f>K108+L102</f>
        <v>377912</v>
      </c>
      <c r="M108" s="489"/>
      <c r="N108" s="490">
        <f>L108/H108</f>
        <v>35.643564729968716</v>
      </c>
      <c r="O108" s="491">
        <f>SUM(O103:O107)</f>
        <v>57195</v>
      </c>
      <c r="P108" s="491">
        <f>O108+P102</f>
        <v>1197197</v>
      </c>
      <c r="Q108" s="492"/>
      <c r="R108" s="493">
        <f>P108/H108</f>
        <v>112.91615181318495</v>
      </c>
      <c r="S108" s="569"/>
    </row>
    <row r="109" spans="1:19" s="65" customFormat="1" ht="15.95" customHeight="1">
      <c r="A109" s="269" t="s">
        <v>291</v>
      </c>
      <c r="B109" s="208"/>
      <c r="C109" s="382" t="s">
        <v>26</v>
      </c>
      <c r="D109" s="432" t="s">
        <v>118</v>
      </c>
      <c r="E109" s="661">
        <f>SUM(O224:O225)</f>
        <v>401.17439999999999</v>
      </c>
      <c r="F109" s="386"/>
      <c r="G109" s="384">
        <v>385.30399999999997</v>
      </c>
      <c r="H109" s="386"/>
      <c r="I109" s="664">
        <f>SUM(G109:G111)/E109*100</f>
        <v>97.725826972010168</v>
      </c>
      <c r="J109" s="384"/>
      <c r="K109" s="649">
        <f>11458+1200</f>
        <v>12658</v>
      </c>
      <c r="L109" s="384"/>
      <c r="M109" s="651">
        <f>K109/SUM(G109:G111)</f>
        <v>32.286615771927636</v>
      </c>
      <c r="N109" s="384"/>
      <c r="O109" s="649">
        <v>30877</v>
      </c>
      <c r="P109" s="384"/>
      <c r="Q109" s="651">
        <f>O109/SUM(G109:G111)</f>
        <v>78.757610616986071</v>
      </c>
      <c r="R109" s="384"/>
    </row>
    <row r="110" spans="1:19" s="65" customFormat="1" ht="15.95" customHeight="1">
      <c r="A110" s="565"/>
      <c r="B110" s="208"/>
      <c r="C110" s="352"/>
      <c r="D110" s="532" t="s">
        <v>120</v>
      </c>
      <c r="E110" s="662"/>
      <c r="F110" s="431"/>
      <c r="G110" s="212">
        <v>5.431</v>
      </c>
      <c r="H110" s="431"/>
      <c r="I110" s="665"/>
      <c r="J110" s="212"/>
      <c r="K110" s="650"/>
      <c r="L110" s="212"/>
      <c r="M110" s="652"/>
      <c r="N110" s="212"/>
      <c r="O110" s="650"/>
      <c r="P110" s="212"/>
      <c r="Q110" s="652"/>
      <c r="R110" s="212"/>
    </row>
    <row r="111" spans="1:19" s="65" customFormat="1" ht="15.95" customHeight="1">
      <c r="A111" s="554"/>
      <c r="B111" s="208"/>
      <c r="C111" s="215"/>
      <c r="D111" s="544" t="s">
        <v>119</v>
      </c>
      <c r="E111" s="663"/>
      <c r="F111" s="388"/>
      <c r="G111" s="388">
        <v>1.3160000000000001</v>
      </c>
      <c r="H111" s="389"/>
      <c r="I111" s="735"/>
      <c r="J111" s="388"/>
      <c r="K111" s="667"/>
      <c r="L111" s="388"/>
      <c r="M111" s="668"/>
      <c r="N111" s="388"/>
      <c r="O111" s="667"/>
      <c r="P111" s="388"/>
      <c r="Q111" s="668"/>
      <c r="R111" s="388"/>
    </row>
    <row r="112" spans="1:19" s="65" customFormat="1" ht="15.95" customHeight="1">
      <c r="A112" s="553"/>
      <c r="B112" s="210"/>
      <c r="C112" s="352" t="s">
        <v>23</v>
      </c>
      <c r="D112" s="432" t="s">
        <v>292</v>
      </c>
      <c r="E112" s="662">
        <f>SUM(O226:O227)</f>
        <v>232.39709999999999</v>
      </c>
      <c r="F112" s="431"/>
      <c r="G112" s="578">
        <v>219.63499999999999</v>
      </c>
      <c r="H112" s="555"/>
      <c r="I112" s="665">
        <f>SUM(G112:G113)/E112*100</f>
        <v>95.053251525083567</v>
      </c>
      <c r="J112" s="212"/>
      <c r="K112" s="650">
        <v>7561</v>
      </c>
      <c r="L112" s="212"/>
      <c r="M112" s="652">
        <f>K112/SUM(G112:G113)</f>
        <v>34.228002589395253</v>
      </c>
      <c r="N112" s="212"/>
      <c r="O112" s="650">
        <v>27615</v>
      </c>
      <c r="P112" s="212"/>
      <c r="Q112" s="652">
        <f>O112/SUM(G112:G113)</f>
        <v>125.01075142258297</v>
      </c>
      <c r="R112" s="212"/>
    </row>
    <row r="113" spans="1:18" s="65" customFormat="1" ht="15.95" customHeight="1">
      <c r="A113" s="209"/>
      <c r="B113" s="210"/>
      <c r="C113" s="352"/>
      <c r="D113" s="476" t="s">
        <v>293</v>
      </c>
      <c r="E113" s="662"/>
      <c r="F113" s="212"/>
      <c r="G113" s="212">
        <v>1.266</v>
      </c>
      <c r="H113" s="212"/>
      <c r="I113" s="665"/>
      <c r="J113" s="212"/>
      <c r="K113" s="650"/>
      <c r="L113" s="212"/>
      <c r="M113" s="652"/>
      <c r="N113" s="212"/>
      <c r="O113" s="650"/>
      <c r="P113" s="212"/>
      <c r="Q113" s="652"/>
      <c r="R113" s="212"/>
    </row>
    <row r="114" spans="1:18" s="65" customFormat="1" ht="15.95" customHeight="1">
      <c r="A114" s="488"/>
      <c r="B114" s="561"/>
      <c r="C114" s="488"/>
      <c r="D114" s="488"/>
      <c r="E114" s="489">
        <f>SUM(E109:E113)</f>
        <v>633.57150000000001</v>
      </c>
      <c r="F114" s="489">
        <f>E114+F108</f>
        <v>11649.722599999999</v>
      </c>
      <c r="G114" s="489">
        <f>SUM(G109:G113)</f>
        <v>612.95199999999988</v>
      </c>
      <c r="H114" s="489">
        <f>G114+H108</f>
        <v>11215.483000000002</v>
      </c>
      <c r="I114" s="489"/>
      <c r="J114" s="490">
        <f>H114/F114*100</f>
        <v>96.272532703911779</v>
      </c>
      <c r="K114" s="491">
        <f>SUM(K109:K113)</f>
        <v>20219</v>
      </c>
      <c r="L114" s="491">
        <f>K114+L108</f>
        <v>398131</v>
      </c>
      <c r="M114" s="489"/>
      <c r="N114" s="490">
        <f>L114/H114</f>
        <v>35.498337432279996</v>
      </c>
      <c r="O114" s="491">
        <f>SUM(O109:O113)</f>
        <v>58492</v>
      </c>
      <c r="P114" s="491">
        <f>O114+P108</f>
        <v>1255689</v>
      </c>
      <c r="Q114" s="492"/>
      <c r="R114" s="493">
        <f>P114/H114</f>
        <v>111.96031414786147</v>
      </c>
    </row>
    <row r="115" spans="1:18" s="65" customFormat="1" ht="15.95" customHeight="1">
      <c r="A115" s="269" t="s">
        <v>296</v>
      </c>
      <c r="B115" s="208"/>
      <c r="C115" s="382"/>
      <c r="D115" s="433" t="s">
        <v>100</v>
      </c>
      <c r="E115" s="566"/>
      <c r="F115" s="386"/>
      <c r="G115" s="384"/>
      <c r="H115" s="386"/>
      <c r="I115" s="664"/>
      <c r="J115" s="384"/>
      <c r="K115" s="649">
        <f>2195+4200</f>
        <v>6395</v>
      </c>
      <c r="L115" s="384"/>
      <c r="M115" s="651"/>
      <c r="N115" s="384"/>
      <c r="O115" s="649">
        <f>32479-27615+4000</f>
        <v>8864</v>
      </c>
      <c r="P115" s="384"/>
      <c r="Q115" s="651"/>
      <c r="R115" s="384"/>
    </row>
    <row r="116" spans="1:18" s="65" customFormat="1" ht="15.95" customHeight="1">
      <c r="A116" s="565"/>
      <c r="B116" s="208"/>
      <c r="C116" s="352"/>
      <c r="D116" s="532"/>
      <c r="E116" s="567"/>
      <c r="F116" s="431"/>
      <c r="G116" s="212"/>
      <c r="H116" s="431"/>
      <c r="I116" s="665"/>
      <c r="J116" s="212"/>
      <c r="K116" s="650"/>
      <c r="L116" s="212"/>
      <c r="M116" s="652"/>
      <c r="N116" s="212"/>
      <c r="O116" s="650"/>
      <c r="P116" s="212"/>
      <c r="Q116" s="652"/>
      <c r="R116" s="212"/>
    </row>
    <row r="117" spans="1:18" s="65" customFormat="1" ht="15.95" customHeight="1">
      <c r="A117" s="554"/>
      <c r="B117" s="208"/>
      <c r="C117" s="215"/>
      <c r="D117" s="544"/>
      <c r="E117" s="568"/>
      <c r="F117" s="388"/>
      <c r="G117" s="388"/>
      <c r="H117" s="389"/>
      <c r="I117" s="735"/>
      <c r="J117" s="388"/>
      <c r="K117" s="667"/>
      <c r="L117" s="388"/>
      <c r="M117" s="668"/>
      <c r="N117" s="388"/>
      <c r="O117" s="667"/>
      <c r="P117" s="388"/>
      <c r="Q117" s="668"/>
      <c r="R117" s="388"/>
    </row>
    <row r="118" spans="1:18" s="65" customFormat="1" ht="15.95" customHeight="1">
      <c r="A118" s="553"/>
      <c r="B118" s="210"/>
      <c r="C118" s="352" t="s">
        <v>23</v>
      </c>
      <c r="D118" s="432" t="s">
        <v>292</v>
      </c>
      <c r="E118" s="662">
        <f>SUM(O232:O233)</f>
        <v>236.44110000000001</v>
      </c>
      <c r="F118" s="431"/>
      <c r="G118" s="431">
        <v>228.11799999999999</v>
      </c>
      <c r="H118" s="555"/>
      <c r="I118" s="665">
        <f>SUM(G118:G119)/E118*100</f>
        <v>96.479842125586458</v>
      </c>
      <c r="J118" s="212"/>
      <c r="K118" s="650">
        <f>11862-4200</f>
        <v>7662</v>
      </c>
      <c r="L118" s="212"/>
      <c r="M118" s="652">
        <f>K118/SUM(G118:G119)</f>
        <v>33.587879956864434</v>
      </c>
      <c r="N118" s="212"/>
      <c r="O118" s="650">
        <f>32155-4000</f>
        <v>28155</v>
      </c>
      <c r="P118" s="212"/>
      <c r="Q118" s="652">
        <f>O118/SUM(G118:G119)</f>
        <v>123.42296530742861</v>
      </c>
      <c r="R118" s="212"/>
    </row>
    <row r="119" spans="1:18" s="65" customFormat="1" ht="15.95" customHeight="1">
      <c r="A119" s="209"/>
      <c r="B119" s="210"/>
      <c r="C119" s="352"/>
      <c r="D119" s="476" t="s">
        <v>293</v>
      </c>
      <c r="E119" s="662"/>
      <c r="F119" s="212"/>
      <c r="G119" s="212"/>
      <c r="H119" s="212"/>
      <c r="I119" s="665"/>
      <c r="J119" s="212"/>
      <c r="K119" s="650"/>
      <c r="L119" s="212"/>
      <c r="M119" s="652"/>
      <c r="N119" s="212"/>
      <c r="O119" s="650"/>
      <c r="P119" s="212"/>
      <c r="Q119" s="652"/>
      <c r="R119" s="212"/>
    </row>
    <row r="120" spans="1:18" s="65" customFormat="1" ht="15.95" customHeight="1">
      <c r="A120" s="488"/>
      <c r="B120" s="561"/>
      <c r="C120" s="488"/>
      <c r="D120" s="488"/>
      <c r="E120" s="489">
        <f>SUM(E115:E119)</f>
        <v>236.44110000000001</v>
      </c>
      <c r="F120" s="489">
        <f>E120+F114</f>
        <v>11886.163699999999</v>
      </c>
      <c r="G120" s="489">
        <f>SUM(G115:G119)</f>
        <v>228.11799999999999</v>
      </c>
      <c r="H120" s="489">
        <f>G120+H114</f>
        <v>11443.601000000002</v>
      </c>
      <c r="I120" s="489"/>
      <c r="J120" s="490">
        <f>H120/F120*100</f>
        <v>96.276656529642139</v>
      </c>
      <c r="K120" s="491">
        <f>SUM(K115:K119)</f>
        <v>14057</v>
      </c>
      <c r="L120" s="491">
        <f>K120+L114</f>
        <v>412188</v>
      </c>
      <c r="M120" s="489"/>
      <c r="N120" s="490">
        <f>L120/H120</f>
        <v>36.019081755821432</v>
      </c>
      <c r="O120" s="491">
        <f>SUM(O115:O119)</f>
        <v>37019</v>
      </c>
      <c r="P120" s="491">
        <f>O120+P114</f>
        <v>1292708</v>
      </c>
      <c r="Q120" s="492"/>
      <c r="R120" s="493">
        <f>P120/H120</f>
        <v>112.96339325357462</v>
      </c>
    </row>
    <row r="121" spans="1:18" s="65" customFormat="1" ht="15.95" customHeight="1">
      <c r="A121" s="269" t="s">
        <v>297</v>
      </c>
      <c r="B121" s="208"/>
      <c r="C121" s="382" t="s">
        <v>170</v>
      </c>
      <c r="D121" s="432" t="s">
        <v>292</v>
      </c>
      <c r="E121" s="661">
        <f>SUM(O234:O235)</f>
        <v>287.93799999999999</v>
      </c>
      <c r="F121" s="386"/>
      <c r="G121" s="384">
        <v>274.666</v>
      </c>
      <c r="H121" s="386"/>
      <c r="I121" s="664">
        <f>SUM(G121:G123)/E121*100</f>
        <v>96.879883863887372</v>
      </c>
      <c r="J121" s="384"/>
      <c r="K121" s="649">
        <f>9873+200</f>
        <v>10073</v>
      </c>
      <c r="L121" s="384"/>
      <c r="M121" s="651">
        <f>K121/SUM(G121:G123)</f>
        <v>36.109896255296569</v>
      </c>
      <c r="N121" s="384"/>
      <c r="O121" s="649">
        <f>44614-6000</f>
        <v>38614</v>
      </c>
      <c r="P121" s="384"/>
      <c r="Q121" s="651">
        <f>O121/SUM(G121:G123)</f>
        <v>138.42425632900049</v>
      </c>
      <c r="R121" s="384"/>
    </row>
    <row r="122" spans="1:18" s="65" customFormat="1" ht="15.95" customHeight="1">
      <c r="A122" s="565"/>
      <c r="B122" s="208"/>
      <c r="C122" s="352"/>
      <c r="D122" s="476" t="s">
        <v>293</v>
      </c>
      <c r="E122" s="662"/>
      <c r="F122" s="431"/>
      <c r="G122" s="212">
        <v>4.2880000000000003</v>
      </c>
      <c r="H122" s="431"/>
      <c r="I122" s="665"/>
      <c r="J122" s="212"/>
      <c r="K122" s="650"/>
      <c r="L122" s="212"/>
      <c r="M122" s="652"/>
      <c r="N122" s="212"/>
      <c r="O122" s="650"/>
      <c r="P122" s="212"/>
      <c r="Q122" s="652"/>
      <c r="R122" s="212"/>
    </row>
    <row r="123" spans="1:18" s="65" customFormat="1" ht="15.95" customHeight="1">
      <c r="A123" s="554"/>
      <c r="B123" s="208"/>
      <c r="C123" s="215"/>
      <c r="D123" s="544"/>
      <c r="E123" s="663"/>
      <c r="F123" s="388"/>
      <c r="G123" s="388"/>
      <c r="H123" s="389"/>
      <c r="I123" s="735"/>
      <c r="J123" s="388"/>
      <c r="K123" s="667"/>
      <c r="L123" s="388"/>
      <c r="M123" s="668"/>
      <c r="N123" s="388"/>
      <c r="O123" s="667"/>
      <c r="P123" s="388"/>
      <c r="Q123" s="668"/>
      <c r="R123" s="388"/>
    </row>
    <row r="124" spans="1:18" s="65" customFormat="1" ht="15.95" customHeight="1">
      <c r="A124" s="553"/>
      <c r="B124" s="210"/>
      <c r="C124" s="352" t="s">
        <v>26</v>
      </c>
      <c r="D124" s="432" t="s">
        <v>292</v>
      </c>
      <c r="E124" s="662">
        <f>SUM(O236:O237)</f>
        <v>205.08150000000001</v>
      </c>
      <c r="F124" s="431"/>
      <c r="G124" s="431">
        <v>196.97800000000001</v>
      </c>
      <c r="H124" s="555"/>
      <c r="I124" s="665">
        <f>SUM(G124:G125)/E124*100</f>
        <v>96.048644075647971</v>
      </c>
      <c r="J124" s="212"/>
      <c r="K124" s="650">
        <f>8627-200</f>
        <v>8427</v>
      </c>
      <c r="L124" s="212"/>
      <c r="M124" s="652">
        <f>K124/SUM(G124:G125)</f>
        <v>42.781427367523278</v>
      </c>
      <c r="N124" s="212"/>
      <c r="O124" s="650">
        <f>18588+6000</f>
        <v>24588</v>
      </c>
      <c r="P124" s="212"/>
      <c r="Q124" s="652">
        <f>O124/SUM(G124:G125)</f>
        <v>124.82612271421173</v>
      </c>
      <c r="R124" s="212"/>
    </row>
    <row r="125" spans="1:18" s="65" customFormat="1" ht="15.95" customHeight="1">
      <c r="A125" s="209"/>
      <c r="B125" s="210"/>
      <c r="C125" s="352"/>
      <c r="D125" s="476" t="s">
        <v>293</v>
      </c>
      <c r="E125" s="662"/>
      <c r="F125" s="212"/>
      <c r="G125" s="212"/>
      <c r="H125" s="212"/>
      <c r="I125" s="665"/>
      <c r="J125" s="212"/>
      <c r="K125" s="650"/>
      <c r="L125" s="212"/>
      <c r="M125" s="652"/>
      <c r="N125" s="212"/>
      <c r="O125" s="650"/>
      <c r="P125" s="212"/>
      <c r="Q125" s="652"/>
      <c r="R125" s="212"/>
    </row>
    <row r="126" spans="1:18" s="65" customFormat="1" ht="15.95" customHeight="1">
      <c r="A126" s="488"/>
      <c r="B126" s="561"/>
      <c r="C126" s="488"/>
      <c r="D126" s="488"/>
      <c r="E126" s="489">
        <f>SUM(E121:E125)</f>
        <v>493.01949999999999</v>
      </c>
      <c r="F126" s="489">
        <f>E126+F120</f>
        <v>12379.183199999999</v>
      </c>
      <c r="G126" s="489">
        <f>SUM(G121:G125)</f>
        <v>475.93200000000002</v>
      </c>
      <c r="H126" s="489">
        <f>G126+H120</f>
        <v>11919.533000000003</v>
      </c>
      <c r="I126" s="489"/>
      <c r="J126" s="490">
        <f>H126/F126*100</f>
        <v>96.286910108899633</v>
      </c>
      <c r="K126" s="491">
        <f>SUM(K121:K125)</f>
        <v>18500</v>
      </c>
      <c r="L126" s="491">
        <f>K126+L120</f>
        <v>430688</v>
      </c>
      <c r="M126" s="489"/>
      <c r="N126" s="490">
        <f>L126/H126</f>
        <v>36.132959235902938</v>
      </c>
      <c r="O126" s="491">
        <f>SUM(O121:O125)</f>
        <v>63202</v>
      </c>
      <c r="P126" s="491">
        <f>O126+P120</f>
        <v>1355910</v>
      </c>
      <c r="Q126" s="492"/>
      <c r="R126" s="493">
        <f>P126/H126</f>
        <v>113.75529561434996</v>
      </c>
    </row>
    <row r="127" spans="1:18" s="65" customFormat="1" ht="15.95" customHeight="1">
      <c r="A127" s="269" t="s">
        <v>301</v>
      </c>
      <c r="B127" s="208"/>
      <c r="C127" s="382" t="s">
        <v>23</v>
      </c>
      <c r="D127" s="432" t="s">
        <v>292</v>
      </c>
      <c r="E127" s="661">
        <f>SUM(O239:O240)</f>
        <v>294.7235</v>
      </c>
      <c r="F127" s="386"/>
      <c r="G127" s="384">
        <v>282.51299999999998</v>
      </c>
      <c r="H127" s="386"/>
      <c r="I127" s="664">
        <f>SUM(G127:G129)/E127*100</f>
        <v>95.856964239363336</v>
      </c>
      <c r="J127" s="384"/>
      <c r="K127" s="649">
        <f>10306-800</f>
        <v>9506</v>
      </c>
      <c r="L127" s="384"/>
      <c r="M127" s="651">
        <f>K127/SUM(G127:G129)</f>
        <v>33.648009118164474</v>
      </c>
      <c r="N127" s="384"/>
      <c r="O127" s="649">
        <f>37283-2500</f>
        <v>34783</v>
      </c>
      <c r="P127" s="384"/>
      <c r="Q127" s="651">
        <f>O127/SUM(G127:G129)</f>
        <v>123.11999801779034</v>
      </c>
      <c r="R127" s="384"/>
    </row>
    <row r="128" spans="1:18" s="65" customFormat="1" ht="15.95" customHeight="1">
      <c r="A128" s="565"/>
      <c r="B128" s="208"/>
      <c r="C128" s="352"/>
      <c r="D128" s="476" t="s">
        <v>293</v>
      </c>
      <c r="E128" s="662"/>
      <c r="F128" s="431"/>
      <c r="G128" s="212"/>
      <c r="H128" s="431"/>
      <c r="I128" s="665"/>
      <c r="J128" s="212"/>
      <c r="K128" s="650"/>
      <c r="L128" s="212"/>
      <c r="M128" s="652"/>
      <c r="N128" s="212"/>
      <c r="O128" s="650"/>
      <c r="P128" s="212"/>
      <c r="Q128" s="652"/>
      <c r="R128" s="212"/>
    </row>
    <row r="129" spans="1:18" s="65" customFormat="1" ht="15.95" customHeight="1">
      <c r="A129" s="554"/>
      <c r="B129" s="208"/>
      <c r="C129" s="215"/>
      <c r="D129" s="544"/>
      <c r="E129" s="663"/>
      <c r="F129" s="388"/>
      <c r="G129" s="388"/>
      <c r="H129" s="389"/>
      <c r="I129" s="735"/>
      <c r="J129" s="388"/>
      <c r="K129" s="667"/>
      <c r="L129" s="388"/>
      <c r="M129" s="668"/>
      <c r="N129" s="388"/>
      <c r="O129" s="667"/>
      <c r="P129" s="388"/>
      <c r="Q129" s="668"/>
      <c r="R129" s="388"/>
    </row>
    <row r="130" spans="1:18" s="65" customFormat="1" ht="15.95" customHeight="1">
      <c r="A130" s="553"/>
      <c r="B130" s="210"/>
      <c r="C130" s="352" t="s">
        <v>170</v>
      </c>
      <c r="D130" s="432" t="s">
        <v>126</v>
      </c>
      <c r="E130" s="662">
        <f>SUM(O248:O249)</f>
        <v>0</v>
      </c>
      <c r="F130" s="576"/>
      <c r="G130" s="581">
        <v>1.351</v>
      </c>
      <c r="H130" s="577"/>
      <c r="I130" s="665"/>
      <c r="J130" s="212"/>
      <c r="K130" s="650">
        <f>3970+800</f>
        <v>4770</v>
      </c>
      <c r="L130" s="212"/>
      <c r="M130" s="652"/>
      <c r="N130" s="212"/>
      <c r="O130" s="650">
        <f>6791+2000</f>
        <v>8791</v>
      </c>
      <c r="P130" s="212"/>
      <c r="Q130" s="652"/>
      <c r="R130" s="212"/>
    </row>
    <row r="131" spans="1:18" s="65" customFormat="1" ht="15.95" customHeight="1">
      <c r="A131" s="209"/>
      <c r="B131" s="210"/>
      <c r="C131" s="352"/>
      <c r="D131" s="432" t="s">
        <v>119</v>
      </c>
      <c r="E131" s="662"/>
      <c r="F131" s="212"/>
      <c r="G131" s="579">
        <v>1.3260000000000001</v>
      </c>
      <c r="H131" s="555"/>
      <c r="I131" s="665"/>
      <c r="J131" s="212"/>
      <c r="K131" s="650"/>
      <c r="L131" s="212"/>
      <c r="M131" s="652"/>
      <c r="N131" s="212"/>
      <c r="O131" s="650"/>
      <c r="P131" s="212"/>
      <c r="Q131" s="652"/>
      <c r="R131" s="212"/>
    </row>
    <row r="132" spans="1:18" s="65" customFormat="1" ht="15.95" customHeight="1">
      <c r="A132" s="488"/>
      <c r="B132" s="561"/>
      <c r="C132" s="488"/>
      <c r="D132" s="488"/>
      <c r="E132" s="489">
        <f>SUM(E127:E131)</f>
        <v>294.7235</v>
      </c>
      <c r="F132" s="489">
        <f>E132+F126</f>
        <v>12673.9067</v>
      </c>
      <c r="G132" s="489">
        <f>SUM(G127:G131)</f>
        <v>285.19</v>
      </c>
      <c r="H132" s="489">
        <f>G132+H126</f>
        <v>12204.723000000004</v>
      </c>
      <c r="I132" s="489"/>
      <c r="J132" s="490">
        <f>H132/F132*100</f>
        <v>96.298034133390018</v>
      </c>
      <c r="K132" s="491">
        <f>SUM(K127:K131)</f>
        <v>14276</v>
      </c>
      <c r="L132" s="491">
        <f>K132+L126</f>
        <v>444964</v>
      </c>
      <c r="M132" s="489"/>
      <c r="N132" s="490">
        <f>L132/H132</f>
        <v>36.458344855512074</v>
      </c>
      <c r="O132" s="491">
        <f>SUM(O127:O131)</f>
        <v>43574</v>
      </c>
      <c r="P132" s="491">
        <f>O132+P126</f>
        <v>1399484</v>
      </c>
      <c r="Q132" s="492"/>
      <c r="R132" s="493">
        <f>P132/H132</f>
        <v>114.66741195191399</v>
      </c>
    </row>
    <row r="133" spans="1:18" s="65" customFormat="1" ht="15.95" customHeight="1">
      <c r="A133" s="269" t="s">
        <v>314</v>
      </c>
      <c r="B133" s="208"/>
      <c r="C133" s="382"/>
      <c r="D133" s="432"/>
      <c r="E133" s="661">
        <f>SUM(O245:O246)</f>
        <v>0</v>
      </c>
      <c r="F133" s="386"/>
      <c r="G133" s="384"/>
      <c r="H133" s="386"/>
      <c r="I133" s="664"/>
      <c r="J133" s="384"/>
      <c r="K133" s="649">
        <f>(2993+680+290)*0.96</f>
        <v>3804.48</v>
      </c>
      <c r="L133" s="384"/>
      <c r="M133" s="651"/>
      <c r="N133" s="384"/>
      <c r="O133" s="649"/>
      <c r="P133" s="384"/>
      <c r="Q133" s="651"/>
      <c r="R133" s="384"/>
    </row>
    <row r="134" spans="1:18" s="65" customFormat="1" ht="15.95" customHeight="1">
      <c r="A134" s="565"/>
      <c r="B134" s="208"/>
      <c r="C134" s="352"/>
      <c r="D134" s="476"/>
      <c r="E134" s="662"/>
      <c r="F134" s="431"/>
      <c r="G134" s="212"/>
      <c r="H134" s="431"/>
      <c r="I134" s="665"/>
      <c r="J134" s="212"/>
      <c r="K134" s="650"/>
      <c r="L134" s="212"/>
      <c r="M134" s="652"/>
      <c r="N134" s="212"/>
      <c r="O134" s="650"/>
      <c r="P134" s="212"/>
      <c r="Q134" s="652"/>
      <c r="R134" s="212"/>
    </row>
    <row r="135" spans="1:18" s="65" customFormat="1" ht="15.95" customHeight="1">
      <c r="A135" s="554"/>
      <c r="B135" s="208"/>
      <c r="C135" s="215"/>
      <c r="D135" s="544"/>
      <c r="E135" s="663"/>
      <c r="F135" s="388"/>
      <c r="G135" s="388"/>
      <c r="H135" s="389"/>
      <c r="I135" s="735"/>
      <c r="J135" s="388"/>
      <c r="K135" s="667"/>
      <c r="L135" s="388"/>
      <c r="M135" s="668"/>
      <c r="N135" s="388"/>
      <c r="O135" s="667"/>
      <c r="P135" s="388"/>
      <c r="Q135" s="668"/>
      <c r="R135" s="388"/>
    </row>
    <row r="136" spans="1:18" s="65" customFormat="1" ht="15.95" customHeight="1">
      <c r="A136" s="553"/>
      <c r="B136" s="210"/>
      <c r="C136" s="352"/>
      <c r="D136" s="432"/>
      <c r="E136" s="662">
        <f>SUM(O254:O255)</f>
        <v>0</v>
      </c>
      <c r="F136" s="576"/>
      <c r="G136" s="385"/>
      <c r="H136" s="577"/>
      <c r="I136" s="665"/>
      <c r="J136" s="212"/>
      <c r="K136" s="650"/>
      <c r="L136" s="212"/>
      <c r="M136" s="652"/>
      <c r="N136" s="212"/>
      <c r="O136" s="650"/>
      <c r="P136" s="212"/>
      <c r="Q136" s="652"/>
      <c r="R136" s="212"/>
    </row>
    <row r="137" spans="1:18" s="65" customFormat="1" ht="15.95" customHeight="1">
      <c r="A137" s="209"/>
      <c r="B137" s="210"/>
      <c r="C137" s="352"/>
      <c r="D137" s="432"/>
      <c r="E137" s="662"/>
      <c r="F137" s="212"/>
      <c r="G137" s="475"/>
      <c r="H137" s="555"/>
      <c r="I137" s="665"/>
      <c r="J137" s="212"/>
      <c r="K137" s="650"/>
      <c r="L137" s="212"/>
      <c r="M137" s="652"/>
      <c r="N137" s="212"/>
      <c r="O137" s="650"/>
      <c r="P137" s="212"/>
      <c r="Q137" s="652"/>
      <c r="R137" s="212"/>
    </row>
    <row r="138" spans="1:18" s="65" customFormat="1" ht="15.95" customHeight="1">
      <c r="A138" s="488"/>
      <c r="B138" s="561"/>
      <c r="C138" s="488"/>
      <c r="D138" s="488"/>
      <c r="E138" s="489">
        <f>SUM(E133:E137)</f>
        <v>0</v>
      </c>
      <c r="F138" s="489">
        <f>E138+F132</f>
        <v>12673.9067</v>
      </c>
      <c r="G138" s="489">
        <f>SUM(G133:G137)</f>
        <v>0</v>
      </c>
      <c r="H138" s="489">
        <f>G138+H132</f>
        <v>12204.723000000004</v>
      </c>
      <c r="I138" s="489"/>
      <c r="J138" s="490">
        <f>H138/F138*100</f>
        <v>96.298034133390018</v>
      </c>
      <c r="K138" s="491">
        <f>SUM(K133:K137)</f>
        <v>3804.48</v>
      </c>
      <c r="L138" s="491">
        <f>K138+L132</f>
        <v>448768.48</v>
      </c>
      <c r="M138" s="489"/>
      <c r="N138" s="490">
        <f>L138/H138</f>
        <v>36.770066801188349</v>
      </c>
      <c r="O138" s="491">
        <f>SUM(O133:O137)</f>
        <v>0</v>
      </c>
      <c r="P138" s="491">
        <f>O138+P132</f>
        <v>1399484</v>
      </c>
      <c r="Q138" s="492"/>
      <c r="R138" s="493">
        <f>P138/H138</f>
        <v>114.66741195191399</v>
      </c>
    </row>
    <row r="139" spans="1:18" s="65" customFormat="1" ht="15.95" customHeight="1">
      <c r="A139" s="358"/>
      <c r="B139" s="358"/>
      <c r="C139" s="358"/>
      <c r="D139" s="358"/>
      <c r="E139" s="359"/>
      <c r="F139" s="359"/>
      <c r="G139" s="359"/>
      <c r="H139" s="359"/>
      <c r="I139" s="359"/>
      <c r="J139" s="360"/>
      <c r="K139" s="361"/>
      <c r="L139" s="361"/>
      <c r="M139" s="359"/>
      <c r="N139" s="360"/>
      <c r="O139" s="361"/>
      <c r="P139" s="361"/>
      <c r="Q139" s="362"/>
      <c r="R139" s="363"/>
    </row>
    <row r="140" spans="1:18" s="65" customFormat="1" ht="15.95" customHeight="1">
      <c r="A140" s="358"/>
      <c r="B140" s="358"/>
      <c r="C140" s="358"/>
      <c r="D140" s="358"/>
      <c r="E140" s="359"/>
      <c r="F140" s="359"/>
      <c r="G140" s="359"/>
      <c r="H140" s="359"/>
      <c r="I140" s="359"/>
      <c r="J140" s="360"/>
      <c r="K140" s="361"/>
      <c r="L140" s="361"/>
      <c r="M140" s="359"/>
      <c r="N140" s="360"/>
      <c r="O140" s="361"/>
      <c r="P140" s="361"/>
      <c r="Q140" s="362"/>
      <c r="R140" s="363"/>
    </row>
    <row r="141" spans="1:18" s="65" customFormat="1" ht="14.1" customHeight="1">
      <c r="A141" s="457" t="s">
        <v>0</v>
      </c>
      <c r="B141" s="340"/>
      <c r="C141" s="338" t="s">
        <v>1</v>
      </c>
      <c r="D141" s="707" t="s">
        <v>92</v>
      </c>
      <c r="E141" s="708"/>
      <c r="F141" s="708"/>
      <c r="G141" s="708"/>
      <c r="H141" s="708"/>
      <c r="I141" s="708"/>
      <c r="J141" s="709"/>
      <c r="K141" s="707" t="s">
        <v>93</v>
      </c>
      <c r="L141" s="708"/>
      <c r="M141" s="708"/>
      <c r="N141" s="708"/>
      <c r="O141" s="708"/>
      <c r="P141" s="708"/>
      <c r="Q141" s="708"/>
      <c r="R141" s="709"/>
    </row>
    <row r="142" spans="1:18" s="65" customFormat="1" ht="14.1" customHeight="1">
      <c r="A142" s="317"/>
      <c r="B142" s="339"/>
      <c r="C142" s="301" t="s">
        <v>6</v>
      </c>
      <c r="D142" s="707" t="s">
        <v>82</v>
      </c>
      <c r="E142" s="709"/>
      <c r="F142" s="316" t="s">
        <v>80</v>
      </c>
      <c r="G142" s="316" t="s">
        <v>81</v>
      </c>
      <c r="H142" s="316" t="s">
        <v>56</v>
      </c>
      <c r="I142" s="707" t="s">
        <v>7</v>
      </c>
      <c r="J142" s="709"/>
      <c r="K142" s="707" t="s">
        <v>82</v>
      </c>
      <c r="L142" s="709"/>
      <c r="M142" s="316" t="s">
        <v>80</v>
      </c>
      <c r="N142" s="316" t="s">
        <v>81</v>
      </c>
      <c r="O142" s="316" t="s">
        <v>62</v>
      </c>
      <c r="P142" s="707" t="s">
        <v>7</v>
      </c>
      <c r="Q142" s="708"/>
      <c r="R142" s="709"/>
    </row>
    <row r="143" spans="1:18" s="65" customFormat="1" ht="14.1" customHeight="1">
      <c r="A143" s="305"/>
      <c r="B143" s="318"/>
      <c r="C143" s="319"/>
      <c r="D143" s="320"/>
      <c r="E143" s="190"/>
      <c r="F143" s="191"/>
      <c r="G143" s="192"/>
      <c r="H143" s="193" t="s">
        <v>8</v>
      </c>
      <c r="I143" s="705" t="s">
        <v>8</v>
      </c>
      <c r="J143" s="706"/>
      <c r="K143" s="194"/>
      <c r="L143" s="195"/>
      <c r="M143" s="196"/>
      <c r="N143" s="197"/>
      <c r="O143" s="193" t="s">
        <v>8</v>
      </c>
      <c r="P143" s="198"/>
      <c r="Q143" s="199" t="s">
        <v>8</v>
      </c>
      <c r="R143" s="200"/>
    </row>
    <row r="144" spans="1:18" s="65" customFormat="1" ht="14.1" customHeight="1">
      <c r="A144" s="314" t="s">
        <v>265</v>
      </c>
      <c r="B144" s="219"/>
      <c r="C144" s="220" t="s">
        <v>23</v>
      </c>
      <c r="D144" s="289" t="s">
        <v>54</v>
      </c>
      <c r="E144" s="365"/>
      <c r="F144" s="256" t="s">
        <v>165</v>
      </c>
      <c r="G144" s="366">
        <f>62*7+63</f>
        <v>497</v>
      </c>
      <c r="H144" s="253">
        <f>G144*0.6458</f>
        <v>320.96260000000001</v>
      </c>
      <c r="I144" s="221"/>
      <c r="J144" s="222"/>
      <c r="K144" s="289" t="s">
        <v>54</v>
      </c>
      <c r="L144" s="365"/>
      <c r="M144" s="256" t="s">
        <v>165</v>
      </c>
      <c r="N144" s="366">
        <v>429</v>
      </c>
      <c r="O144" s="253">
        <f>N144*0.6458</f>
        <v>277.04820000000001</v>
      </c>
      <c r="P144" s="223"/>
      <c r="Q144" s="224"/>
      <c r="R144" s="225"/>
    </row>
    <row r="145" spans="1:18" s="65" customFormat="1" ht="14.1" customHeight="1">
      <c r="A145" s="215"/>
      <c r="B145" s="230"/>
      <c r="C145" s="213"/>
      <c r="D145" s="241"/>
      <c r="E145" s="242"/>
      <c r="F145" s="215"/>
      <c r="G145" s="216">
        <f>SUM(G144:G144)</f>
        <v>497</v>
      </c>
      <c r="H145" s="214">
        <f>SUM(H144:H144)</f>
        <v>320.96260000000001</v>
      </c>
      <c r="I145" s="669">
        <f>H145</f>
        <v>320.96260000000001</v>
      </c>
      <c r="J145" s="670"/>
      <c r="K145" s="236"/>
      <c r="L145" s="237"/>
      <c r="M145" s="238"/>
      <c r="N145" s="239">
        <f>SUM(N144:N144)</f>
        <v>429</v>
      </c>
      <c r="O145" s="240">
        <f>SUM(O144:O144)</f>
        <v>277.04820000000001</v>
      </c>
      <c r="P145" s="701">
        <f>O145</f>
        <v>277.04820000000001</v>
      </c>
      <c r="Q145" s="702"/>
      <c r="R145" s="231"/>
    </row>
    <row r="146" spans="1:18" s="138" customFormat="1" ht="18" customHeight="1">
      <c r="A146" s="218">
        <v>37990</v>
      </c>
      <c r="B146" s="219"/>
      <c r="C146" s="220" t="s">
        <v>26</v>
      </c>
      <c r="D146" s="289" t="s">
        <v>54</v>
      </c>
      <c r="E146" s="365"/>
      <c r="F146" s="256" t="s">
        <v>165</v>
      </c>
      <c r="G146" s="366">
        <f>70+64+70+70+70+59+68+71</f>
        <v>542</v>
      </c>
      <c r="H146" s="253">
        <f>G146*0.6458</f>
        <v>350.02360000000004</v>
      </c>
      <c r="I146" s="221"/>
      <c r="J146" s="222"/>
      <c r="K146" s="289" t="s">
        <v>54</v>
      </c>
      <c r="L146" s="365"/>
      <c r="M146" s="256" t="s">
        <v>165</v>
      </c>
      <c r="N146" s="366">
        <v>502</v>
      </c>
      <c r="O146" s="253">
        <f>N146*0.6458</f>
        <v>324.19159999999999</v>
      </c>
      <c r="P146" s="223"/>
      <c r="Q146" s="224"/>
      <c r="R146" s="225"/>
    </row>
    <row r="147" spans="1:18" s="138" customFormat="1" ht="18" customHeight="1">
      <c r="A147" s="218"/>
      <c r="B147" s="219"/>
      <c r="C147" s="213"/>
      <c r="D147" s="344"/>
      <c r="E147" s="345"/>
      <c r="F147" s="346"/>
      <c r="G147" s="347"/>
      <c r="H147" s="348"/>
      <c r="I147" s="669"/>
      <c r="J147" s="670"/>
      <c r="K147" s="344"/>
      <c r="L147" s="345"/>
      <c r="M147" s="346"/>
      <c r="N147" s="347"/>
      <c r="O147" s="348"/>
      <c r="P147" s="349"/>
      <c r="Q147" s="350"/>
      <c r="R147" s="231"/>
    </row>
    <row r="148" spans="1:18" s="138" customFormat="1" ht="18" customHeight="1">
      <c r="A148" s="227"/>
      <c r="B148" s="219"/>
      <c r="C148" s="220" t="s">
        <v>23</v>
      </c>
      <c r="D148" s="289" t="s">
        <v>54</v>
      </c>
      <c r="E148" s="365"/>
      <c r="F148" s="256" t="s">
        <v>165</v>
      </c>
      <c r="G148" s="366">
        <f>67*5+66*2</f>
        <v>467</v>
      </c>
      <c r="H148" s="253">
        <f>G148*0.6458</f>
        <v>301.58860000000004</v>
      </c>
      <c r="I148" s="221"/>
      <c r="J148" s="222"/>
      <c r="K148" s="289" t="s">
        <v>54</v>
      </c>
      <c r="L148" s="365"/>
      <c r="M148" s="256" t="s">
        <v>165</v>
      </c>
      <c r="N148" s="366">
        <v>595</v>
      </c>
      <c r="O148" s="253">
        <f>N148*0.6458</f>
        <v>384.25100000000003</v>
      </c>
      <c r="P148" s="223"/>
      <c r="Q148" s="224"/>
      <c r="R148" s="225"/>
    </row>
    <row r="149" spans="1:18" s="138" customFormat="1" ht="18" customHeight="1">
      <c r="A149" s="215"/>
      <c r="B149" s="230"/>
      <c r="C149" s="213"/>
      <c r="D149" s="241"/>
      <c r="E149" s="242"/>
      <c r="F149" s="215"/>
      <c r="G149" s="216">
        <f>SUM(G146:G148)</f>
        <v>1009</v>
      </c>
      <c r="H149" s="214">
        <f>SUM(H146:H148)</f>
        <v>651.61220000000003</v>
      </c>
      <c r="I149" s="669">
        <f>H149+I145</f>
        <v>972.5748000000001</v>
      </c>
      <c r="J149" s="670"/>
      <c r="K149" s="236"/>
      <c r="L149" s="237"/>
      <c r="M149" s="238"/>
      <c r="N149" s="239">
        <f>SUM(N146:N148)</f>
        <v>1097</v>
      </c>
      <c r="O149" s="240">
        <f>SUM(O146:O148)</f>
        <v>708.44260000000008</v>
      </c>
      <c r="P149" s="701">
        <f>O149+P145</f>
        <v>985.49080000000004</v>
      </c>
      <c r="Q149" s="702"/>
      <c r="R149" s="231"/>
    </row>
    <row r="150" spans="1:18" s="138" customFormat="1" ht="18" customHeight="1">
      <c r="A150" s="218">
        <v>38021</v>
      </c>
      <c r="B150" s="219"/>
      <c r="C150" s="220" t="s">
        <v>170</v>
      </c>
      <c r="D150" s="289" t="s">
        <v>54</v>
      </c>
      <c r="E150" s="365"/>
      <c r="F150" s="256" t="s">
        <v>165</v>
      </c>
      <c r="G150" s="366">
        <f>68+69+70+34+68+70+27+56</f>
        <v>462</v>
      </c>
      <c r="H150" s="253">
        <f>G150*0.6458</f>
        <v>298.3596</v>
      </c>
      <c r="I150" s="221"/>
      <c r="J150" s="222"/>
      <c r="K150" s="289" t="s">
        <v>54</v>
      </c>
      <c r="L150" s="365"/>
      <c r="M150" s="256" t="s">
        <v>165</v>
      </c>
      <c r="N150" s="366">
        <v>617</v>
      </c>
      <c r="O150" s="253">
        <f>N150*0.6458</f>
        <v>398.45860000000005</v>
      </c>
      <c r="P150" s="223"/>
      <c r="Q150" s="224"/>
      <c r="R150" s="225"/>
    </row>
    <row r="151" spans="1:18" s="138" customFormat="1" ht="18" customHeight="1">
      <c r="A151" s="218"/>
      <c r="B151" s="219"/>
      <c r="C151" s="213"/>
      <c r="D151" s="344" t="s">
        <v>230</v>
      </c>
      <c r="E151" s="345"/>
      <c r="F151" s="346" t="s">
        <v>231</v>
      </c>
      <c r="G151" s="347">
        <v>78</v>
      </c>
      <c r="H151" s="348">
        <f>G151*0.8349</f>
        <v>65.122199999999992</v>
      </c>
      <c r="I151" s="669"/>
      <c r="J151" s="670"/>
      <c r="K151" s="344"/>
      <c r="L151" s="345"/>
      <c r="M151" s="346"/>
      <c r="N151" s="347"/>
      <c r="O151" s="348"/>
      <c r="P151" s="349"/>
      <c r="Q151" s="350"/>
      <c r="R151" s="231"/>
    </row>
    <row r="152" spans="1:18" s="138" customFormat="1" ht="18" customHeight="1">
      <c r="A152" s="227"/>
      <c r="B152" s="219"/>
      <c r="C152" s="220" t="s">
        <v>26</v>
      </c>
      <c r="D152" s="264" t="s">
        <v>230</v>
      </c>
      <c r="E152" s="262"/>
      <c r="F152" s="255" t="s">
        <v>231</v>
      </c>
      <c r="G152" s="229">
        <f>34+34+39+49+45+40+46+53</f>
        <v>340</v>
      </c>
      <c r="H152" s="233">
        <f>G152*0.8349</f>
        <v>283.86599999999999</v>
      </c>
      <c r="I152" s="221"/>
      <c r="J152" s="222"/>
      <c r="K152" s="264" t="s">
        <v>230</v>
      </c>
      <c r="L152" s="262"/>
      <c r="M152" s="255" t="s">
        <v>231</v>
      </c>
      <c r="N152" s="229">
        <v>331</v>
      </c>
      <c r="O152" s="233">
        <f>N152*0.8349</f>
        <v>276.3519</v>
      </c>
      <c r="P152" s="223"/>
      <c r="Q152" s="224"/>
      <c r="R152" s="225"/>
    </row>
    <row r="153" spans="1:18" s="138" customFormat="1" ht="18" customHeight="1">
      <c r="A153" s="215"/>
      <c r="B153" s="230"/>
      <c r="C153" s="213"/>
      <c r="D153" s="241"/>
      <c r="E153" s="242"/>
      <c r="F153" s="215"/>
      <c r="G153" s="216">
        <f>SUM(G150:G152)</f>
        <v>880</v>
      </c>
      <c r="H153" s="214">
        <f>SUM(H150:H152)</f>
        <v>647.34780000000001</v>
      </c>
      <c r="I153" s="669">
        <f>H153+I149</f>
        <v>1619.9226000000001</v>
      </c>
      <c r="J153" s="670"/>
      <c r="K153" s="236"/>
      <c r="L153" s="237"/>
      <c r="M153" s="238"/>
      <c r="N153" s="239">
        <f>SUM(N150:N152)</f>
        <v>948</v>
      </c>
      <c r="O153" s="240">
        <f>SUM(O150:O152)</f>
        <v>674.81050000000005</v>
      </c>
      <c r="P153" s="701">
        <f>O153+P149</f>
        <v>1660.3013000000001</v>
      </c>
      <c r="Q153" s="702"/>
      <c r="R153" s="231"/>
    </row>
    <row r="154" spans="1:18" s="138" customFormat="1" ht="18" customHeight="1">
      <c r="A154" s="218">
        <v>38050</v>
      </c>
      <c r="B154" s="219"/>
      <c r="C154" s="220" t="s">
        <v>170</v>
      </c>
      <c r="D154" s="264" t="s">
        <v>230</v>
      </c>
      <c r="E154" s="262"/>
      <c r="F154" s="255" t="s">
        <v>231</v>
      </c>
      <c r="G154" s="229">
        <f>34+32+45+40+35+35+38+35+37+34+35+29+38+22</f>
        <v>489</v>
      </c>
      <c r="H154" s="233">
        <f>G154*0.8349</f>
        <v>408.26609999999999</v>
      </c>
      <c r="I154" s="221"/>
      <c r="J154" s="222"/>
      <c r="K154" s="264" t="s">
        <v>230</v>
      </c>
      <c r="L154" s="262"/>
      <c r="M154" s="255" t="s">
        <v>231</v>
      </c>
      <c r="N154" s="229">
        <v>470</v>
      </c>
      <c r="O154" s="233">
        <f>N154*0.8349</f>
        <v>392.40299999999996</v>
      </c>
      <c r="P154" s="223"/>
      <c r="Q154" s="224"/>
      <c r="R154" s="225"/>
    </row>
    <row r="155" spans="1:18" s="138" customFormat="1" ht="18" customHeight="1">
      <c r="A155" s="218"/>
      <c r="B155" s="219"/>
      <c r="C155" s="213"/>
      <c r="D155" s="344"/>
      <c r="E155" s="345"/>
      <c r="F155" s="346"/>
      <c r="G155" s="347"/>
      <c r="H155" s="348"/>
      <c r="I155" s="669"/>
      <c r="J155" s="670"/>
      <c r="K155" s="344"/>
      <c r="L155" s="345"/>
      <c r="M155" s="346"/>
      <c r="N155" s="347"/>
      <c r="O155" s="348"/>
      <c r="P155" s="349"/>
      <c r="Q155" s="350"/>
      <c r="R155" s="231"/>
    </row>
    <row r="156" spans="1:18" s="138" customFormat="1" ht="18" customHeight="1">
      <c r="A156" s="227"/>
      <c r="B156" s="219"/>
      <c r="C156" s="220" t="s">
        <v>26</v>
      </c>
      <c r="D156" s="264" t="s">
        <v>230</v>
      </c>
      <c r="E156" s="262"/>
      <c r="F156" s="255" t="s">
        <v>231</v>
      </c>
      <c r="G156" s="229">
        <f>49+48+48+48+51+49+54+48</f>
        <v>395</v>
      </c>
      <c r="H156" s="233">
        <f>G156*0.8349</f>
        <v>329.78550000000001</v>
      </c>
      <c r="I156" s="221"/>
      <c r="J156" s="222"/>
      <c r="K156" s="264" t="s">
        <v>230</v>
      </c>
      <c r="L156" s="262"/>
      <c r="M156" s="255" t="s">
        <v>231</v>
      </c>
      <c r="N156" s="229">
        <v>370</v>
      </c>
      <c r="O156" s="233">
        <f>N156*0.8349</f>
        <v>308.91300000000001</v>
      </c>
      <c r="P156" s="223"/>
      <c r="Q156" s="224"/>
      <c r="R156" s="225"/>
    </row>
    <row r="157" spans="1:18" s="138" customFormat="1" ht="18" customHeight="1">
      <c r="A157" s="215"/>
      <c r="B157" s="230"/>
      <c r="C157" s="213"/>
      <c r="D157" s="241"/>
      <c r="E157" s="242"/>
      <c r="F157" s="215"/>
      <c r="G157" s="216">
        <f>SUM(G154:G156)</f>
        <v>884</v>
      </c>
      <c r="H157" s="214">
        <f>SUM(H154:H156)</f>
        <v>738.05160000000001</v>
      </c>
      <c r="I157" s="669">
        <f>H157+I153</f>
        <v>2357.9742000000001</v>
      </c>
      <c r="J157" s="670"/>
      <c r="K157" s="236"/>
      <c r="L157" s="237"/>
      <c r="M157" s="238"/>
      <c r="N157" s="239">
        <f>SUM(N154:N156)</f>
        <v>840</v>
      </c>
      <c r="O157" s="240">
        <f>SUM(O154:O156)</f>
        <v>701.31600000000003</v>
      </c>
      <c r="P157" s="701">
        <f>O157+P153</f>
        <v>2361.6172999999999</v>
      </c>
      <c r="Q157" s="702"/>
      <c r="R157" s="231"/>
    </row>
    <row r="158" spans="1:18" s="138" customFormat="1" ht="18" customHeight="1">
      <c r="A158" s="218">
        <v>38081</v>
      </c>
      <c r="B158" s="219"/>
      <c r="C158" s="220" t="s">
        <v>23</v>
      </c>
      <c r="D158" s="364" t="s">
        <v>230</v>
      </c>
      <c r="E158" s="365"/>
      <c r="F158" s="256" t="s">
        <v>231</v>
      </c>
      <c r="G158" s="366">
        <f>37+32+39+37+42+32+30+37+30+38+39+36+29+32+30</f>
        <v>520</v>
      </c>
      <c r="H158" s="253">
        <f>G158*0.8349</f>
        <v>434.14799999999997</v>
      </c>
      <c r="I158" s="221"/>
      <c r="J158" s="222"/>
      <c r="K158" s="264" t="s">
        <v>230</v>
      </c>
      <c r="L158" s="262"/>
      <c r="M158" s="255" t="s">
        <v>231</v>
      </c>
      <c r="N158" s="229">
        <v>418</v>
      </c>
      <c r="O158" s="233">
        <f>N158*0.8349</f>
        <v>348.98820000000001</v>
      </c>
      <c r="P158" s="223"/>
      <c r="Q158" s="224"/>
      <c r="R158" s="225"/>
    </row>
    <row r="159" spans="1:18" s="138" customFormat="1" ht="18" customHeight="1">
      <c r="A159" s="218"/>
      <c r="B159" s="219"/>
      <c r="C159" s="213"/>
      <c r="D159" s="236"/>
      <c r="E159" s="393"/>
      <c r="F159" s="394"/>
      <c r="G159" s="395"/>
      <c r="H159" s="238"/>
      <c r="I159" s="669"/>
      <c r="J159" s="670"/>
      <c r="K159" s="344"/>
      <c r="L159" s="345"/>
      <c r="M159" s="346"/>
      <c r="N159" s="347"/>
      <c r="O159" s="348"/>
      <c r="P159" s="349"/>
      <c r="Q159" s="350"/>
      <c r="R159" s="231"/>
    </row>
    <row r="160" spans="1:18" s="138" customFormat="1" ht="18" customHeight="1">
      <c r="A160" s="227"/>
      <c r="B160" s="219"/>
      <c r="C160" s="220" t="s">
        <v>170</v>
      </c>
      <c r="D160" s="264" t="s">
        <v>230</v>
      </c>
      <c r="E160" s="262"/>
      <c r="F160" s="255" t="s">
        <v>231</v>
      </c>
      <c r="G160" s="229">
        <f>29+30+39+31+38+27+27+31+45+30</f>
        <v>327</v>
      </c>
      <c r="H160" s="233">
        <f>G160*0.8349</f>
        <v>273.01229999999998</v>
      </c>
      <c r="I160" s="221"/>
      <c r="J160" s="222"/>
      <c r="K160" s="264" t="s">
        <v>230</v>
      </c>
      <c r="L160" s="262"/>
      <c r="M160" s="255" t="s">
        <v>231</v>
      </c>
      <c r="N160" s="229">
        <v>380</v>
      </c>
      <c r="O160" s="233">
        <f>N160*0.8349</f>
        <v>317.262</v>
      </c>
      <c r="P160" s="223"/>
      <c r="Q160" s="224"/>
      <c r="R160" s="225"/>
    </row>
    <row r="161" spans="1:18" s="138" customFormat="1" ht="18" customHeight="1">
      <c r="A161" s="215"/>
      <c r="B161" s="230"/>
      <c r="C161" s="213"/>
      <c r="D161" s="241"/>
      <c r="E161" s="242"/>
      <c r="F161" s="215"/>
      <c r="G161" s="216">
        <f>SUM(G158:G160)</f>
        <v>847</v>
      </c>
      <c r="H161" s="214">
        <f>SUM(H158:H160)</f>
        <v>707.16030000000001</v>
      </c>
      <c r="I161" s="669">
        <f>H161+I157</f>
        <v>3065.1345000000001</v>
      </c>
      <c r="J161" s="670"/>
      <c r="K161" s="236"/>
      <c r="L161" s="237"/>
      <c r="M161" s="238"/>
      <c r="N161" s="239">
        <f>SUM(N158:N160)</f>
        <v>798</v>
      </c>
      <c r="O161" s="240">
        <f>SUM(O158:O160)</f>
        <v>666.25019999999995</v>
      </c>
      <c r="P161" s="701">
        <f>O161+P157</f>
        <v>3027.8674999999998</v>
      </c>
      <c r="Q161" s="702"/>
      <c r="R161" s="231"/>
    </row>
    <row r="162" spans="1:18" s="138" customFormat="1" ht="18" customHeight="1">
      <c r="A162" s="218">
        <v>38111</v>
      </c>
      <c r="B162" s="219"/>
      <c r="C162" s="220" t="s">
        <v>23</v>
      </c>
      <c r="D162" s="364" t="s">
        <v>230</v>
      </c>
      <c r="E162" s="365"/>
      <c r="F162" s="256" t="s">
        <v>231</v>
      </c>
      <c r="G162" s="366">
        <f>27+42+32+31+35+38+33+35+33+35+39+35+36+41</f>
        <v>492</v>
      </c>
      <c r="H162" s="253">
        <f>G162*0.8349</f>
        <v>410.77080000000001</v>
      </c>
      <c r="I162" s="221"/>
      <c r="J162" s="222"/>
      <c r="K162" s="264" t="s">
        <v>230</v>
      </c>
      <c r="L162" s="262"/>
      <c r="M162" s="255" t="s">
        <v>231</v>
      </c>
      <c r="N162" s="229">
        <v>462</v>
      </c>
      <c r="O162" s="233">
        <f>N162*0.8349</f>
        <v>385.72379999999998</v>
      </c>
      <c r="P162" s="223"/>
      <c r="Q162" s="224"/>
      <c r="R162" s="225"/>
    </row>
    <row r="163" spans="1:18" s="138" customFormat="1" ht="18" customHeight="1">
      <c r="A163" s="218"/>
      <c r="B163" s="219"/>
      <c r="C163" s="213"/>
      <c r="D163" s="236"/>
      <c r="E163" s="393"/>
      <c r="F163" s="394"/>
      <c r="G163" s="395"/>
      <c r="H163" s="238"/>
      <c r="I163" s="669"/>
      <c r="J163" s="670"/>
      <c r="K163" s="344"/>
      <c r="L163" s="345"/>
      <c r="M163" s="346"/>
      <c r="N163" s="347"/>
      <c r="O163" s="348"/>
      <c r="P163" s="349"/>
      <c r="Q163" s="350"/>
      <c r="R163" s="231"/>
    </row>
    <row r="164" spans="1:18" s="138" customFormat="1" ht="18" customHeight="1">
      <c r="A164" s="227"/>
      <c r="B164" s="219"/>
      <c r="C164" s="220" t="s">
        <v>170</v>
      </c>
      <c r="D164" s="264" t="s">
        <v>230</v>
      </c>
      <c r="E164" s="262"/>
      <c r="F164" s="255" t="s">
        <v>231</v>
      </c>
      <c r="G164" s="229">
        <f>38+28+33+35+47+32+33+34+35+33+30</f>
        <v>378</v>
      </c>
      <c r="H164" s="233">
        <f>G164*0.8349</f>
        <v>315.59219999999999</v>
      </c>
      <c r="I164" s="221"/>
      <c r="J164" s="222"/>
      <c r="K164" s="264" t="s">
        <v>230</v>
      </c>
      <c r="L164" s="262"/>
      <c r="M164" s="255" t="s">
        <v>231</v>
      </c>
      <c r="N164" s="229">
        <f>373.5+3.5</f>
        <v>377</v>
      </c>
      <c r="O164" s="233">
        <f>N164*0.8349</f>
        <v>314.75729999999999</v>
      </c>
      <c r="P164" s="223"/>
      <c r="Q164" s="224"/>
      <c r="R164" s="225"/>
    </row>
    <row r="165" spans="1:18" s="138" customFormat="1" ht="18" customHeight="1">
      <c r="A165" s="215"/>
      <c r="B165" s="230"/>
      <c r="C165" s="213"/>
      <c r="D165" s="241"/>
      <c r="E165" s="242"/>
      <c r="F165" s="215"/>
      <c r="G165" s="216">
        <f>SUM(G162:G164)</f>
        <v>870</v>
      </c>
      <c r="H165" s="214">
        <f>SUM(H162:H164)</f>
        <v>726.36300000000006</v>
      </c>
      <c r="I165" s="669">
        <f>H165+I161</f>
        <v>3791.4975000000004</v>
      </c>
      <c r="J165" s="670"/>
      <c r="K165" s="236"/>
      <c r="L165" s="237"/>
      <c r="M165" s="238"/>
      <c r="N165" s="239">
        <f>SUM(N162:N164)</f>
        <v>839</v>
      </c>
      <c r="O165" s="240">
        <f>SUM(O162:O164)</f>
        <v>700.48109999999997</v>
      </c>
      <c r="P165" s="701">
        <f>O165+P161</f>
        <v>3728.3485999999998</v>
      </c>
      <c r="Q165" s="702"/>
      <c r="R165" s="231"/>
    </row>
    <row r="166" spans="1:18" s="138" customFormat="1" ht="20.100000000000001" customHeight="1">
      <c r="A166" s="218">
        <v>38142</v>
      </c>
      <c r="B166" s="219"/>
      <c r="C166" s="220" t="s">
        <v>26</v>
      </c>
      <c r="D166" s="364" t="s">
        <v>230</v>
      </c>
      <c r="E166" s="365"/>
      <c r="F166" s="256" t="s">
        <v>231</v>
      </c>
      <c r="G166" s="366">
        <f>48+46+41+27+25+40+53+54+40+37</f>
        <v>411</v>
      </c>
      <c r="H166" s="253">
        <f>G166*0.8349</f>
        <v>343.14389999999997</v>
      </c>
      <c r="I166" s="221"/>
      <c r="J166" s="222"/>
      <c r="K166" s="264" t="s">
        <v>230</v>
      </c>
      <c r="L166" s="262"/>
      <c r="M166" s="255" t="s">
        <v>231</v>
      </c>
      <c r="N166" s="229">
        <v>431</v>
      </c>
      <c r="O166" s="233">
        <f>N166*0.8349</f>
        <v>359.84190000000001</v>
      </c>
      <c r="P166" s="223"/>
      <c r="Q166" s="224"/>
      <c r="R166" s="225"/>
    </row>
    <row r="167" spans="1:18" s="138" customFormat="1" ht="20.100000000000001" customHeight="1">
      <c r="A167" s="218"/>
      <c r="B167" s="219"/>
      <c r="C167" s="213"/>
      <c r="D167" s="236"/>
      <c r="E167" s="393"/>
      <c r="F167" s="394"/>
      <c r="G167" s="395"/>
      <c r="H167" s="238"/>
      <c r="I167" s="669"/>
      <c r="J167" s="670"/>
      <c r="K167" s="344"/>
      <c r="L167" s="345"/>
      <c r="M167" s="346"/>
      <c r="N167" s="347"/>
      <c r="O167" s="348"/>
      <c r="P167" s="349"/>
      <c r="Q167" s="350"/>
      <c r="R167" s="231"/>
    </row>
    <row r="168" spans="1:18" s="138" customFormat="1" ht="20.100000000000001" customHeight="1">
      <c r="A168" s="227"/>
      <c r="B168" s="219"/>
      <c r="C168" s="220" t="s">
        <v>23</v>
      </c>
      <c r="D168" s="264" t="s">
        <v>230</v>
      </c>
      <c r="E168" s="262"/>
      <c r="F168" s="255" t="s">
        <v>231</v>
      </c>
      <c r="G168" s="229">
        <f>30+26+29+37+17</f>
        <v>139</v>
      </c>
      <c r="H168" s="233">
        <f>G168*0.8349</f>
        <v>116.05109999999999</v>
      </c>
      <c r="I168" s="221"/>
      <c r="J168" s="222"/>
      <c r="K168" s="264" t="s">
        <v>230</v>
      </c>
      <c r="L168" s="262"/>
      <c r="M168" s="255" t="s">
        <v>231</v>
      </c>
      <c r="N168" s="229">
        <v>104</v>
      </c>
      <c r="O168" s="233">
        <f>N168*0.8349</f>
        <v>86.829599999999999</v>
      </c>
      <c r="P168" s="223"/>
      <c r="Q168" s="224"/>
      <c r="R168" s="225"/>
    </row>
    <row r="169" spans="1:18" s="138" customFormat="1" ht="20.100000000000001" customHeight="1">
      <c r="A169" s="215"/>
      <c r="B169" s="230"/>
      <c r="C169" s="213"/>
      <c r="D169" s="241"/>
      <c r="E169" s="242"/>
      <c r="F169" s="215"/>
      <c r="G169" s="216">
        <f>SUM(G166:G168)</f>
        <v>550</v>
      </c>
      <c r="H169" s="214">
        <f>SUM(H166:H168)</f>
        <v>459.19499999999994</v>
      </c>
      <c r="I169" s="669">
        <f>H169+I165</f>
        <v>4250.6925000000001</v>
      </c>
      <c r="J169" s="670"/>
      <c r="K169" s="236"/>
      <c r="L169" s="237"/>
      <c r="M169" s="238"/>
      <c r="N169" s="239">
        <f>SUM(N166:N168)</f>
        <v>535</v>
      </c>
      <c r="O169" s="240">
        <f>SUM(O166:O168)</f>
        <v>446.67150000000004</v>
      </c>
      <c r="P169" s="701">
        <f>O169+P165</f>
        <v>4175.0200999999997</v>
      </c>
      <c r="Q169" s="702"/>
      <c r="R169" s="231"/>
    </row>
    <row r="170" spans="1:18" s="138" customFormat="1" ht="20.100000000000001" customHeight="1">
      <c r="A170" s="218">
        <v>38172</v>
      </c>
      <c r="B170" s="219"/>
      <c r="C170" s="220" t="s">
        <v>26</v>
      </c>
      <c r="D170" s="536" t="s">
        <v>230</v>
      </c>
      <c r="E170" s="537"/>
      <c r="F170" s="538" t="s">
        <v>231</v>
      </c>
      <c r="G170" s="539">
        <f>23+34+28+34+23+23+21+33+24</f>
        <v>243</v>
      </c>
      <c r="H170" s="540">
        <f>G170*0.8349</f>
        <v>202.88069999999999</v>
      </c>
      <c r="I170" s="440"/>
      <c r="J170" s="441"/>
      <c r="K170" s="264" t="s">
        <v>230</v>
      </c>
      <c r="L170" s="262"/>
      <c r="M170" s="255" t="s">
        <v>231</v>
      </c>
      <c r="N170" s="229">
        <v>341</v>
      </c>
      <c r="O170" s="233">
        <f>N170*0.8349</f>
        <v>284.70089999999999</v>
      </c>
      <c r="P170" s="223"/>
      <c r="Q170" s="224"/>
      <c r="R170" s="225"/>
    </row>
    <row r="171" spans="1:18" s="138" customFormat="1" ht="20.100000000000001" customHeight="1">
      <c r="A171" s="218"/>
      <c r="B171" s="219"/>
      <c r="C171" s="213"/>
      <c r="D171" s="541" t="s">
        <v>54</v>
      </c>
      <c r="E171" s="345"/>
      <c r="F171" s="346" t="s">
        <v>165</v>
      </c>
      <c r="G171" s="347">
        <f>43+37+44+37</f>
        <v>161</v>
      </c>
      <c r="H171" s="348">
        <f>G171*0.6458</f>
        <v>103.97380000000001</v>
      </c>
      <c r="I171" s="669"/>
      <c r="J171" s="670"/>
      <c r="K171" s="344"/>
      <c r="L171" s="345"/>
      <c r="M171" s="346"/>
      <c r="N171" s="347"/>
      <c r="O171" s="348"/>
      <c r="P171" s="349"/>
      <c r="Q171" s="350"/>
      <c r="R171" s="231"/>
    </row>
    <row r="172" spans="1:18" s="138" customFormat="1" ht="20.100000000000001" customHeight="1">
      <c r="A172" s="227"/>
      <c r="B172" s="219"/>
      <c r="C172" s="220" t="s">
        <v>23</v>
      </c>
      <c r="D172" s="289" t="s">
        <v>54</v>
      </c>
      <c r="E172" s="365"/>
      <c r="F172" s="256" t="s">
        <v>165</v>
      </c>
      <c r="G172" s="366">
        <f>45+70+63+70+54</f>
        <v>302</v>
      </c>
      <c r="H172" s="253">
        <f>G172*0.6458</f>
        <v>195.03160000000003</v>
      </c>
      <c r="I172" s="221"/>
      <c r="J172" s="222"/>
      <c r="K172" s="289" t="s">
        <v>54</v>
      </c>
      <c r="L172" s="365"/>
      <c r="M172" s="256" t="s">
        <v>165</v>
      </c>
      <c r="N172" s="366">
        <v>270</v>
      </c>
      <c r="O172" s="253">
        <f>N172*0.6458</f>
        <v>174.36600000000001</v>
      </c>
      <c r="P172" s="223"/>
      <c r="Q172" s="224"/>
      <c r="R172" s="225"/>
    </row>
    <row r="173" spans="1:18" s="138" customFormat="1" ht="20.100000000000001" customHeight="1">
      <c r="A173" s="215"/>
      <c r="B173" s="230"/>
      <c r="C173" s="213"/>
      <c r="D173" s="367"/>
      <c r="E173" s="368"/>
      <c r="F173" s="369"/>
      <c r="G173" s="370">
        <f>SUM(G170:G172)</f>
        <v>706</v>
      </c>
      <c r="H173" s="371">
        <f>SUM(H170:H172)</f>
        <v>501.88610000000006</v>
      </c>
      <c r="I173" s="669">
        <f>H173+I169</f>
        <v>4752.5785999999998</v>
      </c>
      <c r="J173" s="670"/>
      <c r="K173" s="236"/>
      <c r="L173" s="237"/>
      <c r="M173" s="238"/>
      <c r="N173" s="239">
        <f>SUM(N170:N172)</f>
        <v>611</v>
      </c>
      <c r="O173" s="240">
        <f>SUM(O170:O172)</f>
        <v>459.06690000000003</v>
      </c>
      <c r="P173" s="701">
        <f>O173+P169</f>
        <v>4634.0869999999995</v>
      </c>
      <c r="Q173" s="702"/>
      <c r="R173" s="231"/>
    </row>
    <row r="174" spans="1:18" s="138" customFormat="1" ht="20.100000000000001" customHeight="1">
      <c r="A174" s="218">
        <v>38203</v>
      </c>
      <c r="B174" s="219"/>
      <c r="C174" s="220" t="s">
        <v>170</v>
      </c>
      <c r="D174" s="289" t="s">
        <v>54</v>
      </c>
      <c r="E174" s="365"/>
      <c r="F174" s="256" t="s">
        <v>165</v>
      </c>
      <c r="G174" s="366">
        <f>58*9+60</f>
        <v>582</v>
      </c>
      <c r="H174" s="253">
        <f>G174*0.6458</f>
        <v>375.85560000000004</v>
      </c>
      <c r="I174" s="440"/>
      <c r="J174" s="441"/>
      <c r="K174" s="289" t="s">
        <v>54</v>
      </c>
      <c r="L174" s="365"/>
      <c r="M174" s="256" t="s">
        <v>165</v>
      </c>
      <c r="N174" s="366">
        <v>491</v>
      </c>
      <c r="O174" s="253">
        <f>N174*0.6458</f>
        <v>317.08780000000002</v>
      </c>
      <c r="P174" s="223"/>
      <c r="Q174" s="224"/>
      <c r="R174" s="225"/>
    </row>
    <row r="175" spans="1:18" s="138" customFormat="1" ht="20.100000000000001" customHeight="1">
      <c r="A175" s="218"/>
      <c r="B175" s="219"/>
      <c r="C175" s="213"/>
      <c r="D175" s="541"/>
      <c r="E175" s="345"/>
      <c r="F175" s="346"/>
      <c r="G175" s="347"/>
      <c r="H175" s="348"/>
      <c r="I175" s="669"/>
      <c r="J175" s="670"/>
      <c r="K175" s="344"/>
      <c r="L175" s="345"/>
      <c r="M175" s="346"/>
      <c r="N175" s="347"/>
      <c r="O175" s="348"/>
      <c r="P175" s="349"/>
      <c r="Q175" s="350"/>
      <c r="R175" s="231"/>
    </row>
    <row r="176" spans="1:18" s="138" customFormat="1" ht="20.100000000000001" customHeight="1">
      <c r="A176" s="227"/>
      <c r="B176" s="219"/>
      <c r="C176" s="220" t="s">
        <v>26</v>
      </c>
      <c r="D176" s="289" t="s">
        <v>54</v>
      </c>
      <c r="E176" s="365"/>
      <c r="F176" s="256" t="s">
        <v>165</v>
      </c>
      <c r="G176" s="366">
        <f>54+65+71+71+70+54+58</f>
        <v>443</v>
      </c>
      <c r="H176" s="253">
        <f>G176*0.6458</f>
        <v>286.08940000000001</v>
      </c>
      <c r="I176" s="221"/>
      <c r="J176" s="222"/>
      <c r="K176" s="289" t="s">
        <v>54</v>
      </c>
      <c r="L176" s="365"/>
      <c r="M176" s="256" t="s">
        <v>165</v>
      </c>
      <c r="N176" s="366">
        <v>493</v>
      </c>
      <c r="O176" s="253">
        <f>N176*0.6458</f>
        <v>318.37940000000003</v>
      </c>
      <c r="P176" s="223"/>
      <c r="Q176" s="224"/>
      <c r="R176" s="225"/>
    </row>
    <row r="177" spans="1:18" s="138" customFormat="1" ht="20.100000000000001" customHeight="1">
      <c r="A177" s="215"/>
      <c r="B177" s="230"/>
      <c r="C177" s="213"/>
      <c r="D177" s="367"/>
      <c r="E177" s="368"/>
      <c r="F177" s="369"/>
      <c r="G177" s="370">
        <f>SUM(G174:G176)</f>
        <v>1025</v>
      </c>
      <c r="H177" s="371">
        <f>SUM(H174:H176)</f>
        <v>661.94500000000005</v>
      </c>
      <c r="I177" s="669">
        <f>H177+I173</f>
        <v>5414.5235999999995</v>
      </c>
      <c r="J177" s="670"/>
      <c r="K177" s="236"/>
      <c r="L177" s="237"/>
      <c r="M177" s="238"/>
      <c r="N177" s="239">
        <f>SUM(N174:N176)</f>
        <v>984</v>
      </c>
      <c r="O177" s="240">
        <f>SUM(O174:O176)</f>
        <v>635.46720000000005</v>
      </c>
      <c r="P177" s="701">
        <f>O177+P173</f>
        <v>5269.5541999999996</v>
      </c>
      <c r="Q177" s="702"/>
      <c r="R177" s="231"/>
    </row>
    <row r="178" spans="1:18" s="138" customFormat="1" ht="20.100000000000001" customHeight="1">
      <c r="A178" s="218">
        <v>38234</v>
      </c>
      <c r="B178" s="219"/>
      <c r="C178" s="220" t="s">
        <v>170</v>
      </c>
      <c r="D178" s="289" t="s">
        <v>54</v>
      </c>
      <c r="E178" s="365"/>
      <c r="F178" s="256" t="s">
        <v>165</v>
      </c>
      <c r="G178" s="366">
        <f>70+62+69+60+66+66+62+70</f>
        <v>525</v>
      </c>
      <c r="H178" s="253">
        <f>G178*0.6458</f>
        <v>339.04500000000002</v>
      </c>
      <c r="I178" s="440"/>
      <c r="J178" s="441"/>
      <c r="K178" s="289" t="s">
        <v>54</v>
      </c>
      <c r="L178" s="365"/>
      <c r="M178" s="256" t="s">
        <v>165</v>
      </c>
      <c r="N178" s="366">
        <v>519</v>
      </c>
      <c r="O178" s="253">
        <f>N178*0.6458</f>
        <v>335.17020000000002</v>
      </c>
      <c r="P178" s="223"/>
      <c r="Q178" s="224"/>
      <c r="R178" s="225"/>
    </row>
    <row r="179" spans="1:18" s="138" customFormat="1" ht="20.100000000000001" customHeight="1">
      <c r="A179" s="218"/>
      <c r="B179" s="219"/>
      <c r="C179" s="213"/>
      <c r="D179" s="541"/>
      <c r="E179" s="345"/>
      <c r="F179" s="346"/>
      <c r="G179" s="347"/>
      <c r="H179" s="348"/>
      <c r="I179" s="669"/>
      <c r="J179" s="670"/>
      <c r="K179" s="344"/>
      <c r="L179" s="345"/>
      <c r="M179" s="346"/>
      <c r="N179" s="347"/>
      <c r="O179" s="348"/>
      <c r="P179" s="349"/>
      <c r="Q179" s="350"/>
      <c r="R179" s="231"/>
    </row>
    <row r="180" spans="1:18" s="138" customFormat="1" ht="20.100000000000001" customHeight="1">
      <c r="A180" s="227"/>
      <c r="B180" s="219"/>
      <c r="C180" s="220" t="s">
        <v>26</v>
      </c>
      <c r="D180" s="289" t="s">
        <v>54</v>
      </c>
      <c r="E180" s="365"/>
      <c r="F180" s="256" t="s">
        <v>165</v>
      </c>
      <c r="G180" s="366">
        <f>362</f>
        <v>362</v>
      </c>
      <c r="H180" s="253">
        <f>G180*0.6458</f>
        <v>233.77960000000002</v>
      </c>
      <c r="I180" s="221"/>
      <c r="J180" s="222"/>
      <c r="K180" s="289" t="s">
        <v>54</v>
      </c>
      <c r="L180" s="365"/>
      <c r="M180" s="256" t="s">
        <v>165</v>
      </c>
      <c r="N180" s="366">
        <v>512</v>
      </c>
      <c r="O180" s="253">
        <f>N180*0.6458</f>
        <v>330.64960000000002</v>
      </c>
      <c r="P180" s="223"/>
      <c r="Q180" s="224"/>
      <c r="R180" s="225"/>
    </row>
    <row r="181" spans="1:18" s="138" customFormat="1" ht="20.100000000000001" customHeight="1">
      <c r="A181" s="437"/>
      <c r="B181" s="438"/>
      <c r="C181" s="439"/>
      <c r="D181" s="264" t="s">
        <v>167</v>
      </c>
      <c r="E181" s="262"/>
      <c r="F181" s="255" t="s">
        <v>168</v>
      </c>
      <c r="G181" s="229">
        <v>66</v>
      </c>
      <c r="H181" s="233">
        <f>G181*1.5621</f>
        <v>103.0986</v>
      </c>
      <c r="I181" s="440"/>
      <c r="J181" s="441"/>
      <c r="K181" s="446"/>
      <c r="L181" s="447"/>
      <c r="M181" s="448"/>
      <c r="N181" s="449"/>
      <c r="O181" s="450"/>
      <c r="P181" s="442"/>
      <c r="Q181" s="280"/>
      <c r="R181" s="443"/>
    </row>
    <row r="182" spans="1:18" s="138" customFormat="1" ht="20.100000000000001" customHeight="1">
      <c r="A182" s="215"/>
      <c r="B182" s="230"/>
      <c r="C182" s="213"/>
      <c r="D182" s="367"/>
      <c r="E182" s="368"/>
      <c r="F182" s="369"/>
      <c r="G182" s="370">
        <f>SUM(G178:G181)</f>
        <v>953</v>
      </c>
      <c r="H182" s="371">
        <f>SUM(H178:H181)</f>
        <v>675.92320000000007</v>
      </c>
      <c r="I182" s="669">
        <f>H182+I177</f>
        <v>6090.4467999999997</v>
      </c>
      <c r="J182" s="670"/>
      <c r="K182" s="236"/>
      <c r="L182" s="237"/>
      <c r="M182" s="238"/>
      <c r="N182" s="239">
        <f>SUM(N178:N180)</f>
        <v>1031</v>
      </c>
      <c r="O182" s="240">
        <f>SUM(O178:O180)</f>
        <v>665.81979999999999</v>
      </c>
      <c r="P182" s="701">
        <f>O182+P177</f>
        <v>5935.3739999999998</v>
      </c>
      <c r="Q182" s="702"/>
      <c r="R182" s="231"/>
    </row>
    <row r="183" spans="1:18" s="138" customFormat="1" ht="20.100000000000001" customHeight="1">
      <c r="A183" s="542">
        <v>38264</v>
      </c>
      <c r="B183" s="219"/>
      <c r="C183" s="220" t="s">
        <v>23</v>
      </c>
      <c r="D183" s="364" t="s">
        <v>167</v>
      </c>
      <c r="E183" s="365"/>
      <c r="F183" s="256" t="s">
        <v>168</v>
      </c>
      <c r="G183" s="366">
        <f>26+24+21+23+22+23+18+21+19+19+21+20+23</f>
        <v>280</v>
      </c>
      <c r="H183" s="253">
        <f>G183*1.5621</f>
        <v>437.38800000000003</v>
      </c>
      <c r="I183" s="440"/>
      <c r="J183" s="441"/>
      <c r="K183" s="364" t="s">
        <v>167</v>
      </c>
      <c r="L183" s="365"/>
      <c r="M183" s="256" t="s">
        <v>168</v>
      </c>
      <c r="N183" s="366">
        <v>243</v>
      </c>
      <c r="O183" s="253">
        <f>N183*1.5621</f>
        <v>379.59030000000001</v>
      </c>
      <c r="P183" s="223"/>
      <c r="Q183" s="224"/>
      <c r="R183" s="225"/>
    </row>
    <row r="184" spans="1:18" s="138" customFormat="1" ht="20.100000000000001" customHeight="1">
      <c r="A184" s="218"/>
      <c r="B184" s="219"/>
      <c r="C184" s="213"/>
      <c r="D184" s="541"/>
      <c r="E184" s="345"/>
      <c r="F184" s="346"/>
      <c r="G184" s="347"/>
      <c r="H184" s="348"/>
      <c r="I184" s="669"/>
      <c r="J184" s="670"/>
      <c r="K184" s="261" t="s">
        <v>54</v>
      </c>
      <c r="L184" s="262"/>
      <c r="M184" s="255" t="s">
        <v>165</v>
      </c>
      <c r="N184" s="229">
        <v>56</v>
      </c>
      <c r="O184" s="233">
        <f>N184*0.6458</f>
        <v>36.1648</v>
      </c>
      <c r="P184" s="349"/>
      <c r="Q184" s="350"/>
      <c r="R184" s="231"/>
    </row>
    <row r="185" spans="1:18" s="138" customFormat="1" ht="20.100000000000001" customHeight="1">
      <c r="A185" s="227"/>
      <c r="B185" s="219"/>
      <c r="C185" s="220" t="s">
        <v>170</v>
      </c>
      <c r="D185" s="364" t="s">
        <v>167</v>
      </c>
      <c r="E185" s="365"/>
      <c r="F185" s="256" t="s">
        <v>168</v>
      </c>
      <c r="G185" s="366">
        <f>29+30+22+25+29+16</f>
        <v>151</v>
      </c>
      <c r="H185" s="253">
        <f>G185*1.5621</f>
        <v>235.87710000000001</v>
      </c>
      <c r="I185" s="221"/>
      <c r="J185" s="222"/>
      <c r="K185" s="364" t="s">
        <v>167</v>
      </c>
      <c r="L185" s="365"/>
      <c r="M185" s="256" t="s">
        <v>168</v>
      </c>
      <c r="N185" s="366">
        <v>233</v>
      </c>
      <c r="O185" s="253">
        <f>N185*1.5621</f>
        <v>363.96930000000003</v>
      </c>
      <c r="P185" s="223"/>
      <c r="Q185" s="224"/>
      <c r="R185" s="225"/>
    </row>
    <row r="186" spans="1:18" s="138" customFormat="1" ht="20.100000000000001" customHeight="1">
      <c r="A186" s="437"/>
      <c r="B186" s="438"/>
      <c r="C186" s="439"/>
      <c r="D186" s="261" t="s">
        <v>54</v>
      </c>
      <c r="E186" s="262"/>
      <c r="F186" s="255" t="s">
        <v>165</v>
      </c>
      <c r="G186" s="229">
        <v>86</v>
      </c>
      <c r="H186" s="233">
        <f>G186*0.6458</f>
        <v>55.538800000000002</v>
      </c>
      <c r="I186" s="440"/>
      <c r="J186" s="441"/>
      <c r="K186" s="446"/>
      <c r="L186" s="447"/>
      <c r="M186" s="448"/>
      <c r="N186" s="449"/>
      <c r="O186" s="450"/>
      <c r="P186" s="442"/>
      <c r="Q186" s="280"/>
      <c r="R186" s="443"/>
    </row>
    <row r="187" spans="1:18" s="138" customFormat="1" ht="20.100000000000001" customHeight="1">
      <c r="A187" s="215"/>
      <c r="B187" s="230"/>
      <c r="C187" s="213"/>
      <c r="D187" s="367"/>
      <c r="E187" s="368"/>
      <c r="F187" s="369"/>
      <c r="G187" s="370">
        <f>SUM(G183:G186)</f>
        <v>517</v>
      </c>
      <c r="H187" s="371">
        <f>SUM(H183:H186)</f>
        <v>728.80390000000011</v>
      </c>
      <c r="I187" s="669">
        <f>H187+I182</f>
        <v>6819.2506999999996</v>
      </c>
      <c r="J187" s="670"/>
      <c r="K187" s="236"/>
      <c r="L187" s="237"/>
      <c r="M187" s="238"/>
      <c r="N187" s="239">
        <f>SUM(N183:N185)</f>
        <v>532</v>
      </c>
      <c r="O187" s="240">
        <f>SUM(O183:O186)</f>
        <v>779.72440000000006</v>
      </c>
      <c r="P187" s="701">
        <f>O187+P182</f>
        <v>6715.0983999999999</v>
      </c>
      <c r="Q187" s="702"/>
      <c r="R187" s="231"/>
    </row>
    <row r="188" spans="1:18" s="138" customFormat="1" ht="20.100000000000001" customHeight="1">
      <c r="A188" s="207">
        <v>38295</v>
      </c>
      <c r="B188" s="219"/>
      <c r="C188" s="220" t="s">
        <v>23</v>
      </c>
      <c r="D188" s="536" t="s">
        <v>230</v>
      </c>
      <c r="E188" s="537"/>
      <c r="F188" s="538" t="s">
        <v>231</v>
      </c>
      <c r="G188" s="539">
        <f>29+24+17+25+21+23+25+28+22+17+27+31+20</f>
        <v>309</v>
      </c>
      <c r="H188" s="540">
        <f>G188*0.8349</f>
        <v>257.98410000000001</v>
      </c>
      <c r="I188" s="440"/>
      <c r="J188" s="441"/>
      <c r="K188" s="545" t="s">
        <v>54</v>
      </c>
      <c r="L188" s="537"/>
      <c r="M188" s="538" t="s">
        <v>165</v>
      </c>
      <c r="N188" s="539">
        <v>104</v>
      </c>
      <c r="O188" s="540">
        <f>N188*0.6458</f>
        <v>67.163200000000003</v>
      </c>
      <c r="P188" s="223"/>
      <c r="Q188" s="224"/>
      <c r="R188" s="225"/>
    </row>
    <row r="189" spans="1:18" s="138" customFormat="1" ht="20.100000000000001" customHeight="1">
      <c r="A189" s="207"/>
      <c r="B189" s="219"/>
      <c r="C189" s="439"/>
      <c r="D189" s="504"/>
      <c r="E189" s="447"/>
      <c r="F189" s="448"/>
      <c r="G189" s="449"/>
      <c r="H189" s="450"/>
      <c r="I189" s="440"/>
      <c r="J189" s="441"/>
      <c r="K189" s="546" t="s">
        <v>167</v>
      </c>
      <c r="L189" s="547"/>
      <c r="M189" s="548" t="s">
        <v>168</v>
      </c>
      <c r="N189" s="549">
        <v>21</v>
      </c>
      <c r="O189" s="263">
        <f>N189*1.5621</f>
        <v>32.804099999999998</v>
      </c>
      <c r="P189" s="442"/>
      <c r="Q189" s="280"/>
      <c r="R189" s="443"/>
    </row>
    <row r="190" spans="1:18" s="138" customFormat="1" ht="20.100000000000001" customHeight="1">
      <c r="A190" s="218"/>
      <c r="B190" s="219"/>
      <c r="C190" s="213"/>
      <c r="D190" s="541"/>
      <c r="E190" s="345"/>
      <c r="F190" s="346"/>
      <c r="G190" s="347"/>
      <c r="H190" s="348"/>
      <c r="I190" s="669"/>
      <c r="J190" s="670"/>
      <c r="K190" s="344" t="s">
        <v>230</v>
      </c>
      <c r="L190" s="345"/>
      <c r="M190" s="346" t="s">
        <v>231</v>
      </c>
      <c r="N190" s="347">
        <v>128</v>
      </c>
      <c r="O190" s="348">
        <f>N190*0.8349</f>
        <v>106.8672</v>
      </c>
      <c r="P190" s="349"/>
      <c r="Q190" s="350"/>
      <c r="R190" s="231"/>
    </row>
    <row r="191" spans="1:18" s="138" customFormat="1" ht="20.100000000000001" customHeight="1">
      <c r="A191" s="227"/>
      <c r="B191" s="219"/>
      <c r="C191" s="220" t="s">
        <v>170</v>
      </c>
      <c r="D191" s="536" t="s">
        <v>230</v>
      </c>
      <c r="E191" s="537"/>
      <c r="F191" s="538" t="s">
        <v>231</v>
      </c>
      <c r="G191" s="539">
        <f>29+32+28</f>
        <v>89</v>
      </c>
      <c r="H191" s="540">
        <f>G191*0.8349</f>
        <v>74.306100000000001</v>
      </c>
      <c r="I191" s="221"/>
      <c r="J191" s="222"/>
      <c r="K191" s="536" t="s">
        <v>230</v>
      </c>
      <c r="L191" s="537"/>
      <c r="M191" s="538" t="s">
        <v>231</v>
      </c>
      <c r="N191" s="539">
        <v>258</v>
      </c>
      <c r="O191" s="540">
        <f>N191*0.8349</f>
        <v>215.4042</v>
      </c>
      <c r="P191" s="223"/>
      <c r="Q191" s="224"/>
      <c r="R191" s="225"/>
    </row>
    <row r="192" spans="1:18" s="138" customFormat="1" ht="20.100000000000001" customHeight="1">
      <c r="A192" s="437"/>
      <c r="B192" s="438"/>
      <c r="C192" s="439"/>
      <c r="D192" s="264" t="s">
        <v>280</v>
      </c>
      <c r="E192" s="262"/>
      <c r="F192" s="255" t="s">
        <v>281</v>
      </c>
      <c r="G192" s="229">
        <f>19+25+20+24+23+19+22+26</f>
        <v>178</v>
      </c>
      <c r="H192" s="233">
        <f>1.3242*G192</f>
        <v>235.70760000000001</v>
      </c>
      <c r="I192" s="440"/>
      <c r="J192" s="441"/>
      <c r="K192" s="264" t="s">
        <v>280</v>
      </c>
      <c r="L192" s="262"/>
      <c r="M192" s="255" t="s">
        <v>281</v>
      </c>
      <c r="N192" s="229">
        <f>141/2</f>
        <v>70.5</v>
      </c>
      <c r="O192" s="233">
        <f>1.3242*N192</f>
        <v>93.356099999999998</v>
      </c>
      <c r="P192" s="592"/>
      <c r="Q192" s="280"/>
      <c r="R192" s="443"/>
    </row>
    <row r="193" spans="1:18" s="138" customFormat="1" ht="20.100000000000001" customHeight="1">
      <c r="A193" s="215"/>
      <c r="B193" s="230"/>
      <c r="C193" s="213"/>
      <c r="D193" s="367"/>
      <c r="E193" s="368"/>
      <c r="F193" s="369"/>
      <c r="G193" s="370">
        <f>SUM(G188:G192)</f>
        <v>576</v>
      </c>
      <c r="H193" s="371">
        <f>SUM(H188:H192)</f>
        <v>567.9978000000001</v>
      </c>
      <c r="I193" s="669">
        <f>H193+I187</f>
        <v>7387.2484999999997</v>
      </c>
      <c r="J193" s="670"/>
      <c r="K193" s="236"/>
      <c r="L193" s="237"/>
      <c r="M193" s="238"/>
      <c r="N193" s="239">
        <f>SUM(N188:N191)</f>
        <v>511</v>
      </c>
      <c r="O193" s="240">
        <f>SUM(O188:O192)</f>
        <v>515.59479999999996</v>
      </c>
      <c r="P193" s="701">
        <f>O193+P187</f>
        <v>7230.6931999999997</v>
      </c>
      <c r="Q193" s="702"/>
      <c r="R193" s="231"/>
    </row>
    <row r="194" spans="1:18" s="138" customFormat="1" ht="20.100000000000001" customHeight="1">
      <c r="A194" s="207">
        <v>38325</v>
      </c>
      <c r="B194" s="219"/>
      <c r="C194" s="220" t="s">
        <v>26</v>
      </c>
      <c r="D194" s="264" t="s">
        <v>280</v>
      </c>
      <c r="E194" s="262"/>
      <c r="F194" s="255" t="s">
        <v>281</v>
      </c>
      <c r="G194" s="229">
        <f>18+24+22+21+20+22+22+26+25+23+17+19</f>
        <v>259</v>
      </c>
      <c r="H194" s="233">
        <f>1.3242*G194</f>
        <v>342.96780000000001</v>
      </c>
      <c r="I194" s="440"/>
      <c r="J194" s="441"/>
      <c r="K194" s="550" t="s">
        <v>280</v>
      </c>
      <c r="L194" s="551"/>
      <c r="M194" s="255" t="s">
        <v>281</v>
      </c>
      <c r="N194" s="463">
        <f>517/2</f>
        <v>258.5</v>
      </c>
      <c r="O194" s="233">
        <f>1.3242*N194</f>
        <v>342.3057</v>
      </c>
      <c r="P194" s="223"/>
      <c r="Q194" s="224"/>
      <c r="R194" s="225"/>
    </row>
    <row r="195" spans="1:18" s="138" customFormat="1" ht="20.100000000000001" customHeight="1">
      <c r="A195" s="218"/>
      <c r="B195" s="219"/>
      <c r="C195" s="213"/>
      <c r="D195" s="541"/>
      <c r="E195" s="345"/>
      <c r="F195" s="346"/>
      <c r="G195" s="347"/>
      <c r="H195" s="348"/>
      <c r="I195" s="669"/>
      <c r="J195" s="670"/>
      <c r="K195" s="344"/>
      <c r="L195" s="345"/>
      <c r="M195" s="346"/>
      <c r="N195" s="347"/>
      <c r="O195" s="348"/>
      <c r="P195" s="349"/>
      <c r="Q195" s="350"/>
      <c r="R195" s="231"/>
    </row>
    <row r="196" spans="1:18" s="138" customFormat="1" ht="20.100000000000001" customHeight="1">
      <c r="A196" s="227"/>
      <c r="B196" s="219"/>
      <c r="C196" s="220" t="s">
        <v>23</v>
      </c>
      <c r="D196" s="264" t="s">
        <v>280</v>
      </c>
      <c r="E196" s="262"/>
      <c r="F196" s="255" t="s">
        <v>281</v>
      </c>
      <c r="G196" s="229">
        <f>24+45+44+39+49+42+43</f>
        <v>286</v>
      </c>
      <c r="H196" s="233">
        <f>1.3242*G196</f>
        <v>378.72120000000001</v>
      </c>
      <c r="I196" s="221"/>
      <c r="J196" s="222"/>
      <c r="K196" s="264" t="s">
        <v>280</v>
      </c>
      <c r="L196" s="262"/>
      <c r="M196" s="255" t="s">
        <v>281</v>
      </c>
      <c r="N196" s="463">
        <f>534/2</f>
        <v>267</v>
      </c>
      <c r="O196" s="233">
        <f>1.3242*N196</f>
        <v>353.56139999999999</v>
      </c>
      <c r="P196" s="223"/>
      <c r="Q196" s="224"/>
      <c r="R196" s="225"/>
    </row>
    <row r="197" spans="1:18" s="138" customFormat="1" ht="20.100000000000001" customHeight="1">
      <c r="A197" s="437"/>
      <c r="B197" s="438"/>
      <c r="C197" s="439"/>
      <c r="D197" s="264"/>
      <c r="E197" s="262"/>
      <c r="F197" s="255"/>
      <c r="G197" s="229"/>
      <c r="H197" s="233"/>
      <c r="I197" s="440"/>
      <c r="J197" s="441"/>
      <c r="K197" s="264"/>
      <c r="L197" s="262"/>
      <c r="M197" s="255"/>
      <c r="N197" s="229"/>
      <c r="O197" s="233"/>
      <c r="P197" s="442"/>
      <c r="Q197" s="280"/>
      <c r="R197" s="443"/>
    </row>
    <row r="198" spans="1:18" s="138" customFormat="1" ht="20.100000000000001" customHeight="1">
      <c r="A198" s="215"/>
      <c r="B198" s="230"/>
      <c r="C198" s="213"/>
      <c r="D198" s="367"/>
      <c r="E198" s="368"/>
      <c r="F198" s="369"/>
      <c r="G198" s="370">
        <f>SUM(G194:G197)</f>
        <v>545</v>
      </c>
      <c r="H198" s="371">
        <f>SUM(H194:H197)</f>
        <v>721.68900000000008</v>
      </c>
      <c r="I198" s="669">
        <f>H198+I193</f>
        <v>8108.9375</v>
      </c>
      <c r="J198" s="670"/>
      <c r="K198" s="236"/>
      <c r="L198" s="237"/>
      <c r="M198" s="238"/>
      <c r="N198" s="239">
        <f>SUM(N194:N196)</f>
        <v>525.5</v>
      </c>
      <c r="O198" s="240">
        <f>SUM(O194:O197)</f>
        <v>695.86709999999994</v>
      </c>
      <c r="P198" s="701">
        <f>O198+P193</f>
        <v>7926.5602999999992</v>
      </c>
      <c r="Q198" s="702"/>
      <c r="R198" s="231"/>
    </row>
    <row r="199" spans="1:18" s="138" customFormat="1" ht="20.100000000000001" customHeight="1">
      <c r="A199" s="269" t="s">
        <v>283</v>
      </c>
      <c r="B199" s="219"/>
      <c r="C199" s="220" t="s">
        <v>26</v>
      </c>
      <c r="D199" s="264" t="s">
        <v>280</v>
      </c>
      <c r="E199" s="262"/>
      <c r="F199" s="255" t="s">
        <v>281</v>
      </c>
      <c r="G199" s="229">
        <f>32+38+29+37+17</f>
        <v>153</v>
      </c>
      <c r="H199" s="233">
        <f>1.3242*G199</f>
        <v>202.6026</v>
      </c>
      <c r="I199" s="440"/>
      <c r="J199" s="441"/>
      <c r="K199" s="550" t="s">
        <v>280</v>
      </c>
      <c r="L199" s="551"/>
      <c r="M199" s="255" t="s">
        <v>281</v>
      </c>
      <c r="N199" s="463">
        <f>538/2</f>
        <v>269</v>
      </c>
      <c r="O199" s="233">
        <f>1.3242*N199</f>
        <v>356.20980000000003</v>
      </c>
      <c r="P199" s="223"/>
      <c r="Q199" s="224"/>
      <c r="R199" s="225"/>
    </row>
    <row r="200" spans="1:18" s="138" customFormat="1" ht="20.100000000000001" customHeight="1">
      <c r="A200" s="552"/>
      <c r="B200" s="230"/>
      <c r="C200" s="213"/>
      <c r="D200" s="344" t="s">
        <v>285</v>
      </c>
      <c r="E200" s="345"/>
      <c r="F200" s="346" t="s">
        <v>284</v>
      </c>
      <c r="G200" s="347">
        <f>32+40</f>
        <v>72</v>
      </c>
      <c r="H200" s="348">
        <f>1.5312*G200</f>
        <v>110.24639999999999</v>
      </c>
      <c r="I200" s="669"/>
      <c r="J200" s="670"/>
      <c r="K200" s="344"/>
      <c r="L200" s="345"/>
      <c r="M200" s="346"/>
      <c r="N200" s="347"/>
      <c r="O200" s="348"/>
      <c r="P200" s="349"/>
      <c r="Q200" s="350"/>
      <c r="R200" s="231"/>
    </row>
    <row r="201" spans="1:18" s="138" customFormat="1" ht="20.100000000000001" customHeight="1">
      <c r="A201" s="226"/>
      <c r="B201" s="318"/>
      <c r="C201" s="220" t="s">
        <v>23</v>
      </c>
      <c r="D201" s="264" t="s">
        <v>285</v>
      </c>
      <c r="E201" s="262"/>
      <c r="F201" s="255" t="s">
        <v>284</v>
      </c>
      <c r="G201" s="229">
        <f>21+25+21+25+20+25+25+31+23+24+22</f>
        <v>262</v>
      </c>
      <c r="H201" s="233">
        <f>1.5312*G201</f>
        <v>401.17439999999999</v>
      </c>
      <c r="I201" s="221"/>
      <c r="J201" s="222"/>
      <c r="K201" s="264" t="s">
        <v>285</v>
      </c>
      <c r="L201" s="262"/>
      <c r="M201" s="255" t="s">
        <v>284</v>
      </c>
      <c r="N201" s="229">
        <v>222</v>
      </c>
      <c r="O201" s="233">
        <f>1.5312*N201</f>
        <v>339.9264</v>
      </c>
      <c r="P201" s="223"/>
      <c r="Q201" s="224"/>
      <c r="R201" s="225"/>
    </row>
    <row r="202" spans="1:18" s="138" customFormat="1" ht="20.100000000000001" customHeight="1">
      <c r="A202" s="437"/>
      <c r="B202" s="438"/>
      <c r="C202" s="439"/>
      <c r="D202" s="264"/>
      <c r="E202" s="262"/>
      <c r="F202" s="255"/>
      <c r="G202" s="229"/>
      <c r="H202" s="233"/>
      <c r="I202" s="440"/>
      <c r="J202" s="441"/>
      <c r="K202" s="264"/>
      <c r="L202" s="262"/>
      <c r="M202" s="255"/>
      <c r="N202" s="229"/>
      <c r="O202" s="233"/>
      <c r="P202" s="442"/>
      <c r="Q202" s="280"/>
      <c r="R202" s="443"/>
    </row>
    <row r="203" spans="1:18" s="138" customFormat="1" ht="20.100000000000001" customHeight="1">
      <c r="A203" s="215"/>
      <c r="B203" s="230"/>
      <c r="C203" s="213"/>
      <c r="D203" s="367"/>
      <c r="E203" s="368"/>
      <c r="F203" s="369"/>
      <c r="G203" s="370">
        <f>SUM(G199:G202)</f>
        <v>487</v>
      </c>
      <c r="H203" s="371">
        <f>SUM(H199:H202)</f>
        <v>714.02340000000004</v>
      </c>
      <c r="I203" s="669">
        <f>H203+I198</f>
        <v>8822.9609</v>
      </c>
      <c r="J203" s="670"/>
      <c r="K203" s="236"/>
      <c r="L203" s="237"/>
      <c r="M203" s="238"/>
      <c r="N203" s="239">
        <f>SUM(N199:N201)</f>
        <v>491</v>
      </c>
      <c r="O203" s="240">
        <f>SUM(O199:O202)</f>
        <v>696.13620000000003</v>
      </c>
      <c r="P203" s="701">
        <f>O203+P198</f>
        <v>8622.6965</v>
      </c>
      <c r="Q203" s="702"/>
      <c r="R203" s="231"/>
    </row>
    <row r="204" spans="1:18" s="138" customFormat="1" ht="20.100000000000001" customHeight="1">
      <c r="A204" s="269" t="s">
        <v>286</v>
      </c>
      <c r="B204" s="219"/>
      <c r="C204" s="220" t="s">
        <v>170</v>
      </c>
      <c r="D204" s="264" t="s">
        <v>280</v>
      </c>
      <c r="E204" s="262"/>
      <c r="F204" s="255" t="s">
        <v>281</v>
      </c>
      <c r="G204" s="229">
        <f>23+20+20+20</f>
        <v>83</v>
      </c>
      <c r="H204" s="233">
        <f>1.3242*G204</f>
        <v>109.90860000000001</v>
      </c>
      <c r="I204" s="440"/>
      <c r="J204" s="441"/>
      <c r="K204" s="364" t="s">
        <v>285</v>
      </c>
      <c r="L204" s="365"/>
      <c r="M204" s="256" t="s">
        <v>284</v>
      </c>
      <c r="N204" s="366">
        <v>267</v>
      </c>
      <c r="O204" s="253">
        <f>1.5312*N204</f>
        <v>408.8304</v>
      </c>
      <c r="P204" s="223"/>
      <c r="Q204" s="224"/>
      <c r="R204" s="225"/>
    </row>
    <row r="205" spans="1:18" s="138" customFormat="1" ht="20.100000000000001" customHeight="1">
      <c r="A205" s="552"/>
      <c r="B205" s="230"/>
      <c r="C205" s="213"/>
      <c r="D205" s="344" t="s">
        <v>285</v>
      </c>
      <c r="E205" s="345"/>
      <c r="F205" s="346" t="s">
        <v>284</v>
      </c>
      <c r="G205" s="347">
        <f>25+9+15+15+15+15+14+13+15+15+14</f>
        <v>165</v>
      </c>
      <c r="H205" s="348">
        <f>1.5312*G205</f>
        <v>252.648</v>
      </c>
      <c r="I205" s="669"/>
      <c r="J205" s="670"/>
      <c r="K205" s="236"/>
      <c r="L205" s="393"/>
      <c r="M205" s="394"/>
      <c r="N205" s="395"/>
      <c r="O205" s="238"/>
      <c r="P205" s="349"/>
      <c r="Q205" s="350"/>
      <c r="R205" s="231"/>
    </row>
    <row r="206" spans="1:18" s="138" customFormat="1" ht="20.100000000000001" customHeight="1">
      <c r="A206" s="226"/>
      <c r="B206" s="318"/>
      <c r="C206" s="220" t="s">
        <v>26</v>
      </c>
      <c r="D206" s="264" t="s">
        <v>280</v>
      </c>
      <c r="E206" s="262"/>
      <c r="F206" s="255" t="s">
        <v>281</v>
      </c>
      <c r="G206" s="229">
        <f>31+27+13+26+21+23</f>
        <v>141</v>
      </c>
      <c r="H206" s="233">
        <f>1.3242*G206</f>
        <v>186.7122</v>
      </c>
      <c r="I206" s="221"/>
      <c r="J206" s="222"/>
      <c r="K206" s="264" t="s">
        <v>280</v>
      </c>
      <c r="L206" s="262"/>
      <c r="M206" s="255" t="s">
        <v>281</v>
      </c>
      <c r="N206" s="229">
        <v>97</v>
      </c>
      <c r="O206" s="233">
        <f>1.3242*N206</f>
        <v>128.44740000000002</v>
      </c>
      <c r="P206" s="223"/>
      <c r="Q206" s="224"/>
      <c r="R206" s="225"/>
    </row>
    <row r="207" spans="1:18" s="138" customFormat="1" ht="20.100000000000001" customHeight="1">
      <c r="A207" s="437"/>
      <c r="B207" s="438"/>
      <c r="C207" s="439"/>
      <c r="D207" s="264"/>
      <c r="E207" s="262"/>
      <c r="F207" s="255"/>
      <c r="G207" s="229"/>
      <c r="H207" s="233"/>
      <c r="I207" s="440"/>
      <c r="J207" s="441"/>
      <c r="K207" s="264"/>
      <c r="L207" s="262"/>
      <c r="M207" s="255"/>
      <c r="N207" s="229"/>
      <c r="O207" s="233"/>
      <c r="P207" s="442"/>
      <c r="Q207" s="280"/>
      <c r="R207" s="443"/>
    </row>
    <row r="208" spans="1:18" s="138" customFormat="1" ht="23.25" customHeight="1">
      <c r="A208" s="215"/>
      <c r="B208" s="230"/>
      <c r="C208" s="213"/>
      <c r="D208" s="367"/>
      <c r="E208" s="368"/>
      <c r="F208" s="369"/>
      <c r="G208" s="370">
        <f>SUM(G204:G207)</f>
        <v>389</v>
      </c>
      <c r="H208" s="371">
        <f>SUM(H204:H207)</f>
        <v>549.26880000000006</v>
      </c>
      <c r="I208" s="669">
        <f>H208+I203</f>
        <v>9372.2296999999999</v>
      </c>
      <c r="J208" s="670"/>
      <c r="K208" s="236"/>
      <c r="L208" s="237"/>
      <c r="M208" s="238"/>
      <c r="N208" s="239">
        <f>SUM(N204:N206)</f>
        <v>364</v>
      </c>
      <c r="O208" s="240">
        <f>SUM(O204:O207)</f>
        <v>537.27780000000007</v>
      </c>
      <c r="P208" s="701">
        <f>O208+P203</f>
        <v>9159.9742999999999</v>
      </c>
      <c r="Q208" s="702"/>
      <c r="R208" s="231"/>
    </row>
    <row r="209" spans="1:18" s="138" customFormat="1" ht="23.25" customHeight="1">
      <c r="A209" s="269" t="s">
        <v>287</v>
      </c>
      <c r="B209" s="219"/>
      <c r="C209" s="220" t="s">
        <v>170</v>
      </c>
      <c r="D209" s="264" t="s">
        <v>280</v>
      </c>
      <c r="E209" s="262"/>
      <c r="F209" s="255" t="s">
        <v>281</v>
      </c>
      <c r="G209" s="229">
        <f>29</f>
        <v>29</v>
      </c>
      <c r="H209" s="233">
        <f>1.3242*G209</f>
        <v>38.401800000000001</v>
      </c>
      <c r="I209" s="440"/>
      <c r="J209" s="441"/>
      <c r="K209" s="264" t="s">
        <v>280</v>
      </c>
      <c r="L209" s="262"/>
      <c r="M209" s="255" t="s">
        <v>281</v>
      </c>
      <c r="N209" s="229">
        <v>124</v>
      </c>
      <c r="O209" s="233">
        <f>1.3242*N209</f>
        <v>164.20080000000002</v>
      </c>
      <c r="P209" s="223"/>
      <c r="Q209" s="224"/>
      <c r="R209" s="225"/>
    </row>
    <row r="210" spans="1:18" s="138" customFormat="1" ht="23.25" customHeight="1">
      <c r="A210" s="552"/>
      <c r="B210" s="230"/>
      <c r="C210" s="213"/>
      <c r="D210" s="344" t="s">
        <v>285</v>
      </c>
      <c r="E210" s="345"/>
      <c r="F210" s="346" t="s">
        <v>284</v>
      </c>
      <c r="G210" s="347">
        <f>15+14+15+15+15+16+15+15</f>
        <v>120</v>
      </c>
      <c r="H210" s="348">
        <f>1.5312*G210</f>
        <v>183.744</v>
      </c>
      <c r="I210" s="669"/>
      <c r="J210" s="670"/>
      <c r="K210" s="344" t="s">
        <v>285</v>
      </c>
      <c r="L210" s="345"/>
      <c r="M210" s="346" t="s">
        <v>284</v>
      </c>
      <c r="N210" s="347">
        <v>13</v>
      </c>
      <c r="O210" s="348">
        <f>1.5312*N210</f>
        <v>19.9056</v>
      </c>
      <c r="P210" s="349"/>
      <c r="Q210" s="350"/>
      <c r="R210" s="231"/>
    </row>
    <row r="211" spans="1:18" s="138" customFormat="1" ht="23.25" customHeight="1">
      <c r="A211" s="226"/>
      <c r="B211" s="318"/>
      <c r="C211" s="220" t="s">
        <v>26</v>
      </c>
      <c r="D211" s="364" t="s">
        <v>285</v>
      </c>
      <c r="E211" s="365"/>
      <c r="F211" s="256" t="s">
        <v>284</v>
      </c>
      <c r="G211" s="366">
        <f>20+13+10+15+30+15+10+15+20+15+30</f>
        <v>193</v>
      </c>
      <c r="H211" s="253">
        <f>1.5312*G211</f>
        <v>295.52159999999998</v>
      </c>
      <c r="I211" s="221"/>
      <c r="J211" s="222"/>
      <c r="K211" s="364" t="s">
        <v>285</v>
      </c>
      <c r="L211" s="365"/>
      <c r="M211" s="256" t="s">
        <v>284</v>
      </c>
      <c r="N211" s="366">
        <v>200</v>
      </c>
      <c r="O211" s="253">
        <f>1.5312*N211</f>
        <v>306.23999999999995</v>
      </c>
      <c r="P211" s="223"/>
      <c r="Q211" s="224"/>
      <c r="R211" s="225"/>
    </row>
    <row r="212" spans="1:18" s="138" customFormat="1" ht="23.25" customHeight="1">
      <c r="A212" s="437"/>
      <c r="B212" s="438"/>
      <c r="C212" s="439"/>
      <c r="D212" s="264"/>
      <c r="E212" s="262"/>
      <c r="F212" s="255"/>
      <c r="G212" s="229"/>
      <c r="H212" s="233"/>
      <c r="I212" s="440"/>
      <c r="J212" s="441"/>
      <c r="K212" s="264"/>
      <c r="L212" s="262"/>
      <c r="M212" s="255"/>
      <c r="N212" s="229"/>
      <c r="O212" s="233"/>
      <c r="P212" s="442"/>
      <c r="Q212" s="280"/>
      <c r="R212" s="443"/>
    </row>
    <row r="213" spans="1:18" s="138" customFormat="1" ht="23.25" customHeight="1">
      <c r="A213" s="215"/>
      <c r="B213" s="230"/>
      <c r="C213" s="213"/>
      <c r="D213" s="367"/>
      <c r="E213" s="368"/>
      <c r="F213" s="369"/>
      <c r="G213" s="370">
        <f>SUM(G209:G212)</f>
        <v>342</v>
      </c>
      <c r="H213" s="371">
        <f>SUM(H209:H212)</f>
        <v>517.66740000000004</v>
      </c>
      <c r="I213" s="669">
        <f>H213+I208</f>
        <v>9889.8971000000001</v>
      </c>
      <c r="J213" s="670"/>
      <c r="K213" s="236"/>
      <c r="L213" s="237"/>
      <c r="M213" s="238"/>
      <c r="N213" s="239">
        <f>SUM(N209:N211)</f>
        <v>337</v>
      </c>
      <c r="O213" s="240">
        <f>SUM(O209:O212)</f>
        <v>490.34639999999996</v>
      </c>
      <c r="P213" s="701">
        <f>O213+P208</f>
        <v>9650.3207000000002</v>
      </c>
      <c r="Q213" s="702"/>
      <c r="R213" s="231"/>
    </row>
    <row r="214" spans="1:18" s="138" customFormat="1" ht="17.25" customHeight="1">
      <c r="A214" s="269" t="s">
        <v>288</v>
      </c>
      <c r="B214" s="219"/>
      <c r="C214" s="220" t="s">
        <v>23</v>
      </c>
      <c r="D214" s="364" t="s">
        <v>285</v>
      </c>
      <c r="E214" s="365"/>
      <c r="F214" s="256" t="s">
        <v>284</v>
      </c>
      <c r="G214" s="366">
        <f>9+15+15+14+15+15+15+15+15+15+15+15+9</f>
        <v>182</v>
      </c>
      <c r="H214" s="253">
        <f>1.5312*G214</f>
        <v>278.67839999999995</v>
      </c>
      <c r="I214" s="440"/>
      <c r="J214" s="441"/>
      <c r="K214" s="364" t="s">
        <v>285</v>
      </c>
      <c r="L214" s="365"/>
      <c r="M214" s="256" t="s">
        <v>284</v>
      </c>
      <c r="N214" s="366">
        <v>173</v>
      </c>
      <c r="O214" s="253">
        <f>1.5312*N214</f>
        <v>264.89759999999995</v>
      </c>
      <c r="P214" s="223"/>
      <c r="Q214" s="224"/>
      <c r="R214" s="225"/>
    </row>
    <row r="215" spans="1:18" s="138" customFormat="1" ht="17.25" customHeight="1">
      <c r="A215" s="552"/>
      <c r="B215" s="230"/>
      <c r="C215" s="213"/>
      <c r="D215" s="344"/>
      <c r="E215" s="345"/>
      <c r="F215" s="346"/>
      <c r="G215" s="347"/>
      <c r="H215" s="348"/>
      <c r="I215" s="669"/>
      <c r="J215" s="670"/>
      <c r="K215" s="344"/>
      <c r="L215" s="345"/>
      <c r="M215" s="346"/>
      <c r="N215" s="347"/>
      <c r="O215" s="348"/>
      <c r="P215" s="349"/>
      <c r="Q215" s="350"/>
      <c r="R215" s="231"/>
    </row>
    <row r="216" spans="1:18" s="138" customFormat="1" ht="15.75" customHeight="1">
      <c r="A216" s="226"/>
      <c r="B216" s="318"/>
      <c r="C216" s="220" t="s">
        <v>170</v>
      </c>
      <c r="D216" s="364" t="s">
        <v>285</v>
      </c>
      <c r="E216" s="365"/>
      <c r="F216" s="256" t="s">
        <v>284</v>
      </c>
      <c r="G216" s="366">
        <f>10+20+24+19+22+20+20+20+30</f>
        <v>185</v>
      </c>
      <c r="H216" s="253">
        <f>1.5312*G216</f>
        <v>283.27199999999999</v>
      </c>
      <c r="I216" s="221"/>
      <c r="J216" s="222"/>
      <c r="K216" s="364" t="s">
        <v>285</v>
      </c>
      <c r="L216" s="365"/>
      <c r="M216" s="256" t="s">
        <v>284</v>
      </c>
      <c r="N216" s="366">
        <v>227</v>
      </c>
      <c r="O216" s="253">
        <f>1.5312*N216</f>
        <v>347.58239999999995</v>
      </c>
      <c r="P216" s="223"/>
      <c r="Q216" s="224"/>
      <c r="R216" s="225"/>
    </row>
    <row r="217" spans="1:18" s="138" customFormat="1" ht="17.25" customHeight="1">
      <c r="A217" s="437"/>
      <c r="B217" s="438"/>
      <c r="C217" s="439"/>
      <c r="D217" s="264"/>
      <c r="E217" s="262"/>
      <c r="F217" s="255"/>
      <c r="G217" s="229"/>
      <c r="H217" s="233"/>
      <c r="I217" s="440"/>
      <c r="J217" s="441"/>
      <c r="K217" s="264"/>
      <c r="L217" s="262"/>
      <c r="M217" s="255"/>
      <c r="N217" s="229"/>
      <c r="O217" s="233"/>
      <c r="P217" s="442"/>
      <c r="Q217" s="280"/>
      <c r="R217" s="443"/>
    </row>
    <row r="218" spans="1:18" s="138" customFormat="1" ht="18.75" customHeight="1">
      <c r="A218" s="215"/>
      <c r="B218" s="230"/>
      <c r="C218" s="213"/>
      <c r="D218" s="367"/>
      <c r="E218" s="368"/>
      <c r="F218" s="369"/>
      <c r="G218" s="370">
        <f>SUM(G214:G217)</f>
        <v>367</v>
      </c>
      <c r="H218" s="371">
        <f>SUM(H214:H217)</f>
        <v>561.95039999999995</v>
      </c>
      <c r="I218" s="669">
        <f>H218+I213</f>
        <v>10451.8475</v>
      </c>
      <c r="J218" s="670"/>
      <c r="K218" s="236"/>
      <c r="L218" s="237"/>
      <c r="M218" s="238"/>
      <c r="N218" s="239">
        <f>SUM(N214:N216)</f>
        <v>400</v>
      </c>
      <c r="O218" s="240">
        <f>SUM(O214:O217)</f>
        <v>612.4799999999999</v>
      </c>
      <c r="P218" s="701">
        <f>O218+P213</f>
        <v>10262.8007</v>
      </c>
      <c r="Q218" s="702"/>
      <c r="R218" s="231"/>
    </row>
    <row r="219" spans="1:18" s="138" customFormat="1" ht="18.75" customHeight="1">
      <c r="A219" s="269" t="s">
        <v>290</v>
      </c>
      <c r="B219" s="219"/>
      <c r="C219" s="220" t="s">
        <v>23</v>
      </c>
      <c r="D219" s="364" t="s">
        <v>285</v>
      </c>
      <c r="E219" s="365"/>
      <c r="F219" s="256" t="s">
        <v>284</v>
      </c>
      <c r="G219" s="366">
        <f>24+25+35+35+14+14+13+14+15+15+15+15+15+15</f>
        <v>264</v>
      </c>
      <c r="H219" s="253">
        <f>1.5312*G219</f>
        <v>404.23679999999996</v>
      </c>
      <c r="I219" s="440"/>
      <c r="J219" s="441"/>
      <c r="K219" s="364" t="s">
        <v>285</v>
      </c>
      <c r="L219" s="365"/>
      <c r="M219" s="256" t="s">
        <v>284</v>
      </c>
      <c r="N219" s="366">
        <v>247</v>
      </c>
      <c r="O219" s="253">
        <f>1.5312*N219</f>
        <v>378.20639999999997</v>
      </c>
      <c r="P219" s="223"/>
      <c r="Q219" s="224"/>
      <c r="R219" s="225"/>
    </row>
    <row r="220" spans="1:18" s="138" customFormat="1" ht="18.75" customHeight="1">
      <c r="A220" s="552"/>
      <c r="B220" s="230"/>
      <c r="C220" s="213"/>
      <c r="D220" s="344"/>
      <c r="E220" s="345"/>
      <c r="F220" s="346"/>
      <c r="G220" s="347"/>
      <c r="H220" s="348"/>
      <c r="I220" s="669"/>
      <c r="J220" s="670"/>
      <c r="K220" s="344"/>
      <c r="L220" s="345"/>
      <c r="M220" s="346"/>
      <c r="N220" s="347"/>
      <c r="O220" s="348"/>
      <c r="P220" s="349"/>
      <c r="Q220" s="350"/>
      <c r="R220" s="231"/>
    </row>
    <row r="221" spans="1:18" s="138" customFormat="1" ht="18.75" customHeight="1">
      <c r="A221" s="226"/>
      <c r="B221" s="318"/>
      <c r="C221" s="220" t="s">
        <v>170</v>
      </c>
      <c r="D221" s="364" t="s">
        <v>285</v>
      </c>
      <c r="E221" s="365"/>
      <c r="F221" s="256" t="s">
        <v>284</v>
      </c>
      <c r="G221" s="366">
        <f>30+16+15*5+16+16+17+16+17+16+16</f>
        <v>235</v>
      </c>
      <c r="H221" s="253">
        <f>1.5312*G221</f>
        <v>359.83199999999999</v>
      </c>
      <c r="I221" s="570">
        <v>167</v>
      </c>
      <c r="J221" s="222"/>
      <c r="K221" s="364" t="s">
        <v>285</v>
      </c>
      <c r="L221" s="365"/>
      <c r="M221" s="256" t="s">
        <v>284</v>
      </c>
      <c r="N221" s="366">
        <v>245</v>
      </c>
      <c r="O221" s="253">
        <f>1.5312*N221</f>
        <v>375.14399999999995</v>
      </c>
      <c r="P221" s="223"/>
      <c r="Q221" s="224"/>
      <c r="R221" s="225"/>
    </row>
    <row r="222" spans="1:18" s="138" customFormat="1" ht="18.75" customHeight="1">
      <c r="A222" s="437"/>
      <c r="B222" s="438"/>
      <c r="C222" s="439"/>
      <c r="D222" s="264"/>
      <c r="E222" s="262"/>
      <c r="F222" s="255"/>
      <c r="G222" s="229"/>
      <c r="H222" s="233"/>
      <c r="I222" s="440"/>
      <c r="J222" s="441"/>
      <c r="K222" s="264"/>
      <c r="L222" s="262"/>
      <c r="M222" s="255"/>
      <c r="N222" s="229"/>
      <c r="O222" s="233"/>
      <c r="P222" s="442"/>
      <c r="Q222" s="280"/>
      <c r="R222" s="443"/>
    </row>
    <row r="223" spans="1:18" s="138" customFormat="1" ht="18.75" customHeight="1">
      <c r="A223" s="215"/>
      <c r="B223" s="230"/>
      <c r="C223" s="213"/>
      <c r="D223" s="367"/>
      <c r="E223" s="368"/>
      <c r="F223" s="369"/>
      <c r="G223" s="370">
        <f>SUM(G219:G222)</f>
        <v>499</v>
      </c>
      <c r="H223" s="371">
        <f>SUM(H219:H222)</f>
        <v>764.06880000000001</v>
      </c>
      <c r="I223" s="669">
        <f>H223+I218</f>
        <v>11215.916300000001</v>
      </c>
      <c r="J223" s="670"/>
      <c r="K223" s="236"/>
      <c r="L223" s="237"/>
      <c r="M223" s="238"/>
      <c r="N223" s="239">
        <f>SUM(N219:N221)</f>
        <v>492</v>
      </c>
      <c r="O223" s="240">
        <f>SUM(O219:O222)</f>
        <v>753.35039999999992</v>
      </c>
      <c r="P223" s="738">
        <f>O223+P218</f>
        <v>11016.151099999999</v>
      </c>
      <c r="Q223" s="739"/>
      <c r="R223" s="740"/>
    </row>
    <row r="224" spans="1:18" s="138" customFormat="1" ht="18.75" customHeight="1">
      <c r="A224" s="269" t="s">
        <v>291</v>
      </c>
      <c r="B224" s="219"/>
      <c r="C224" s="220" t="s">
        <v>26</v>
      </c>
      <c r="D224" s="364" t="s">
        <v>285</v>
      </c>
      <c r="E224" s="365"/>
      <c r="F224" s="256" t="s">
        <v>284</v>
      </c>
      <c r="G224" s="366">
        <f>20+10+15+15+15+15+15+15+14+15+15+15+10</f>
        <v>189</v>
      </c>
      <c r="H224" s="253">
        <f>1.5312*G224</f>
        <v>289.39679999999998</v>
      </c>
      <c r="I224" s="440"/>
      <c r="J224" s="441"/>
      <c r="K224" s="364" t="s">
        <v>285</v>
      </c>
      <c r="L224" s="365"/>
      <c r="M224" s="256" t="s">
        <v>284</v>
      </c>
      <c r="N224" s="366">
        <v>262</v>
      </c>
      <c r="O224" s="253">
        <f>1.5312*N224</f>
        <v>401.17439999999999</v>
      </c>
      <c r="P224" s="223"/>
      <c r="Q224" s="224"/>
      <c r="R224" s="225"/>
    </row>
    <row r="225" spans="1:18" s="138" customFormat="1" ht="18.75" customHeight="1">
      <c r="A225" s="552"/>
      <c r="B225" s="230"/>
      <c r="C225" s="213"/>
      <c r="D225" s="344" t="s">
        <v>280</v>
      </c>
      <c r="E225" s="345"/>
      <c r="F225" s="346" t="s">
        <v>281</v>
      </c>
      <c r="G225" s="347">
        <f>20+16+17+18</f>
        <v>71</v>
      </c>
      <c r="H225" s="348">
        <f>1.3242*G225</f>
        <v>94.018200000000007</v>
      </c>
      <c r="I225" s="669"/>
      <c r="J225" s="670"/>
      <c r="K225" s="344"/>
      <c r="L225" s="345"/>
      <c r="M225" s="346"/>
      <c r="N225" s="347"/>
      <c r="O225" s="348"/>
      <c r="P225" s="349"/>
      <c r="Q225" s="350"/>
      <c r="R225" s="231"/>
    </row>
    <row r="226" spans="1:18" s="138" customFormat="1" ht="18.75" customHeight="1">
      <c r="A226" s="226"/>
      <c r="B226" s="318"/>
      <c r="C226" s="220" t="s">
        <v>23</v>
      </c>
      <c r="D226" s="264" t="s">
        <v>280</v>
      </c>
      <c r="E226" s="262"/>
      <c r="F226" s="255" t="s">
        <v>281</v>
      </c>
      <c r="G226" s="229">
        <f>15*3+19+16+16+13+17+18+17+10+10</f>
        <v>181</v>
      </c>
      <c r="H226" s="233">
        <f>1.3242*G226</f>
        <v>239.68020000000001</v>
      </c>
      <c r="I226" s="221"/>
      <c r="J226" s="222"/>
      <c r="K226" s="264" t="s">
        <v>280</v>
      </c>
      <c r="L226" s="262"/>
      <c r="M226" s="255" t="s">
        <v>281</v>
      </c>
      <c r="N226" s="463">
        <f>351/2</f>
        <v>175.5</v>
      </c>
      <c r="O226" s="233">
        <f>1.3242*N226</f>
        <v>232.39709999999999</v>
      </c>
      <c r="P226" s="223"/>
      <c r="Q226" s="224"/>
      <c r="R226" s="225"/>
    </row>
    <row r="227" spans="1:18" s="138" customFormat="1" ht="18.75" customHeight="1">
      <c r="A227" s="437"/>
      <c r="B227" s="438"/>
      <c r="C227" s="439"/>
      <c r="D227" s="264"/>
      <c r="E227" s="262"/>
      <c r="F227" s="255"/>
      <c r="G227" s="229"/>
      <c r="H227" s="233"/>
      <c r="I227" s="440"/>
      <c r="J227" s="441"/>
      <c r="K227" s="264"/>
      <c r="L227" s="262"/>
      <c r="M227" s="255"/>
      <c r="N227" s="229"/>
      <c r="O227" s="233"/>
      <c r="P227" s="442"/>
      <c r="Q227" s="280"/>
      <c r="R227" s="443"/>
    </row>
    <row r="228" spans="1:18" s="138" customFormat="1" ht="18.75" customHeight="1">
      <c r="A228" s="215"/>
      <c r="B228" s="230"/>
      <c r="C228" s="213"/>
      <c r="D228" s="367"/>
      <c r="E228" s="368"/>
      <c r="F228" s="369"/>
      <c r="G228" s="370">
        <f>SUM(G224:G227)</f>
        <v>441</v>
      </c>
      <c r="H228" s="371">
        <f>SUM(H224:H227)</f>
        <v>623.09519999999998</v>
      </c>
      <c r="I228" s="669">
        <f>H228+I223</f>
        <v>11839.011500000001</v>
      </c>
      <c r="J228" s="670"/>
      <c r="K228" s="236"/>
      <c r="L228" s="237"/>
      <c r="M228" s="238"/>
      <c r="N228" s="239">
        <f>SUM(N224:N226)</f>
        <v>437.5</v>
      </c>
      <c r="O228" s="240">
        <f>SUM(O224:O227)</f>
        <v>633.57150000000001</v>
      </c>
      <c r="P228" s="701">
        <f>O228+P223</f>
        <v>11649.722599999999</v>
      </c>
      <c r="Q228" s="702"/>
      <c r="R228" s="231"/>
    </row>
    <row r="229" spans="1:18" s="138" customFormat="1" ht="18.75" customHeight="1">
      <c r="A229" s="269" t="s">
        <v>296</v>
      </c>
      <c r="B229" s="219"/>
      <c r="C229" s="220"/>
      <c r="D229" s="364"/>
      <c r="E229" s="365"/>
      <c r="F229" s="256"/>
      <c r="G229" s="366"/>
      <c r="H229" s="253"/>
      <c r="I229" s="440"/>
      <c r="J229" s="441"/>
      <c r="K229" s="364"/>
      <c r="L229" s="365"/>
      <c r="M229" s="256"/>
      <c r="N229" s="366"/>
      <c r="O229" s="253"/>
      <c r="P229" s="223"/>
      <c r="Q229" s="224"/>
      <c r="R229" s="225"/>
    </row>
    <row r="230" spans="1:18" s="138" customFormat="1" ht="18.75" customHeight="1">
      <c r="A230" s="552"/>
      <c r="B230" s="230"/>
      <c r="C230" s="213"/>
      <c r="D230" s="344"/>
      <c r="E230" s="345"/>
      <c r="F230" s="346"/>
      <c r="G230" s="347"/>
      <c r="H230" s="348"/>
      <c r="I230" s="669"/>
      <c r="J230" s="670"/>
      <c r="K230" s="344"/>
      <c r="L230" s="345"/>
      <c r="M230" s="346"/>
      <c r="N230" s="347"/>
      <c r="O230" s="348"/>
      <c r="P230" s="349"/>
      <c r="Q230" s="350"/>
      <c r="R230" s="231"/>
    </row>
    <row r="231" spans="1:18" s="138" customFormat="1" ht="18.75" customHeight="1">
      <c r="A231" s="226"/>
      <c r="B231" s="318"/>
      <c r="C231" s="220" t="s">
        <v>26</v>
      </c>
      <c r="D231" s="264" t="s">
        <v>280</v>
      </c>
      <c r="E231" s="262"/>
      <c r="F231" s="255" t="s">
        <v>281</v>
      </c>
      <c r="G231" s="229">
        <f>26+17+21+22+21+25+25+21+26</f>
        <v>204</v>
      </c>
      <c r="H231" s="233">
        <f>1.3246*G231</f>
        <v>270.21839999999997</v>
      </c>
      <c r="I231" s="221"/>
      <c r="J231" s="222"/>
      <c r="K231" s="264" t="s">
        <v>280</v>
      </c>
      <c r="L231" s="262"/>
      <c r="M231" s="255" t="s">
        <v>281</v>
      </c>
      <c r="N231" s="463">
        <f>357/2</f>
        <v>178.5</v>
      </c>
      <c r="O231" s="233">
        <f>1.3246*N231</f>
        <v>236.44110000000001</v>
      </c>
      <c r="P231" s="223"/>
      <c r="Q231" s="224"/>
      <c r="R231" s="225"/>
    </row>
    <row r="232" spans="1:18" s="138" customFormat="1" ht="18.75" customHeight="1">
      <c r="A232" s="437"/>
      <c r="B232" s="438"/>
      <c r="C232" s="439"/>
      <c r="D232" s="264"/>
      <c r="E232" s="262"/>
      <c r="F232" s="255"/>
      <c r="G232" s="229"/>
      <c r="H232" s="233"/>
      <c r="I232" s="440"/>
      <c r="J232" s="441"/>
      <c r="K232" s="264"/>
      <c r="L232" s="262"/>
      <c r="M232" s="255"/>
      <c r="N232" s="229"/>
      <c r="O232" s="233"/>
      <c r="P232" s="442"/>
      <c r="Q232" s="280"/>
      <c r="R232" s="443"/>
    </row>
    <row r="233" spans="1:18" s="138" customFormat="1" ht="18.75" customHeight="1">
      <c r="A233" s="215"/>
      <c r="B233" s="230"/>
      <c r="C233" s="213"/>
      <c r="D233" s="367"/>
      <c r="E233" s="368"/>
      <c r="F233" s="369"/>
      <c r="G233" s="370">
        <f>SUM(G229:G232)</f>
        <v>204</v>
      </c>
      <c r="H233" s="371">
        <f>SUM(H229:H232)</f>
        <v>270.21839999999997</v>
      </c>
      <c r="I233" s="669">
        <f>H233+I228</f>
        <v>12109.2299</v>
      </c>
      <c r="J233" s="670"/>
      <c r="K233" s="236"/>
      <c r="L233" s="237"/>
      <c r="M233" s="238"/>
      <c r="N233" s="239">
        <f>SUM(N229:N231)</f>
        <v>178.5</v>
      </c>
      <c r="O233" s="240">
        <f>SUM(O229:O232)</f>
        <v>236.44110000000001</v>
      </c>
      <c r="P233" s="701">
        <f>O233+P228</f>
        <v>11886.163699999999</v>
      </c>
      <c r="Q233" s="702"/>
      <c r="R233" s="231"/>
    </row>
    <row r="234" spans="1:18" s="138" customFormat="1" ht="18.75" customHeight="1">
      <c r="A234" s="269" t="s">
        <v>297</v>
      </c>
      <c r="B234" s="219"/>
      <c r="C234" s="220" t="s">
        <v>170</v>
      </c>
      <c r="D234" s="264" t="s">
        <v>280</v>
      </c>
      <c r="E234" s="262"/>
      <c r="F234" s="255" t="s">
        <v>281</v>
      </c>
      <c r="G234" s="229">
        <f>23+21+21+19+26</f>
        <v>110</v>
      </c>
      <c r="H234" s="233">
        <f>1.3246*G234</f>
        <v>145.70599999999999</v>
      </c>
      <c r="I234" s="440"/>
      <c r="J234" s="441"/>
      <c r="K234" s="264" t="s">
        <v>280</v>
      </c>
      <c r="L234" s="262"/>
      <c r="M234" s="255" t="s">
        <v>281</v>
      </c>
      <c r="N234" s="463">
        <f>427/2</f>
        <v>213.5</v>
      </c>
      <c r="O234" s="233">
        <f>1.3246*N234</f>
        <v>282.8021</v>
      </c>
      <c r="P234" s="223"/>
      <c r="Q234" s="224"/>
      <c r="R234" s="225"/>
    </row>
    <row r="235" spans="1:18" s="138" customFormat="1" ht="18.75" customHeight="1">
      <c r="A235" s="552"/>
      <c r="B235" s="230"/>
      <c r="C235" s="213"/>
      <c r="D235" s="344" t="s">
        <v>298</v>
      </c>
      <c r="E235" s="345"/>
      <c r="F235" s="346" t="s">
        <v>299</v>
      </c>
      <c r="G235" s="347">
        <f>30+43+29+18+13+53</f>
        <v>186</v>
      </c>
      <c r="H235" s="348">
        <f>0.7337*G235</f>
        <v>136.4682</v>
      </c>
      <c r="I235" s="669"/>
      <c r="J235" s="670"/>
      <c r="K235" s="344" t="s">
        <v>298</v>
      </c>
      <c r="L235" s="345"/>
      <c r="M235" s="346" t="s">
        <v>299</v>
      </c>
      <c r="N235" s="347">
        <v>7</v>
      </c>
      <c r="O235" s="348">
        <f>0.7337*N235</f>
        <v>5.1359000000000004</v>
      </c>
      <c r="P235" s="349"/>
      <c r="Q235" s="350"/>
      <c r="R235" s="231"/>
    </row>
    <row r="236" spans="1:18" s="138" customFormat="1" ht="18.75" customHeight="1">
      <c r="A236" s="226"/>
      <c r="B236" s="318"/>
      <c r="C236" s="220" t="s">
        <v>26</v>
      </c>
      <c r="D236" s="264" t="s">
        <v>280</v>
      </c>
      <c r="E236" s="262"/>
      <c r="F236" s="255" t="s">
        <v>281</v>
      </c>
      <c r="G236" s="229">
        <f>23+23+29+27+20+23</f>
        <v>145</v>
      </c>
      <c r="H236" s="233">
        <f>1.3246*G236</f>
        <v>192.06700000000001</v>
      </c>
      <c r="I236" s="221"/>
      <c r="J236" s="222"/>
      <c r="K236" s="264" t="s">
        <v>280</v>
      </c>
      <c r="L236" s="262"/>
      <c r="M236" s="255" t="s">
        <v>281</v>
      </c>
      <c r="N236" s="463">
        <f>118/2</f>
        <v>59</v>
      </c>
      <c r="O236" s="233">
        <f>1.3246*N236</f>
        <v>78.151399999999995</v>
      </c>
      <c r="P236" s="223"/>
      <c r="Q236" s="224"/>
      <c r="R236" s="225"/>
    </row>
    <row r="237" spans="1:18" s="138" customFormat="1" ht="18.75" customHeight="1">
      <c r="A237" s="437"/>
      <c r="B237" s="438"/>
      <c r="C237" s="439"/>
      <c r="D237" s="264"/>
      <c r="E237" s="262"/>
      <c r="F237" s="255"/>
      <c r="G237" s="229"/>
      <c r="H237" s="233"/>
      <c r="I237" s="440"/>
      <c r="J237" s="441"/>
      <c r="K237" s="344" t="s">
        <v>298</v>
      </c>
      <c r="L237" s="345"/>
      <c r="M237" s="346" t="s">
        <v>299</v>
      </c>
      <c r="N237" s="347">
        <v>173</v>
      </c>
      <c r="O237" s="348">
        <f>0.7337*N237</f>
        <v>126.93010000000001</v>
      </c>
      <c r="P237" s="442"/>
      <c r="Q237" s="280"/>
      <c r="R237" s="443"/>
    </row>
    <row r="238" spans="1:18" s="138" customFormat="1" ht="18.75" customHeight="1">
      <c r="A238" s="215"/>
      <c r="B238" s="230"/>
      <c r="C238" s="213"/>
      <c r="D238" s="367"/>
      <c r="E238" s="368"/>
      <c r="F238" s="369"/>
      <c r="G238" s="370">
        <f>SUM(G234:G237)</f>
        <v>441</v>
      </c>
      <c r="H238" s="371">
        <f>SUM(H234:H237)</f>
        <v>474.24119999999999</v>
      </c>
      <c r="I238" s="669">
        <f>H238+I233</f>
        <v>12583.471100000001</v>
      </c>
      <c r="J238" s="670"/>
      <c r="K238" s="236"/>
      <c r="L238" s="237"/>
      <c r="M238" s="238"/>
      <c r="N238" s="239">
        <f>SUM(N234:N236)</f>
        <v>279.5</v>
      </c>
      <c r="O238" s="240">
        <f>SUM(O234:O237)</f>
        <v>493.01949999999999</v>
      </c>
      <c r="P238" s="575">
        <f>O238+P233</f>
        <v>12379.183199999999</v>
      </c>
      <c r="Q238" s="575"/>
      <c r="R238" s="575"/>
    </row>
    <row r="239" spans="1:18" s="138" customFormat="1" ht="18.75" customHeight="1">
      <c r="A239" s="269" t="s">
        <v>301</v>
      </c>
      <c r="B239" s="219"/>
      <c r="C239" s="220" t="s">
        <v>23</v>
      </c>
      <c r="D239" s="264" t="s">
        <v>280</v>
      </c>
      <c r="E239" s="262"/>
      <c r="F239" s="255" t="s">
        <v>281</v>
      </c>
      <c r="G239" s="229">
        <f>19+20+19+23+20+21+20+21</f>
        <v>163</v>
      </c>
      <c r="H239" s="233">
        <f>1.3246*G239</f>
        <v>215.90979999999999</v>
      </c>
      <c r="I239" s="440"/>
      <c r="J239" s="441"/>
      <c r="K239" s="264" t="s">
        <v>280</v>
      </c>
      <c r="L239" s="262"/>
      <c r="M239" s="255" t="s">
        <v>281</v>
      </c>
      <c r="N239" s="463">
        <f>445/2</f>
        <v>222.5</v>
      </c>
      <c r="O239" s="233">
        <f>1.3246*N239</f>
        <v>294.7235</v>
      </c>
      <c r="P239" s="223"/>
      <c r="Q239" s="224"/>
      <c r="R239" s="225"/>
    </row>
    <row r="240" spans="1:18" s="138" customFormat="1" ht="18.75" customHeight="1">
      <c r="A240" s="552"/>
      <c r="B240" s="230"/>
      <c r="C240" s="213"/>
      <c r="D240" s="344" t="s">
        <v>302</v>
      </c>
      <c r="E240" s="345"/>
      <c r="F240" s="346" t="s">
        <v>303</v>
      </c>
      <c r="G240" s="347">
        <f>76</f>
        <v>76</v>
      </c>
      <c r="H240" s="348">
        <f>1.0168*G240</f>
        <v>77.276799999999994</v>
      </c>
      <c r="I240" s="669"/>
      <c r="J240" s="670"/>
      <c r="K240" s="344"/>
      <c r="L240" s="345"/>
      <c r="M240" s="346"/>
      <c r="N240" s="347"/>
      <c r="O240" s="348"/>
      <c r="P240" s="349"/>
      <c r="Q240" s="350"/>
      <c r="R240" s="231"/>
    </row>
    <row r="241" spans="1:18" s="138" customFormat="1" ht="18.75" customHeight="1">
      <c r="A241" s="226"/>
      <c r="B241" s="318"/>
      <c r="C241" s="220" t="s">
        <v>170</v>
      </c>
      <c r="D241" s="546" t="s">
        <v>304</v>
      </c>
      <c r="E241" s="547"/>
      <c r="F241" s="548" t="s">
        <v>284</v>
      </c>
      <c r="G241" s="549">
        <v>61</v>
      </c>
      <c r="H241" s="263">
        <f>1.53474*G241</f>
        <v>93.619140000000002</v>
      </c>
      <c r="I241" s="221"/>
      <c r="J241" s="222"/>
      <c r="K241" s="264"/>
      <c r="L241" s="262"/>
      <c r="M241" s="255"/>
      <c r="N241" s="463"/>
      <c r="O241" s="233"/>
      <c r="P241" s="223"/>
      <c r="Q241" s="224"/>
      <c r="R241" s="225"/>
    </row>
    <row r="242" spans="1:18" s="138" customFormat="1" ht="18.75" customHeight="1">
      <c r="A242" s="352"/>
      <c r="B242" s="572"/>
      <c r="C242" s="439"/>
      <c r="D242" s="417" t="s">
        <v>302</v>
      </c>
      <c r="E242" s="418"/>
      <c r="F242" s="419" t="s">
        <v>303</v>
      </c>
      <c r="G242" s="409">
        <v>24</v>
      </c>
      <c r="H242" s="408">
        <f>1.0168*G242</f>
        <v>24.403199999999998</v>
      </c>
      <c r="I242" s="440"/>
      <c r="J242" s="441"/>
      <c r="K242" s="504"/>
      <c r="L242" s="447"/>
      <c r="M242" s="448"/>
      <c r="N242" s="573"/>
      <c r="O242" s="450"/>
      <c r="P242" s="442"/>
      <c r="Q242" s="280"/>
      <c r="R242" s="443"/>
    </row>
    <row r="243" spans="1:18" s="138" customFormat="1" ht="18.75" customHeight="1">
      <c r="A243" s="437"/>
      <c r="B243" s="438"/>
      <c r="C243" s="439"/>
      <c r="D243" s="264"/>
      <c r="E243" s="262"/>
      <c r="F243" s="255"/>
      <c r="G243" s="229"/>
      <c r="H243" s="574"/>
      <c r="I243" s="440"/>
      <c r="J243" s="441"/>
      <c r="K243" s="344"/>
      <c r="L243" s="345"/>
      <c r="M243" s="346"/>
      <c r="N243" s="347"/>
      <c r="O243" s="348"/>
      <c r="P243" s="442"/>
      <c r="Q243" s="280"/>
      <c r="R243" s="443"/>
    </row>
    <row r="244" spans="1:18" s="138" customFormat="1" ht="18.75" customHeight="1">
      <c r="A244" s="215"/>
      <c r="B244" s="230"/>
      <c r="C244" s="213"/>
      <c r="D244" s="367"/>
      <c r="E244" s="368"/>
      <c r="F244" s="369"/>
      <c r="G244" s="370">
        <f>SUM(G239:G243)</f>
        <v>324</v>
      </c>
      <c r="H244" s="371">
        <f>SUM(H239:H243)</f>
        <v>411.20893999999998</v>
      </c>
      <c r="I244" s="669">
        <f>H244+I238</f>
        <v>12994.680040000001</v>
      </c>
      <c r="J244" s="670"/>
      <c r="K244" s="236"/>
      <c r="L244" s="237"/>
      <c r="M244" s="238"/>
      <c r="N244" s="239">
        <f>SUM(N239:N241)</f>
        <v>222.5</v>
      </c>
      <c r="O244" s="240">
        <f>SUM(O239:O243)</f>
        <v>294.7235</v>
      </c>
      <c r="P244" s="575">
        <f>O244+P238</f>
        <v>12673.9067</v>
      </c>
      <c r="Q244" s="575"/>
      <c r="R244" s="575"/>
    </row>
    <row r="245" spans="1:18" s="138" customFormat="1" ht="18.75" customHeight="1">
      <c r="A245" s="243"/>
      <c r="B245" s="244"/>
      <c r="C245" s="244"/>
      <c r="D245" s="245"/>
      <c r="E245" s="245"/>
      <c r="F245" s="243"/>
      <c r="G245" s="280"/>
      <c r="H245" s="246"/>
      <c r="I245" s="246"/>
      <c r="J245" s="246"/>
      <c r="K245" s="281"/>
      <c r="L245" s="282"/>
      <c r="M245" s="283"/>
      <c r="N245" s="247"/>
      <c r="O245" s="248"/>
      <c r="P245" s="249"/>
      <c r="Q245" s="249"/>
      <c r="R245" s="250"/>
    </row>
    <row r="246" spans="1:18" s="138" customFormat="1" ht="23.25" customHeight="1">
      <c r="A246" s="243"/>
      <c r="B246" s="244"/>
      <c r="C246" s="244"/>
      <c r="D246" s="283"/>
      <c r="E246" s="659" t="s">
        <v>33</v>
      </c>
      <c r="F246" s="659"/>
      <c r="G246" s="659"/>
      <c r="H246" s="659"/>
      <c r="I246" s="246"/>
      <c r="J246" s="246"/>
      <c r="K246" s="281"/>
      <c r="L246" s="282"/>
      <c r="M246" s="283"/>
      <c r="N246" s="247"/>
      <c r="O246" s="659" t="s">
        <v>34</v>
      </c>
      <c r="P246" s="659"/>
      <c r="Q246" s="659"/>
      <c r="R246" s="659"/>
    </row>
    <row r="247" spans="1:18" s="138" customFormat="1" ht="23.25" customHeight="1">
      <c r="A247" s="243"/>
      <c r="B247" s="244"/>
      <c r="C247" s="244"/>
      <c r="D247" s="283"/>
      <c r="E247" s="245"/>
      <c r="F247" s="337"/>
      <c r="G247" s="337"/>
      <c r="H247" s="337"/>
      <c r="I247" s="246"/>
      <c r="J247" s="246"/>
      <c r="K247" s="281"/>
      <c r="L247" s="571"/>
      <c r="M247" s="283"/>
      <c r="N247" s="247"/>
      <c r="O247" s="248"/>
      <c r="P247" s="337"/>
      <c r="Q247" s="337"/>
      <c r="R247" s="337"/>
    </row>
    <row r="248" spans="1:18" s="138" customFormat="1" ht="23.25" customHeight="1">
      <c r="A248" s="243"/>
      <c r="B248" s="244"/>
      <c r="C248" s="244"/>
      <c r="D248" s="245"/>
      <c r="E248" s="245"/>
      <c r="F248" s="337"/>
      <c r="G248" s="337"/>
      <c r="H248" s="337"/>
      <c r="I248" s="246"/>
      <c r="J248" s="246"/>
      <c r="K248" s="653"/>
      <c r="L248" s="653"/>
      <c r="M248" s="283"/>
      <c r="N248" s="247"/>
      <c r="O248" s="471"/>
      <c r="P248" s="337"/>
      <c r="Q248" s="337"/>
      <c r="R248" s="337"/>
    </row>
    <row r="249" spans="1:18" s="138" customFormat="1" ht="18" customHeight="1">
      <c r="A249" s="243"/>
      <c r="B249" s="244"/>
      <c r="C249" s="244"/>
      <c r="D249" s="251"/>
      <c r="E249" s="703" t="s">
        <v>61</v>
      </c>
      <c r="F249" s="703"/>
      <c r="G249" s="703"/>
      <c r="H249" s="703"/>
      <c r="I249" s="246"/>
      <c r="J249" s="246"/>
      <c r="K249" s="63"/>
      <c r="L249" s="63"/>
      <c r="M249" s="63"/>
      <c r="N249" s="247"/>
      <c r="O249" s="704" t="s">
        <v>28</v>
      </c>
      <c r="P249" s="704"/>
      <c r="Q249" s="704"/>
      <c r="R249" s="704"/>
    </row>
    <row r="250" spans="1:18" s="138" customFormat="1" ht="18" customHeight="1">
      <c r="A250" s="243"/>
      <c r="B250" s="244"/>
      <c r="C250" s="244"/>
      <c r="D250" s="251"/>
      <c r="E250" s="245"/>
      <c r="F250" s="243"/>
      <c r="G250" s="243"/>
      <c r="H250" s="243"/>
      <c r="I250" s="246"/>
      <c r="J250" s="246"/>
      <c r="K250" s="63"/>
      <c r="L250" s="63"/>
      <c r="M250" s="63"/>
      <c r="N250" s="247"/>
      <c r="O250" s="248"/>
      <c r="P250" s="249"/>
      <c r="Q250" s="249"/>
      <c r="R250" s="249"/>
    </row>
    <row r="251" spans="1:18" s="138" customFormat="1" ht="18" customHeight="1">
      <c r="A251" s="243"/>
      <c r="B251" s="244"/>
      <c r="C251" s="244"/>
      <c r="D251" s="251"/>
      <c r="E251" s="245"/>
      <c r="F251" s="243"/>
      <c r="G251" s="243"/>
      <c r="H251" s="243"/>
      <c r="I251" s="246"/>
      <c r="J251" s="246"/>
      <c r="K251" s="63"/>
      <c r="L251" s="63"/>
      <c r="M251" s="63"/>
      <c r="N251" s="247"/>
      <c r="O251" s="248"/>
      <c r="P251" s="249"/>
      <c r="Q251" s="249"/>
      <c r="R251" s="249"/>
    </row>
    <row r="252" spans="1:18" s="138" customFormat="1" ht="18" customHeight="1">
      <c r="A252" s="243"/>
      <c r="B252" s="244"/>
      <c r="C252" s="244"/>
      <c r="D252" s="251"/>
      <c r="E252" s="245"/>
      <c r="F252" s="243"/>
      <c r="G252" s="243"/>
      <c r="H252" s="243"/>
      <c r="I252" s="246"/>
      <c r="J252" s="246"/>
      <c r="K252" s="63"/>
      <c r="L252" s="63"/>
      <c r="M252" s="63"/>
      <c r="N252" s="247"/>
      <c r="O252" s="248"/>
      <c r="P252" s="249"/>
      <c r="Q252" s="249"/>
      <c r="R252" s="249"/>
    </row>
    <row r="253" spans="1:18" s="138" customFormat="1" ht="18" customHeight="1">
      <c r="A253" s="243"/>
      <c r="B253" s="244"/>
      <c r="C253" s="244"/>
      <c r="D253" s="251"/>
      <c r="E253" s="245"/>
      <c r="F253" s="243"/>
      <c r="G253" s="243"/>
      <c r="H253" s="243"/>
      <c r="I253" s="246"/>
      <c r="J253" s="246"/>
      <c r="K253" s="63"/>
      <c r="L253" s="63"/>
      <c r="M253" s="63"/>
      <c r="N253" s="247"/>
      <c r="O253" s="248"/>
      <c r="P253" s="249"/>
      <c r="Q253" s="249"/>
      <c r="R253" s="249"/>
    </row>
    <row r="254" spans="1:18" s="138" customFormat="1" ht="18" customHeight="1">
      <c r="A254" s="243"/>
      <c r="B254" s="244"/>
      <c r="C254" s="244"/>
      <c r="D254" s="251"/>
      <c r="E254" s="245"/>
      <c r="F254" s="243"/>
      <c r="G254" s="243"/>
      <c r="H254" s="243"/>
      <c r="I254" s="246"/>
      <c r="J254" s="246"/>
      <c r="K254" s="63"/>
      <c r="L254" s="63"/>
      <c r="M254" s="63"/>
      <c r="N254" s="247"/>
      <c r="O254" s="248"/>
      <c r="P254" s="249"/>
      <c r="Q254" s="249"/>
      <c r="R254" s="249"/>
    </row>
    <row r="255" spans="1:18" s="138" customFormat="1" ht="18" customHeight="1">
      <c r="A255" s="243"/>
      <c r="B255" s="244"/>
      <c r="C255" s="244"/>
      <c r="D255" s="251"/>
      <c r="E255" s="245"/>
      <c r="F255" s="243"/>
      <c r="G255" s="243"/>
      <c r="H255" s="243"/>
      <c r="I255" s="246"/>
      <c r="J255" s="246"/>
      <c r="K255" s="63"/>
      <c r="L255" s="63"/>
      <c r="M255" s="63"/>
      <c r="N255" s="247"/>
      <c r="O255" s="248"/>
      <c r="P255" s="249"/>
      <c r="Q255" s="249"/>
      <c r="R255" s="249"/>
    </row>
    <row r="256" spans="1:18" s="138" customFormat="1" ht="18" customHeight="1">
      <c r="A256" s="243"/>
      <c r="B256" s="244"/>
      <c r="C256" s="244"/>
      <c r="D256" s="251"/>
      <c r="E256" s="245"/>
      <c r="F256" s="243"/>
      <c r="G256" s="243"/>
      <c r="H256" s="243"/>
      <c r="I256" s="246"/>
      <c r="J256" s="246"/>
      <c r="K256" s="63"/>
      <c r="L256" s="63"/>
      <c r="M256" s="63"/>
      <c r="N256" s="247"/>
      <c r="O256" s="248"/>
      <c r="P256" s="249"/>
      <c r="Q256" s="249"/>
      <c r="R256" s="249"/>
    </row>
    <row r="257" spans="1:18" s="138" customFormat="1" ht="18" customHeight="1">
      <c r="A257" s="243"/>
      <c r="B257" s="244"/>
      <c r="C257" s="244"/>
      <c r="D257" s="251"/>
      <c r="E257" s="245"/>
      <c r="F257" s="243"/>
      <c r="G257" s="243"/>
      <c r="H257" s="243"/>
      <c r="I257" s="246"/>
      <c r="J257" s="246"/>
      <c r="K257" s="63"/>
      <c r="L257" s="63"/>
      <c r="M257" s="63"/>
      <c r="N257" s="247"/>
      <c r="O257" s="248"/>
      <c r="P257" s="249"/>
      <c r="Q257" s="249"/>
      <c r="R257" s="249"/>
    </row>
    <row r="258" spans="1:18" s="138" customFormat="1" ht="18" customHeight="1">
      <c r="A258" s="243"/>
      <c r="B258" s="244"/>
      <c r="C258" s="244"/>
      <c r="D258" s="251"/>
      <c r="E258" s="245"/>
      <c r="F258" s="243"/>
      <c r="G258" s="243"/>
      <c r="H258" s="243"/>
      <c r="I258" s="246"/>
      <c r="J258" s="246"/>
      <c r="K258" s="63"/>
      <c r="L258" s="63"/>
      <c r="M258" s="63"/>
      <c r="N258" s="247"/>
      <c r="O258" s="248"/>
      <c r="P258" s="249"/>
      <c r="Q258" s="249"/>
      <c r="R258" s="249"/>
    </row>
    <row r="259" spans="1:18" s="138" customFormat="1" ht="18" customHeight="1">
      <c r="A259" s="243"/>
      <c r="B259" s="244"/>
      <c r="C259" s="244"/>
      <c r="D259" s="251"/>
      <c r="E259" s="245"/>
      <c r="F259" s="243"/>
      <c r="G259" s="243"/>
      <c r="H259" s="243"/>
      <c r="I259" s="246"/>
      <c r="J259" s="246"/>
      <c r="K259" s="63"/>
      <c r="L259" s="63"/>
      <c r="M259" s="63"/>
      <c r="N259" s="247"/>
      <c r="O259" s="248"/>
      <c r="P259" s="249"/>
      <c r="Q259" s="249"/>
      <c r="R259" s="249"/>
    </row>
    <row r="260" spans="1:18" s="138" customFormat="1" ht="18" customHeight="1">
      <c r="A260" s="243"/>
      <c r="B260" s="244"/>
      <c r="C260" s="244"/>
      <c r="D260" s="251"/>
      <c r="E260" s="245"/>
      <c r="F260" s="243"/>
      <c r="G260" s="243"/>
      <c r="H260" s="243"/>
      <c r="I260" s="246"/>
      <c r="J260" s="246"/>
      <c r="K260" s="63"/>
      <c r="L260" s="63"/>
      <c r="M260" s="63"/>
      <c r="N260" s="247"/>
      <c r="O260" s="248"/>
      <c r="P260" s="249"/>
      <c r="Q260" s="249"/>
      <c r="R260" s="249"/>
    </row>
    <row r="261" spans="1:18" s="138" customFormat="1" ht="18" customHeight="1">
      <c r="A261" s="243"/>
      <c r="B261" s="244"/>
      <c r="C261" s="244"/>
      <c r="D261" s="251"/>
      <c r="E261" s="245"/>
      <c r="F261" s="243"/>
      <c r="G261" s="243"/>
      <c r="H261" s="243"/>
      <c r="I261" s="246"/>
      <c r="J261" s="246"/>
      <c r="K261" s="63"/>
      <c r="L261" s="63"/>
      <c r="M261" s="63"/>
      <c r="N261" s="247"/>
      <c r="O261" s="248"/>
      <c r="P261" s="249"/>
      <c r="Q261" s="249"/>
      <c r="R261" s="249"/>
    </row>
    <row r="262" spans="1:18" s="138" customFormat="1" ht="18" customHeight="1">
      <c r="A262" s="243"/>
      <c r="B262" s="244"/>
      <c r="C262" s="244"/>
      <c r="D262" s="251"/>
      <c r="E262" s="245"/>
      <c r="F262" s="243"/>
      <c r="G262" s="243"/>
      <c r="H262" s="243"/>
      <c r="I262" s="246"/>
      <c r="J262" s="246"/>
      <c r="K262" s="63"/>
      <c r="L262" s="63"/>
      <c r="M262" s="63"/>
      <c r="N262" s="247"/>
      <c r="O262" s="248"/>
      <c r="P262" s="249"/>
      <c r="Q262" s="249"/>
      <c r="R262" s="249"/>
    </row>
    <row r="263" spans="1:18" s="138" customFormat="1" ht="18" customHeight="1">
      <c r="A263" s="243"/>
      <c r="B263" s="244"/>
      <c r="C263" s="244"/>
      <c r="D263" s="251"/>
      <c r="E263" s="245"/>
      <c r="F263" s="243"/>
      <c r="G263" s="243"/>
      <c r="H263" s="243"/>
      <c r="I263" s="246"/>
      <c r="J263" s="246"/>
      <c r="K263" s="63"/>
      <c r="L263" s="63"/>
      <c r="M263" s="63"/>
      <c r="N263" s="247"/>
      <c r="O263" s="248"/>
      <c r="P263" s="249"/>
      <c r="Q263" s="249"/>
      <c r="R263" s="249"/>
    </row>
    <row r="264" spans="1:18" s="138" customFormat="1" ht="18" customHeight="1">
      <c r="A264" s="243"/>
      <c r="B264" s="244"/>
      <c r="C264" s="244"/>
      <c r="D264" s="251"/>
      <c r="E264" s="245"/>
      <c r="F264" s="243"/>
      <c r="G264" s="243"/>
      <c r="H264" s="243"/>
      <c r="I264" s="246"/>
      <c r="J264" s="246"/>
      <c r="K264" s="63"/>
      <c r="L264" s="63"/>
      <c r="M264" s="63"/>
      <c r="N264" s="247"/>
      <c r="O264" s="248"/>
      <c r="P264" s="249"/>
      <c r="Q264" s="249"/>
      <c r="R264" s="249"/>
    </row>
    <row r="265" spans="1:18" s="138" customFormat="1" ht="18" customHeight="1">
      <c r="A265" s="243"/>
      <c r="B265" s="244"/>
      <c r="C265" s="244"/>
      <c r="D265" s="251"/>
      <c r="E265" s="245"/>
      <c r="F265" s="243"/>
      <c r="G265" s="243"/>
      <c r="H265" s="243"/>
      <c r="I265" s="246"/>
      <c r="J265" s="246"/>
      <c r="K265" s="63"/>
      <c r="L265" s="63"/>
      <c r="M265" s="63"/>
      <c r="N265" s="247"/>
      <c r="O265" s="248"/>
      <c r="P265" s="249"/>
      <c r="Q265" s="249"/>
      <c r="R265" s="249"/>
    </row>
    <row r="266" spans="1:18" s="138" customFormat="1" ht="18" customHeight="1">
      <c r="A266" s="243"/>
      <c r="B266" s="244"/>
      <c r="C266" s="244"/>
      <c r="D266" s="251"/>
      <c r="E266" s="245"/>
      <c r="F266" s="243"/>
      <c r="G266" s="243"/>
      <c r="H266" s="243"/>
      <c r="I266" s="246"/>
      <c r="J266" s="246"/>
      <c r="K266" s="63"/>
      <c r="L266" s="63"/>
      <c r="M266" s="63"/>
      <c r="N266" s="247"/>
      <c r="O266" s="248"/>
      <c r="P266" s="249"/>
      <c r="Q266" s="249"/>
      <c r="R266" s="249"/>
    </row>
    <row r="267" spans="1:18" s="138" customFormat="1" ht="18" customHeight="1">
      <c r="A267" s="243"/>
      <c r="B267" s="244"/>
      <c r="C267" s="244"/>
      <c r="D267" s="251"/>
      <c r="E267" s="245"/>
      <c r="F267" s="243"/>
      <c r="G267" s="243"/>
      <c r="H267" s="243"/>
      <c r="I267" s="246"/>
      <c r="J267" s="246"/>
      <c r="K267" s="63"/>
      <c r="L267" s="63"/>
      <c r="M267" s="63"/>
      <c r="N267" s="247"/>
      <c r="O267" s="248"/>
      <c r="P267" s="249"/>
      <c r="Q267" s="249"/>
      <c r="R267" s="249"/>
    </row>
    <row r="268" spans="1:18" s="138" customFormat="1" ht="18" customHeight="1">
      <c r="A268" s="243"/>
      <c r="B268" s="244"/>
      <c r="C268" s="244"/>
      <c r="D268" s="251"/>
      <c r="E268" s="245"/>
      <c r="F268" s="243"/>
      <c r="G268" s="243"/>
      <c r="H268" s="243"/>
      <c r="I268" s="246"/>
      <c r="J268" s="246"/>
      <c r="K268" s="63"/>
      <c r="L268" s="63"/>
      <c r="M268" s="63"/>
      <c r="N268" s="247"/>
      <c r="O268" s="248"/>
      <c r="P268" s="249"/>
      <c r="Q268" s="249"/>
      <c r="R268" s="249"/>
    </row>
    <row r="269" spans="1:18" s="138" customFormat="1" ht="18" customHeight="1">
      <c r="A269" s="243"/>
      <c r="B269" s="244"/>
      <c r="C269" s="244"/>
      <c r="D269" s="251"/>
      <c r="E269" s="245"/>
      <c r="F269" s="243"/>
      <c r="G269" s="243"/>
      <c r="H269" s="243"/>
      <c r="I269" s="246"/>
      <c r="J269" s="246"/>
      <c r="K269" s="63"/>
      <c r="L269" s="63"/>
      <c r="M269" s="63"/>
      <c r="N269" s="247"/>
      <c r="O269" s="248"/>
      <c r="P269" s="249"/>
      <c r="Q269" s="249"/>
      <c r="R269" s="249"/>
    </row>
    <row r="270" spans="1:18" s="138" customFormat="1" ht="18" customHeight="1">
      <c r="A270" s="243"/>
      <c r="B270" s="244"/>
      <c r="C270" s="244"/>
      <c r="D270" s="251"/>
      <c r="E270" s="245"/>
      <c r="F270" s="243"/>
      <c r="G270" s="243"/>
      <c r="H270" s="243"/>
      <c r="I270" s="246"/>
      <c r="J270" s="246"/>
      <c r="K270" s="63"/>
      <c r="L270" s="63"/>
      <c r="M270" s="63"/>
      <c r="N270" s="247"/>
      <c r="O270" s="248"/>
      <c r="P270" s="249"/>
      <c r="Q270" s="249"/>
      <c r="R270" s="249"/>
    </row>
    <row r="271" spans="1:18" s="138" customFormat="1" ht="18" customHeight="1">
      <c r="A271" s="243"/>
      <c r="B271" s="244"/>
      <c r="C271" s="244"/>
      <c r="D271" s="251"/>
      <c r="E271" s="245"/>
      <c r="F271" s="243"/>
      <c r="G271" s="243"/>
      <c r="H271" s="243"/>
      <c r="I271" s="246"/>
      <c r="J271" s="246"/>
      <c r="K271" s="63"/>
      <c r="L271" s="63"/>
      <c r="M271" s="63"/>
      <c r="N271" s="247"/>
      <c r="O271" s="248"/>
      <c r="P271" s="249"/>
      <c r="Q271" s="249"/>
      <c r="R271" s="249"/>
    </row>
    <row r="272" spans="1:18" s="138" customFormat="1" ht="18" customHeight="1">
      <c r="A272" s="243"/>
      <c r="B272" s="244"/>
      <c r="C272" s="244"/>
      <c r="D272" s="245" t="s">
        <v>278</v>
      </c>
      <c r="E272" s="245"/>
      <c r="F272" s="243"/>
      <c r="G272" s="243">
        <f>728.804+567.998</f>
        <v>1296.8020000000001</v>
      </c>
      <c r="H272" s="243"/>
      <c r="I272" s="246"/>
      <c r="J272" s="246"/>
      <c r="K272" s="63"/>
      <c r="L272" s="63"/>
      <c r="M272" s="63"/>
      <c r="N272" s="247"/>
      <c r="O272" s="248"/>
      <c r="P272" s="249"/>
      <c r="Q272" s="249"/>
      <c r="R272" s="249"/>
    </row>
    <row r="273" spans="1:25" s="138" customFormat="1" ht="18" customHeight="1">
      <c r="A273" s="243"/>
      <c r="B273" s="244"/>
      <c r="C273" s="244"/>
      <c r="D273" s="251"/>
      <c r="E273" s="245"/>
      <c r="F273" s="243"/>
      <c r="G273" s="243"/>
      <c r="H273" s="243"/>
      <c r="I273" s="246"/>
      <c r="J273" s="246"/>
      <c r="K273" s="63"/>
      <c r="L273" s="63"/>
      <c r="M273" s="63"/>
      <c r="N273" s="247"/>
      <c r="O273" s="248"/>
      <c r="P273" s="249"/>
      <c r="Q273" s="249"/>
      <c r="R273" s="249"/>
    </row>
    <row r="274" spans="1:25" s="138" customFormat="1" ht="18" customHeight="1">
      <c r="A274" s="243"/>
      <c r="B274" s="244"/>
      <c r="C274" s="244"/>
      <c r="D274" s="251"/>
      <c r="E274" s="245"/>
      <c r="F274" s="243"/>
      <c r="G274" s="243"/>
      <c r="H274" s="243"/>
      <c r="I274" s="246"/>
      <c r="J274" s="246"/>
      <c r="K274" s="63"/>
      <c r="L274" s="63"/>
      <c r="M274" s="63"/>
      <c r="N274" s="247"/>
      <c r="O274" s="248"/>
      <c r="P274" s="249"/>
      <c r="Q274" s="249"/>
      <c r="R274" s="249"/>
    </row>
    <row r="275" spans="1:25" s="138" customFormat="1" ht="18" customHeight="1">
      <c r="A275" s="243"/>
      <c r="B275" s="244"/>
      <c r="C275" s="244"/>
      <c r="D275" s="251"/>
      <c r="E275" s="245"/>
      <c r="F275" s="243"/>
      <c r="G275" s="243"/>
      <c r="H275" s="243"/>
      <c r="I275" s="246"/>
      <c r="J275" s="246"/>
      <c r="K275" s="63"/>
      <c r="L275" s="63"/>
      <c r="M275" s="63"/>
      <c r="N275" s="247"/>
      <c r="O275" s="248"/>
      <c r="P275" s="249"/>
      <c r="Q275" s="249"/>
      <c r="R275" s="249"/>
    </row>
    <row r="276" spans="1:25" s="138" customFormat="1" ht="18" customHeight="1">
      <c r="A276" s="243"/>
      <c r="B276" s="244"/>
      <c r="C276" s="244"/>
      <c r="D276" s="251"/>
      <c r="E276" s="245"/>
      <c r="F276" s="243"/>
      <c r="G276" s="243"/>
      <c r="H276" s="243"/>
      <c r="I276" s="246"/>
      <c r="J276" s="246"/>
      <c r="K276" s="63"/>
      <c r="L276" s="63"/>
      <c r="M276" s="63"/>
      <c r="N276" s="247"/>
      <c r="O276" s="248"/>
      <c r="P276" s="249"/>
      <c r="Q276" s="249"/>
      <c r="R276" s="249"/>
    </row>
    <row r="277" spans="1:25" s="138" customFormat="1" ht="18" customHeight="1">
      <c r="A277" s="243"/>
      <c r="B277" s="244"/>
      <c r="C277" s="244"/>
      <c r="D277" s="251"/>
      <c r="E277" s="245"/>
      <c r="F277" s="243"/>
      <c r="G277" s="243"/>
      <c r="H277" s="243"/>
      <c r="I277" s="246"/>
      <c r="J277" s="246"/>
      <c r="K277" s="63"/>
      <c r="L277" s="63"/>
      <c r="M277" s="63"/>
      <c r="N277" s="247"/>
      <c r="O277" s="248"/>
      <c r="P277" s="249"/>
      <c r="Q277" s="249"/>
      <c r="R277" s="249"/>
    </row>
    <row r="278" spans="1:25" s="138" customFormat="1" ht="18" customHeight="1">
      <c r="A278" s="243"/>
      <c r="B278" s="244"/>
      <c r="C278" s="244"/>
      <c r="D278" s="251"/>
      <c r="E278" s="245"/>
      <c r="F278" s="243"/>
      <c r="G278" s="243"/>
      <c r="H278" s="243"/>
      <c r="I278" s="246"/>
      <c r="J278" s="246"/>
      <c r="K278" s="63"/>
      <c r="L278" s="63"/>
      <c r="M278" s="63"/>
      <c r="N278" s="247"/>
      <c r="O278" s="248"/>
      <c r="P278" s="249"/>
      <c r="Q278" s="249"/>
      <c r="R278" s="249"/>
      <c r="V278" s="138">
        <v>1187411</v>
      </c>
      <c r="W278" s="138">
        <v>1187495</v>
      </c>
      <c r="X278" s="138">
        <f>W278-V278</f>
        <v>84</v>
      </c>
      <c r="Y278" s="138">
        <f>X278*15.4</f>
        <v>1293.6000000000001</v>
      </c>
    </row>
    <row r="279" spans="1:25" s="65" customFormat="1" ht="17.100000000000001" customHeight="1">
      <c r="A279" s="180"/>
      <c r="B279" s="180"/>
      <c r="C279" s="180"/>
      <c r="D279" s="180"/>
      <c r="E279" s="454"/>
      <c r="F279" s="181"/>
      <c r="G279" s="182"/>
      <c r="H279" s="182"/>
      <c r="I279" s="182"/>
      <c r="J279" s="182"/>
      <c r="K279" s="185"/>
      <c r="L279" s="185"/>
      <c r="M279" s="185"/>
      <c r="N279" s="183"/>
      <c r="O279" s="184"/>
      <c r="P279" s="184"/>
      <c r="Q279" s="185"/>
      <c r="R279" s="186"/>
      <c r="V279" s="323">
        <v>146234</v>
      </c>
      <c r="W279" s="323">
        <v>146345</v>
      </c>
      <c r="X279" s="138">
        <f>W279-V279</f>
        <v>111</v>
      </c>
      <c r="Y279" s="138">
        <f>X279*15.4</f>
        <v>1709.4</v>
      </c>
    </row>
    <row r="280" spans="1:25" s="65" customFormat="1" ht="17.100000000000001" customHeight="1">
      <c r="A280" s="180"/>
      <c r="B280" s="180"/>
      <c r="C280" s="180"/>
      <c r="D280" s="180"/>
      <c r="E280" s="180" t="s">
        <v>98</v>
      </c>
      <c r="F280" s="181" t="s">
        <v>32</v>
      </c>
      <c r="G280" s="182" t="s">
        <v>99</v>
      </c>
      <c r="H280" s="182"/>
      <c r="I280" s="182" t="s">
        <v>4</v>
      </c>
      <c r="J280" s="182"/>
      <c r="K280" s="185" t="s">
        <v>106</v>
      </c>
      <c r="L280" s="185" t="s">
        <v>107</v>
      </c>
      <c r="M280" s="185"/>
      <c r="N280" s="271"/>
      <c r="O280" s="138">
        <v>432018</v>
      </c>
      <c r="P280" s="138">
        <v>249747</v>
      </c>
      <c r="Q280" s="138">
        <v>208333</v>
      </c>
      <c r="R280" s="185"/>
      <c r="V280" s="323">
        <v>436843</v>
      </c>
      <c r="W280" s="323">
        <v>437089</v>
      </c>
      <c r="X280" s="138">
        <f>W280-V280</f>
        <v>246</v>
      </c>
      <c r="Y280" s="138">
        <f>X280*15.4</f>
        <v>3788.4</v>
      </c>
    </row>
    <row r="281" spans="1:25" s="41" customFormat="1" ht="17.100000000000001" customHeight="1">
      <c r="A281" s="8"/>
      <c r="B281" s="8"/>
      <c r="C281" s="8"/>
      <c r="D281" s="657"/>
      <c r="E281" s="657"/>
      <c r="F281" s="657"/>
      <c r="G281" s="657"/>
      <c r="H281" s="57"/>
      <c r="I281" s="49"/>
      <c r="J281" s="43"/>
      <c r="K281" s="44"/>
      <c r="L281" s="49"/>
      <c r="M281" s="58"/>
      <c r="N281" s="85"/>
      <c r="O281" s="138">
        <v>432217</v>
      </c>
      <c r="P281" s="138">
        <v>250004</v>
      </c>
      <c r="Q281" s="138">
        <v>208618</v>
      </c>
      <c r="R281" s="184"/>
      <c r="V281" s="323"/>
      <c r="W281" s="323"/>
      <c r="X281" s="323"/>
      <c r="Y281" s="323">
        <f>SUM(Y278:Y280)</f>
        <v>6791.4</v>
      </c>
    </row>
    <row r="282" spans="1:25" s="41" customFormat="1" ht="17.100000000000001" customHeight="1">
      <c r="A282" s="8"/>
      <c r="B282" s="8"/>
      <c r="C282" s="8"/>
      <c r="D282" s="531" t="s">
        <v>274</v>
      </c>
      <c r="E282" s="58">
        <f t="shared" ref="E282:E287" si="0">SUMIF($D$10:$D$280,D282,$E$10:$E$280)</f>
        <v>324.19159999999999</v>
      </c>
      <c r="F282" s="58">
        <f>SUMIF($D$10:$D281,D282,$G$10:$G281)</f>
        <v>295.91699999999997</v>
      </c>
      <c r="G282" s="61">
        <f>SUMIF($D$10:$D281,D282,$K$10:$K281)</f>
        <v>11147</v>
      </c>
      <c r="H282" s="58"/>
      <c r="I282" s="61">
        <f>SUMIF($D$10:$D281,D282,$O$10:$O281)</f>
        <v>21083</v>
      </c>
      <c r="J282" s="325"/>
      <c r="K282" s="44"/>
      <c r="L282" s="50"/>
      <c r="M282" s="61"/>
      <c r="N282" s="11"/>
      <c r="O282" s="138">
        <v>432871</v>
      </c>
      <c r="P282" s="138">
        <v>251549</v>
      </c>
      <c r="Q282" s="138">
        <v>209814</v>
      </c>
      <c r="R282" s="321"/>
    </row>
    <row r="283" spans="1:25" s="41" customFormat="1" ht="17.100000000000001" customHeight="1">
      <c r="A283" s="8"/>
      <c r="B283" s="8"/>
      <c r="C283" s="8"/>
      <c r="D283" s="532" t="s">
        <v>276</v>
      </c>
      <c r="E283" s="58">
        <f t="shared" si="0"/>
        <v>0</v>
      </c>
      <c r="F283" s="58">
        <f>SUMIF($D$10:$D282,D283,$G$10:$G282)</f>
        <v>14.551</v>
      </c>
      <c r="G283" s="61">
        <f>SUMIF($D$10:$D282,D283,$K$10:$K282)</f>
        <v>0</v>
      </c>
      <c r="H283" s="58"/>
      <c r="I283" s="61">
        <f>SUMIF($D$10:$D282,D283,$O$10:$O282)</f>
        <v>0</v>
      </c>
      <c r="J283" s="325"/>
      <c r="K283" s="44"/>
      <c r="L283" s="50"/>
      <c r="M283" s="61"/>
      <c r="N283" s="11"/>
      <c r="O283" s="49">
        <f>O281-O280</f>
        <v>199</v>
      </c>
      <c r="P283" s="49">
        <f>P281-P280</f>
        <v>257</v>
      </c>
      <c r="Q283" s="49">
        <f>Q281-Q280</f>
        <v>285</v>
      </c>
      <c r="R283" s="321">
        <f>SUM(O283:Q283)</f>
        <v>741</v>
      </c>
      <c r="S283" s="458"/>
      <c r="T283" s="323"/>
    </row>
    <row r="284" spans="1:25" s="41" customFormat="1" ht="17.100000000000001" customHeight="1">
      <c r="A284" s="8"/>
      <c r="B284" s="8"/>
      <c r="C284" s="8"/>
      <c r="D284" s="532" t="s">
        <v>275</v>
      </c>
      <c r="E284" s="58">
        <f t="shared" si="0"/>
        <v>0</v>
      </c>
      <c r="F284" s="58">
        <f>SUMIF($D$10:$D283,D284,$G$10:$G283)</f>
        <v>1.966</v>
      </c>
      <c r="G284" s="61">
        <f>SUMIF($D$10:$D283,D284,$K$10:$K283)</f>
        <v>0</v>
      </c>
      <c r="H284" s="58"/>
      <c r="I284" s="61">
        <f>SUMIF($D$10:$D283,D284,$O$10:$O283)</f>
        <v>0</v>
      </c>
      <c r="J284" s="325"/>
      <c r="K284" s="44"/>
      <c r="L284" s="50"/>
      <c r="M284" s="61"/>
      <c r="N284" s="11"/>
      <c r="O284" s="49"/>
      <c r="P284" s="49"/>
      <c r="Q284" s="49"/>
      <c r="R284" s="321"/>
      <c r="S284" s="458"/>
      <c r="T284" s="323"/>
    </row>
    <row r="285" spans="1:25" s="41" customFormat="1" ht="17.100000000000001" customHeight="1">
      <c r="A285" s="8"/>
      <c r="B285" s="8"/>
      <c r="C285" s="8"/>
      <c r="D285" s="432" t="s">
        <v>124</v>
      </c>
      <c r="E285" s="58">
        <f t="shared" si="0"/>
        <v>725.78879999999992</v>
      </c>
      <c r="F285" s="58">
        <f>SUMIF($D$10:$D284,D285,$G$10:$G284)</f>
        <v>695.90300000000002</v>
      </c>
      <c r="G285" s="61">
        <f>SUMIF($D$10:$D284,D285,$K$10:$K284)</f>
        <v>23975</v>
      </c>
      <c r="H285" s="58"/>
      <c r="I285" s="61">
        <f>SUMIF($D$10:$D284,D285,$O$10:$O284)</f>
        <v>53475</v>
      </c>
      <c r="J285" s="325"/>
      <c r="K285" s="44"/>
      <c r="L285" s="50"/>
      <c r="M285" s="61"/>
      <c r="N285" s="11"/>
      <c r="O285" s="49">
        <f>O282-O281</f>
        <v>654</v>
      </c>
      <c r="P285" s="49">
        <f>P282-P281</f>
        <v>1545</v>
      </c>
      <c r="Q285" s="49">
        <f>Q282-Q281</f>
        <v>1196</v>
      </c>
      <c r="R285" s="321">
        <f>SUM(O285:Q285)</f>
        <v>3395</v>
      </c>
      <c r="S285" s="458">
        <f>R285+R283</f>
        <v>4136</v>
      </c>
      <c r="T285" s="509">
        <f>S285*0.96</f>
        <v>3970.56</v>
      </c>
    </row>
    <row r="286" spans="1:25" s="41" customFormat="1" ht="17.100000000000001" customHeight="1">
      <c r="A286" s="8"/>
      <c r="B286" s="8"/>
      <c r="C286" s="8"/>
      <c r="D286" s="476" t="s">
        <v>125</v>
      </c>
      <c r="E286" s="58">
        <f t="shared" si="0"/>
        <v>0</v>
      </c>
      <c r="F286" s="58">
        <f>SUMIF($D$10:$D285,D286,$G$10:$G285)</f>
        <v>4.3250000000000002</v>
      </c>
      <c r="G286" s="61">
        <f>SUMIF($D$10:$D285,D286,$K$10:$K285)</f>
        <v>0</v>
      </c>
      <c r="H286" s="58"/>
      <c r="I286" s="61">
        <f>SUMIF($D$10:$D285,D286,$O$10:$O285)</f>
        <v>0</v>
      </c>
      <c r="J286" s="325"/>
      <c r="K286" s="44"/>
      <c r="L286" s="50"/>
      <c r="M286" s="61"/>
      <c r="N286" s="11"/>
      <c r="O286" s="49"/>
      <c r="P286" s="49"/>
      <c r="Q286" s="49"/>
      <c r="R286" s="321"/>
      <c r="T286" s="509"/>
    </row>
    <row r="287" spans="1:25" s="41" customFormat="1" ht="17.100000000000001" customHeight="1">
      <c r="A287" s="8"/>
      <c r="B287" s="8"/>
      <c r="C287" s="8"/>
      <c r="D287" s="476" t="s">
        <v>130</v>
      </c>
      <c r="E287" s="58">
        <f t="shared" si="0"/>
        <v>0</v>
      </c>
      <c r="F287" s="58">
        <f>SUMIF($D$10:$D286,D287,$G$10:$G286)</f>
        <v>1.7</v>
      </c>
      <c r="G287" s="61">
        <f>SUMIF($D$10:$D286,D287,$K$10:$K286)</f>
        <v>0</v>
      </c>
      <c r="H287" s="58"/>
      <c r="I287" s="61"/>
      <c r="J287" s="325"/>
      <c r="K287" s="44"/>
      <c r="L287" s="50"/>
      <c r="M287" s="61"/>
      <c r="N287" s="11"/>
      <c r="O287" s="49"/>
      <c r="P287" s="49"/>
      <c r="Q287" s="49"/>
      <c r="R287" s="321"/>
      <c r="T287" s="509"/>
    </row>
    <row r="288" spans="1:25" s="41" customFormat="1" ht="17.100000000000001" customHeight="1">
      <c r="A288" s="8"/>
      <c r="B288" s="8"/>
      <c r="C288" s="8"/>
      <c r="D288" s="476" t="s">
        <v>126</v>
      </c>
      <c r="E288" s="58"/>
      <c r="F288" s="58">
        <f>SUMIF($D$10:$D287,D288,$G$10:$G287)</f>
        <v>1.351</v>
      </c>
      <c r="G288" s="61"/>
      <c r="H288" s="58"/>
      <c r="I288" s="61"/>
      <c r="J288" s="325"/>
      <c r="K288" s="44"/>
      <c r="L288" s="50"/>
      <c r="M288" s="61"/>
      <c r="N288" s="11"/>
      <c r="O288" s="49"/>
      <c r="P288" s="49"/>
      <c r="Q288" s="49"/>
      <c r="R288" s="321"/>
      <c r="T288" s="509"/>
    </row>
    <row r="289" spans="1:22" s="41" customFormat="1" ht="17.100000000000001" customHeight="1">
      <c r="A289" s="8"/>
      <c r="B289" s="8"/>
      <c r="C289" s="8"/>
      <c r="D289" s="531" t="s">
        <v>156</v>
      </c>
      <c r="E289" s="58">
        <f t="shared" ref="E289:E296" si="1">SUMIF($D$10:$D$280,D289,$E$10:$E$280)</f>
        <v>277.04820000000001</v>
      </c>
      <c r="F289" s="58">
        <f>SUMIF($D$10:$D286,D289,$G$10:$G286)</f>
        <v>253.63399999999999</v>
      </c>
      <c r="G289" s="61">
        <f>SUMIF($D$10:$D286,D289,$K$10:$K286)</f>
        <v>10687</v>
      </c>
      <c r="H289" s="58"/>
      <c r="I289" s="61">
        <f>SUMIF($D$10:$D286,D289,$O$10:$O286)</f>
        <v>18726</v>
      </c>
      <c r="J289" s="325"/>
      <c r="K289" s="44"/>
      <c r="L289" s="50"/>
      <c r="M289" s="61"/>
      <c r="N289" s="11"/>
      <c r="O289" s="49"/>
      <c r="P289" s="49"/>
      <c r="Q289" s="49"/>
      <c r="R289" s="321"/>
      <c r="S289" s="41" t="s">
        <v>260</v>
      </c>
      <c r="T289" s="41" t="s">
        <v>261</v>
      </c>
      <c r="U289" s="41" t="s">
        <v>263</v>
      </c>
      <c r="V289" s="41" t="s">
        <v>262</v>
      </c>
    </row>
    <row r="290" spans="1:22" s="41" customFormat="1" ht="17.100000000000001" customHeight="1">
      <c r="A290" s="8"/>
      <c r="B290" s="8"/>
      <c r="C290" s="8"/>
      <c r="D290" s="532" t="s">
        <v>266</v>
      </c>
      <c r="E290" s="58">
        <f t="shared" si="1"/>
        <v>0</v>
      </c>
      <c r="F290" s="58">
        <f>SUMIF($D$10:$D289,D290,$G$10:$G289)</f>
        <v>12.849</v>
      </c>
      <c r="G290" s="61">
        <f>SUMIF($D$10:$D289,D290,$K$10:$K289)</f>
        <v>0</v>
      </c>
      <c r="H290" s="58"/>
      <c r="I290" s="61">
        <f>SUMIF($D$10:$D289,D290,$O$10:$O289)</f>
        <v>0</v>
      </c>
      <c r="J290" s="325"/>
      <c r="K290" s="44"/>
      <c r="L290" s="50"/>
      <c r="M290" s="61"/>
      <c r="N290" s="11"/>
      <c r="O290" s="49"/>
      <c r="P290" s="49"/>
      <c r="Q290" s="49"/>
      <c r="R290" s="321"/>
      <c r="S290" s="41">
        <v>1058378</v>
      </c>
      <c r="T290" s="41">
        <v>1126140</v>
      </c>
      <c r="U290" s="41">
        <f>T290-S290</f>
        <v>67762</v>
      </c>
      <c r="V290" s="323">
        <f>U290*15.4</f>
        <v>1043534.8</v>
      </c>
    </row>
    <row r="291" spans="1:22" s="41" customFormat="1" ht="17.100000000000001" customHeight="1">
      <c r="A291" s="8"/>
      <c r="B291" s="8"/>
      <c r="C291" s="8"/>
      <c r="D291" s="478" t="s">
        <v>35</v>
      </c>
      <c r="E291" s="58">
        <f t="shared" si="1"/>
        <v>748.7568</v>
      </c>
      <c r="F291" s="58">
        <f>SUMIF($D$10:$D284,D291,$G$10:$G284)</f>
        <v>712.55799999999999</v>
      </c>
      <c r="G291" s="61">
        <f>SUMIF($D$10:$D286,D291,$K$10:$K286)</f>
        <v>25629</v>
      </c>
      <c r="H291" s="58"/>
      <c r="I291" s="61">
        <f>SUMIF($D$10:$D286,D291,$O$10:$O286)</f>
        <v>56294</v>
      </c>
      <c r="J291" s="325"/>
      <c r="K291" s="44"/>
      <c r="L291" s="50"/>
      <c r="M291" s="61"/>
      <c r="N291" s="11"/>
      <c r="O291" s="49"/>
      <c r="P291" s="49"/>
      <c r="Q291" s="49"/>
      <c r="R291" s="321"/>
      <c r="S291" s="41">
        <v>137666</v>
      </c>
      <c r="T291" s="41">
        <v>142350</v>
      </c>
      <c r="U291" s="41">
        <f>T291-S291</f>
        <v>4684</v>
      </c>
      <c r="V291" s="323">
        <f>U291*15.4</f>
        <v>72133.600000000006</v>
      </c>
    </row>
    <row r="292" spans="1:22" s="41" customFormat="1" ht="17.100000000000001" customHeight="1">
      <c r="A292" s="8"/>
      <c r="B292" s="8"/>
      <c r="C292" s="8"/>
      <c r="D292" s="432" t="s">
        <v>146</v>
      </c>
      <c r="E292" s="58">
        <f t="shared" si="1"/>
        <v>0</v>
      </c>
      <c r="F292" s="58">
        <f>SUMIF($D$10:$D285,D292,$G$10:$G285)</f>
        <v>3.609</v>
      </c>
      <c r="G292" s="61">
        <f>SUMIF($D$10:$D291,D292,$K$10:$K291)</f>
        <v>0</v>
      </c>
      <c r="H292" s="58"/>
      <c r="I292" s="61">
        <f>SUMIF($D$10:$D291,D292,$O$10:$O291)</f>
        <v>0</v>
      </c>
      <c r="J292" s="325"/>
      <c r="K292" s="44"/>
      <c r="L292" s="50"/>
      <c r="M292" s="61"/>
      <c r="N292" s="11"/>
      <c r="O292" s="49"/>
      <c r="P292" s="49"/>
      <c r="Q292" s="49"/>
      <c r="R292" s="321"/>
      <c r="S292" s="41">
        <v>386970</v>
      </c>
      <c r="T292" s="41">
        <v>411531</v>
      </c>
      <c r="U292" s="41">
        <f>T292-S292</f>
        <v>24561</v>
      </c>
      <c r="V292" s="323">
        <f>U292*15.4</f>
        <v>378239.4</v>
      </c>
    </row>
    <row r="293" spans="1:22" s="41" customFormat="1" ht="17.100000000000001" customHeight="1">
      <c r="A293" s="8"/>
      <c r="B293" s="8"/>
      <c r="C293" s="8"/>
      <c r="D293" s="432" t="s">
        <v>39</v>
      </c>
      <c r="E293" s="58">
        <f t="shared" si="1"/>
        <v>0</v>
      </c>
      <c r="F293" s="58">
        <f>SUMIF($D$10:$D291,D293,$G$10:$G291)</f>
        <v>4.8360000000000003</v>
      </c>
      <c r="G293" s="61">
        <f>SUMIF($D$10:$D292,D293,$K$10:$K292)</f>
        <v>0</v>
      </c>
      <c r="H293" s="58"/>
      <c r="I293" s="61">
        <f>SUMIF($D$10:$D292,D293,$O$10:$O292)</f>
        <v>0</v>
      </c>
      <c r="J293" s="325"/>
      <c r="K293" s="44"/>
      <c r="L293" s="50"/>
      <c r="M293" s="61"/>
      <c r="N293" s="11"/>
      <c r="O293" s="49"/>
      <c r="P293" s="49"/>
      <c r="Q293" s="49"/>
      <c r="R293" s="321"/>
    </row>
    <row r="294" spans="1:22" s="41" customFormat="1" ht="17.100000000000001" customHeight="1">
      <c r="A294" s="8"/>
      <c r="B294" s="8"/>
      <c r="C294" s="8"/>
      <c r="D294" s="531" t="s">
        <v>41</v>
      </c>
      <c r="E294" s="58">
        <f t="shared" si="1"/>
        <v>782.70960000000014</v>
      </c>
      <c r="F294" s="58">
        <f>SUMIF($D$10:$D292,D294,$G$10:$G292)</f>
        <v>730.61500000000001</v>
      </c>
      <c r="G294" s="61">
        <f>SUMIF($D$10:$D293,D294,$K$10:$K293)</f>
        <v>25979</v>
      </c>
      <c r="H294" s="58"/>
      <c r="I294" s="61">
        <f>SUMIF($D$10:$D293,D294,$O$10:$O293)</f>
        <v>58551</v>
      </c>
      <c r="J294" s="325"/>
      <c r="K294" s="44"/>
      <c r="L294" s="50"/>
      <c r="M294" s="61"/>
      <c r="N294" s="11"/>
      <c r="O294" s="49"/>
      <c r="P294" s="49"/>
      <c r="Q294" s="49"/>
      <c r="R294" s="321"/>
      <c r="S294" s="41">
        <v>121575</v>
      </c>
      <c r="T294" s="41">
        <v>133967</v>
      </c>
      <c r="U294" s="41">
        <f>T294-S294</f>
        <v>12392</v>
      </c>
      <c r="V294" s="323">
        <f>U294*0.6</f>
        <v>7435.2</v>
      </c>
    </row>
    <row r="295" spans="1:22" s="41" customFormat="1" ht="17.100000000000001" customHeight="1">
      <c r="A295" s="8"/>
      <c r="B295" s="8"/>
      <c r="C295" s="8"/>
      <c r="D295" s="532" t="s">
        <v>219</v>
      </c>
      <c r="E295" s="58">
        <f t="shared" si="1"/>
        <v>0</v>
      </c>
      <c r="F295" s="58">
        <f>SUMIF($D$10:$D293,D295,$G$10:$G293)</f>
        <v>3.4489999999999998</v>
      </c>
      <c r="G295" s="61">
        <f>SUMIF($D$10:$D294,D295,$K$10:$K294)</f>
        <v>0</v>
      </c>
      <c r="H295" s="58"/>
      <c r="I295" s="61">
        <f>SUMIF($D$10:$D294,D295,$O$10:$O294)</f>
        <v>0</v>
      </c>
      <c r="J295" s="325"/>
      <c r="K295" s="44"/>
      <c r="L295" s="50"/>
      <c r="M295" s="61"/>
      <c r="N295" s="11"/>
      <c r="O295" s="49"/>
      <c r="P295" s="49"/>
      <c r="Q295" s="49"/>
      <c r="R295" s="321"/>
      <c r="S295" s="41">
        <v>39515</v>
      </c>
      <c r="T295" s="41">
        <v>44684</v>
      </c>
      <c r="U295" s="41">
        <f>T295-S295</f>
        <v>5169</v>
      </c>
      <c r="V295" s="323">
        <f>U295*0.6</f>
        <v>3101.4</v>
      </c>
    </row>
    <row r="296" spans="1:22" s="41" customFormat="1" ht="17.100000000000001" customHeight="1">
      <c r="A296" s="8"/>
      <c r="B296" s="8"/>
      <c r="C296" s="8"/>
      <c r="D296" s="532" t="s">
        <v>234</v>
      </c>
      <c r="E296" s="58">
        <f t="shared" si="1"/>
        <v>0</v>
      </c>
      <c r="F296" s="58">
        <f>SUMIF($D$10:$D294,D296,$G$10:$G294)</f>
        <v>9.1240000000000006</v>
      </c>
      <c r="G296" s="61">
        <f>SUMIF($D$10:$D295,D296,$K$10:$K295)</f>
        <v>0</v>
      </c>
      <c r="H296" s="58"/>
      <c r="I296" s="61">
        <f>SUMIF($D$10:$D295,D296,$O$10:$O295)</f>
        <v>0</v>
      </c>
      <c r="J296" s="325"/>
      <c r="K296" s="44"/>
      <c r="L296" s="50"/>
      <c r="M296" s="61"/>
      <c r="N296" s="11"/>
      <c r="O296" s="49"/>
      <c r="P296" s="49"/>
      <c r="Q296" s="49"/>
      <c r="R296" s="321"/>
      <c r="S296" s="41">
        <v>49997</v>
      </c>
      <c r="T296" s="41">
        <v>56658</v>
      </c>
      <c r="U296" s="41">
        <f>T296-S296</f>
        <v>6661</v>
      </c>
      <c r="V296" s="323">
        <f>U296*0.6</f>
        <v>3996.6</v>
      </c>
    </row>
    <row r="297" spans="1:22" s="41" customFormat="1" ht="17.100000000000001" customHeight="1">
      <c r="A297" s="8"/>
      <c r="B297" s="8"/>
      <c r="C297" s="8"/>
      <c r="D297" s="532" t="s">
        <v>220</v>
      </c>
      <c r="E297" s="58"/>
      <c r="F297" s="58">
        <f>SUMIF($D$10:$D295,D297,$G$10:$G295)</f>
        <v>7.8469999999999995</v>
      </c>
      <c r="G297" s="61"/>
      <c r="H297" s="58"/>
      <c r="I297" s="61"/>
      <c r="J297" s="325"/>
      <c r="K297" s="44"/>
      <c r="L297" s="50"/>
      <c r="M297" s="61"/>
      <c r="N297" s="11"/>
      <c r="O297" s="49"/>
      <c r="P297" s="49"/>
      <c r="Q297" s="49"/>
      <c r="R297" s="321"/>
      <c r="V297" s="323"/>
    </row>
    <row r="298" spans="1:22" s="41" customFormat="1" ht="17.100000000000001" customHeight="1">
      <c r="A298" s="8"/>
      <c r="B298" s="8"/>
      <c r="C298" s="8"/>
      <c r="D298" s="432" t="s">
        <v>143</v>
      </c>
      <c r="E298" s="58">
        <f t="shared" ref="E298:E325" si="2">SUMIF($D$10:$D$280,D298,$E$10:$E$280)</f>
        <v>206.83449999999999</v>
      </c>
      <c r="F298" s="58">
        <f>SUMIF($D$10:$D295,D298,$G$10:$G295)</f>
        <v>63.744</v>
      </c>
      <c r="G298" s="61">
        <f>SUMIF($D$10:$D296,D298,$K$10:$K296)</f>
        <v>6991</v>
      </c>
      <c r="H298" s="58"/>
      <c r="I298" s="61">
        <f>SUMIF($D$10:$D296,D298,$O$10:$O296)</f>
        <v>24286</v>
      </c>
      <c r="J298" s="325"/>
      <c r="K298" s="44"/>
      <c r="L298" s="50"/>
      <c r="M298" s="61"/>
      <c r="N298" s="11"/>
      <c r="O298" s="49"/>
      <c r="P298" s="49"/>
      <c r="Q298" s="49"/>
      <c r="R298" s="321"/>
    </row>
    <row r="299" spans="1:22" s="41" customFormat="1" ht="17.100000000000001" customHeight="1">
      <c r="A299" s="8"/>
      <c r="B299" s="8"/>
      <c r="C299" s="8"/>
      <c r="D299" s="432" t="s">
        <v>144</v>
      </c>
      <c r="E299" s="58">
        <f t="shared" si="2"/>
        <v>0</v>
      </c>
      <c r="F299" s="58">
        <f>SUMIF($D$10:$D296,D299,$G$10:$G296)</f>
        <v>0</v>
      </c>
      <c r="G299" s="61">
        <f>SUMIF($D$10:$D298,D299,$K$10:$K298)</f>
        <v>0</v>
      </c>
      <c r="H299" s="58"/>
      <c r="I299" s="61">
        <f>SUMIF($D$10:$D298,D299,$O$10:$O298)</f>
        <v>0</v>
      </c>
      <c r="J299" s="325"/>
      <c r="K299" s="44"/>
      <c r="L299" s="50"/>
      <c r="M299" s="61"/>
      <c r="N299" s="11"/>
      <c r="O299" s="49"/>
      <c r="P299" s="49"/>
      <c r="Q299" s="49"/>
      <c r="R299" s="321"/>
    </row>
    <row r="300" spans="1:22" s="41" customFormat="1" ht="17.100000000000001" customHeight="1">
      <c r="A300" s="8"/>
      <c r="B300" s="8"/>
      <c r="C300" s="8"/>
      <c r="D300" s="500" t="s">
        <v>121</v>
      </c>
      <c r="E300" s="58">
        <f t="shared" si="2"/>
        <v>342.3057</v>
      </c>
      <c r="F300" s="58">
        <f>SUMIF($D$10:$D296,D300,$G$10:$G296)</f>
        <v>3.3639999999999999</v>
      </c>
      <c r="G300" s="61">
        <f>SUMIF($D$10:$D299,D300,$K$10:$K299)</f>
        <v>10920</v>
      </c>
      <c r="H300" s="58"/>
      <c r="I300" s="61">
        <f>SUMIF($D$10:$D299,D300,$O$10:$O299)</f>
        <v>40671</v>
      </c>
      <c r="J300" s="325"/>
      <c r="K300" s="44"/>
      <c r="L300" s="50"/>
      <c r="M300" s="61"/>
      <c r="N300" s="11"/>
      <c r="O300" s="49"/>
      <c r="P300" s="49"/>
      <c r="Q300" s="49"/>
      <c r="R300" s="321"/>
    </row>
    <row r="301" spans="1:22" s="41" customFormat="1" ht="17.100000000000001" customHeight="1">
      <c r="A301" s="8"/>
      <c r="B301" s="8"/>
      <c r="C301" s="8"/>
      <c r="D301" s="432" t="s">
        <v>119</v>
      </c>
      <c r="E301" s="58">
        <f t="shared" si="2"/>
        <v>0</v>
      </c>
      <c r="F301" s="58">
        <f>SUMIF($D$10:$D298,D301,$G$10:$G298)</f>
        <v>2.6420000000000003</v>
      </c>
      <c r="G301" s="61">
        <f>SUMIF($D$10:$D300,D301,$K$10:$K300)</f>
        <v>0</v>
      </c>
      <c r="H301" s="58"/>
      <c r="I301" s="61">
        <f>SUMIF($D$10:$D300,D301,$O$10:$O300)</f>
        <v>0</v>
      </c>
      <c r="J301" s="325"/>
      <c r="K301" s="44"/>
      <c r="L301" s="50"/>
      <c r="M301" s="61"/>
      <c r="N301" s="11"/>
      <c r="O301" s="49"/>
      <c r="P301" s="49"/>
      <c r="Q301" s="49"/>
      <c r="R301" s="321"/>
    </row>
    <row r="302" spans="1:22" s="41" customFormat="1" ht="17.100000000000001" customHeight="1">
      <c r="A302" s="8"/>
      <c r="B302" s="8"/>
      <c r="C302" s="8"/>
      <c r="D302" s="432" t="s">
        <v>118</v>
      </c>
      <c r="E302" s="58">
        <f t="shared" si="2"/>
        <v>1140.2876999999999</v>
      </c>
      <c r="F302" s="58">
        <f>SUMIF($D$10:$D299,D302,$G$10:$G299)</f>
        <v>1120.6210000000001</v>
      </c>
      <c r="G302" s="61">
        <f>SUMIF($D$10:$D301,D302,$K$10:$K301)</f>
        <v>38336</v>
      </c>
      <c r="H302" s="58"/>
      <c r="I302" s="61">
        <f>SUMIF($D$10:$D301,D302,$O$10:$O301)</f>
        <v>90028</v>
      </c>
      <c r="J302" s="325"/>
      <c r="K302" s="44"/>
      <c r="L302" s="50"/>
      <c r="M302" s="61"/>
      <c r="N302" s="11"/>
      <c r="O302" s="49"/>
      <c r="P302" s="49"/>
      <c r="Q302" s="49"/>
      <c r="R302" s="321"/>
    </row>
    <row r="303" spans="1:22" s="41" customFormat="1" ht="17.100000000000001" customHeight="1">
      <c r="A303" s="8"/>
      <c r="B303" s="8"/>
      <c r="C303" s="8"/>
      <c r="D303" s="432" t="s">
        <v>120</v>
      </c>
      <c r="E303" s="58">
        <f t="shared" si="2"/>
        <v>0</v>
      </c>
      <c r="F303" s="58">
        <f>SUMIF($D$10:$D300,D303,$G$10:$G300)</f>
        <v>10.334</v>
      </c>
      <c r="G303" s="61">
        <f>SUMIF($D$10:$D302,D303,$K$10:$K302)</f>
        <v>0</v>
      </c>
      <c r="H303" s="58"/>
      <c r="I303" s="61">
        <f>SUMIF($D$10:$D302,D303,$O$10:$O302)</f>
        <v>0</v>
      </c>
      <c r="J303" s="325"/>
      <c r="K303" s="44"/>
      <c r="L303" s="50"/>
      <c r="M303" s="61"/>
      <c r="N303" s="11"/>
      <c r="O303" s="49"/>
      <c r="P303" s="49"/>
      <c r="Q303" s="49"/>
      <c r="R303" s="321"/>
    </row>
    <row r="304" spans="1:22" s="41" customFormat="1" ht="17.100000000000001" customHeight="1">
      <c r="A304" s="8"/>
      <c r="B304" s="8"/>
      <c r="C304" s="8"/>
      <c r="D304" s="432" t="s">
        <v>115</v>
      </c>
      <c r="E304" s="58">
        <f t="shared" si="2"/>
        <v>0</v>
      </c>
      <c r="F304" s="58">
        <f>SUMIF($D$10:$D301,D304,$G$10:$G301)</f>
        <v>0</v>
      </c>
      <c r="G304" s="61">
        <f>SUMIF($D$10:$D303,D304,$K$10:$K303)</f>
        <v>0</v>
      </c>
      <c r="H304" s="58"/>
      <c r="I304" s="61">
        <f>SUMIF($D$10:$D303,D304,$O$10:$O303)</f>
        <v>0</v>
      </c>
      <c r="J304" s="325"/>
      <c r="K304" s="44"/>
      <c r="L304" s="50"/>
      <c r="M304" s="61"/>
      <c r="N304" s="11"/>
      <c r="O304" s="49"/>
      <c r="P304" s="49"/>
      <c r="Q304" s="49"/>
      <c r="R304" s="321"/>
    </row>
    <row r="305" spans="1:18" s="41" customFormat="1" ht="17.100000000000001" customHeight="1">
      <c r="A305" s="8"/>
      <c r="B305" s="8"/>
      <c r="C305" s="8"/>
      <c r="D305" s="432" t="s">
        <v>40</v>
      </c>
      <c r="E305" s="58">
        <f t="shared" si="2"/>
        <v>0</v>
      </c>
      <c r="F305" s="58">
        <f>SUMIF($D$10:$D302,D305,$G$10:$G302)</f>
        <v>0</v>
      </c>
      <c r="G305" s="61">
        <f>SUMIF($D$10:$D304,D305,$K$10:$K304)</f>
        <v>0</v>
      </c>
      <c r="H305" s="58"/>
      <c r="I305" s="61">
        <f>SUMIF($D$10:$D304,D305,$O$10:$O304)</f>
        <v>0</v>
      </c>
      <c r="J305" s="325"/>
      <c r="K305" s="44"/>
      <c r="L305" s="50"/>
      <c r="M305" s="61"/>
      <c r="N305" s="11"/>
      <c r="O305" s="49"/>
      <c r="P305" s="49"/>
      <c r="Q305" s="49"/>
      <c r="R305" s="321"/>
    </row>
    <row r="306" spans="1:18" s="41" customFormat="1" ht="17.100000000000001" customHeight="1">
      <c r="A306" s="8"/>
      <c r="B306" s="8"/>
      <c r="C306" s="8"/>
      <c r="D306" s="432" t="s">
        <v>213</v>
      </c>
      <c r="E306" s="58">
        <f t="shared" si="2"/>
        <v>0</v>
      </c>
      <c r="F306" s="58">
        <f>SUMIF($D$10:$D303,D306,$G$10:$G303)</f>
        <v>0</v>
      </c>
      <c r="G306" s="61">
        <f>SUMIF($D$10:$D305,D306,$K$10:$K305)</f>
        <v>0</v>
      </c>
      <c r="H306" s="58"/>
      <c r="I306" s="61"/>
      <c r="J306" s="325"/>
      <c r="K306" s="44"/>
      <c r="L306" s="50"/>
      <c r="M306" s="61"/>
      <c r="N306" s="11"/>
      <c r="O306" s="49"/>
      <c r="P306" s="49"/>
      <c r="Q306" s="49"/>
      <c r="R306" s="321"/>
    </row>
    <row r="307" spans="1:18" s="41" customFormat="1" ht="17.100000000000001" customHeight="1">
      <c r="A307" s="8"/>
      <c r="B307" s="8"/>
      <c r="C307" s="8"/>
      <c r="D307" s="432" t="s">
        <v>141</v>
      </c>
      <c r="E307" s="58">
        <f t="shared" si="2"/>
        <v>0</v>
      </c>
      <c r="F307" s="58">
        <f>SUMIF($D$10:$D304,D307,$G$10:$G304)</f>
        <v>0</v>
      </c>
      <c r="G307" s="61">
        <f>SUMIF($D$10:$D306,D307,$K$10:$K306)</f>
        <v>0</v>
      </c>
      <c r="H307" s="58"/>
      <c r="I307" s="61">
        <f>SUMIF($D$10:$D305,D307,$O$10:$O305)</f>
        <v>0</v>
      </c>
      <c r="J307" s="325"/>
      <c r="K307" s="44"/>
      <c r="L307" s="50"/>
      <c r="M307" s="61"/>
      <c r="N307" s="11"/>
      <c r="O307" s="49"/>
      <c r="P307" s="49"/>
      <c r="Q307" s="49"/>
      <c r="R307" s="321"/>
    </row>
    <row r="308" spans="1:18" s="41" customFormat="1" ht="17.100000000000001" customHeight="1">
      <c r="A308" s="8"/>
      <c r="B308" s="8"/>
      <c r="C308" s="8"/>
      <c r="D308" s="432" t="s">
        <v>116</v>
      </c>
      <c r="E308" s="58">
        <f t="shared" si="2"/>
        <v>0</v>
      </c>
      <c r="F308" s="58">
        <f>SUMIF($D$10:$D305,D308,$G$10:$G305)</f>
        <v>0</v>
      </c>
      <c r="G308" s="61">
        <f>SUMIF($D$10:$D307,D308,$K$10:$K307)</f>
        <v>0</v>
      </c>
      <c r="H308" s="58"/>
      <c r="I308" s="61">
        <f>SUMIF($D$10:$D307,D308,$O$10:$O307)</f>
        <v>0</v>
      </c>
      <c r="J308" s="325"/>
      <c r="K308" s="44"/>
      <c r="L308" s="50"/>
      <c r="M308" s="61"/>
      <c r="N308" s="11"/>
      <c r="O308" s="49"/>
      <c r="P308" s="49"/>
      <c r="Q308" s="49"/>
      <c r="R308" s="321"/>
    </row>
    <row r="309" spans="1:18" s="41" customFormat="1" ht="17.100000000000001" customHeight="1">
      <c r="A309" s="8"/>
      <c r="B309" s="8"/>
      <c r="C309" s="8"/>
      <c r="D309" s="432" t="s">
        <v>140</v>
      </c>
      <c r="E309" s="58">
        <f t="shared" si="2"/>
        <v>0</v>
      </c>
      <c r="F309" s="58">
        <f>SUMIF($D$10:$D306,D309,$G$10:$G306)</f>
        <v>0</v>
      </c>
      <c r="G309" s="61">
        <f>SUMIF($D$10:$D308,D309,$K$10:$K308)</f>
        <v>0</v>
      </c>
      <c r="H309" s="58"/>
      <c r="I309" s="61">
        <f>SUMIF($D$10:$D308,D309,$O$10:$O308)</f>
        <v>0</v>
      </c>
      <c r="J309" s="325"/>
      <c r="K309" s="44"/>
      <c r="L309" s="50"/>
      <c r="M309" s="61"/>
      <c r="N309" s="11"/>
      <c r="O309" s="49"/>
      <c r="P309" s="49"/>
      <c r="Q309" s="49"/>
      <c r="R309" s="321"/>
    </row>
    <row r="310" spans="1:18" s="41" customFormat="1" ht="17.100000000000001" customHeight="1">
      <c r="A310" s="8"/>
      <c r="B310" s="8"/>
      <c r="C310" s="8"/>
      <c r="D310" s="432" t="s">
        <v>48</v>
      </c>
      <c r="E310" s="58">
        <f t="shared" si="2"/>
        <v>330.64960000000002</v>
      </c>
      <c r="F310" s="58">
        <f>SUMIF($D$10:$D307,D310,$G$10:$G307)</f>
        <v>345.86500000000001</v>
      </c>
      <c r="G310" s="61">
        <f>SUMIF($D$10:$D309,D310,$K$10:$K309)</f>
        <v>11161</v>
      </c>
      <c r="H310" s="58"/>
      <c r="I310" s="61">
        <f>SUMIF($D$10:$D309,D310,$O$10:$O309)</f>
        <v>38115</v>
      </c>
      <c r="J310" s="325"/>
      <c r="K310" s="44"/>
      <c r="L310" s="50"/>
      <c r="M310" s="61"/>
      <c r="N310" s="11"/>
      <c r="O310" s="49"/>
      <c r="P310" s="49"/>
      <c r="Q310" s="49"/>
      <c r="R310" s="321"/>
    </row>
    <row r="311" spans="1:18" s="41" customFormat="1" ht="17.100000000000001" customHeight="1">
      <c r="A311" s="8"/>
      <c r="B311" s="8"/>
      <c r="C311" s="8"/>
      <c r="D311" s="432" t="s">
        <v>279</v>
      </c>
      <c r="E311" s="58">
        <f t="shared" si="2"/>
        <v>0</v>
      </c>
      <c r="F311" s="58">
        <f>SUMIF($D$10:$D308,D311,$G$10:$G308)</f>
        <v>0</v>
      </c>
      <c r="G311" s="61">
        <f>SUMIF($D$10:$D310,D311,$K$10:$K310)</f>
        <v>0</v>
      </c>
      <c r="H311" s="58"/>
      <c r="I311" s="61">
        <f>SUMIF($D$10:$D310,D311,$O$10:$O310)</f>
        <v>0</v>
      </c>
      <c r="J311" s="325"/>
      <c r="K311" s="44"/>
      <c r="L311" s="50"/>
      <c r="M311" s="61"/>
      <c r="N311" s="11"/>
      <c r="O311" s="49"/>
      <c r="P311" s="49"/>
      <c r="Q311" s="49"/>
      <c r="R311" s="321"/>
    </row>
    <row r="312" spans="1:18" s="41" customFormat="1" ht="17.100000000000001" customHeight="1">
      <c r="A312" s="8"/>
      <c r="B312" s="8"/>
      <c r="C312" s="8"/>
      <c r="D312" s="178"/>
      <c r="E312" s="58">
        <f t="shared" si="2"/>
        <v>0</v>
      </c>
      <c r="F312" s="58">
        <f>SUMIF($D$10:$D307,D312,$G$10:$G307)</f>
        <v>0</v>
      </c>
      <c r="G312" s="61">
        <f>SUMIF($D$10:$D311,D312,$K$10:$K311)</f>
        <v>0</v>
      </c>
      <c r="H312" s="58"/>
      <c r="I312" s="61">
        <f>SUMIF($D$10:$D311,D312,$O$10:$O311)</f>
        <v>0</v>
      </c>
      <c r="J312" s="325"/>
      <c r="K312" s="44"/>
      <c r="L312" s="50"/>
      <c r="M312" s="61"/>
      <c r="N312" s="11"/>
      <c r="O312" s="49"/>
      <c r="P312" s="49"/>
      <c r="Q312" s="49"/>
      <c r="R312" s="321"/>
    </row>
    <row r="313" spans="1:18" s="41" customFormat="1" ht="17.100000000000001" customHeight="1">
      <c r="A313" s="8"/>
      <c r="B313" s="8"/>
      <c r="C313" s="8"/>
      <c r="D313" s="432" t="s">
        <v>45</v>
      </c>
      <c r="E313" s="58">
        <f t="shared" si="2"/>
        <v>415.75510000000003</v>
      </c>
      <c r="F313" s="58">
        <f>SUMIF($D$10:$D308,D313,$G$10:$G308)</f>
        <v>363.392</v>
      </c>
      <c r="G313" s="61">
        <f>SUMIF($D$10:$D312,D313,$K$10:$K312)</f>
        <v>13621</v>
      </c>
      <c r="H313" s="58"/>
      <c r="I313" s="61">
        <f>SUMIF($D$10:$D312,D313,$O$10:$O312)</f>
        <v>42720</v>
      </c>
      <c r="J313" s="325"/>
      <c r="K313" s="44"/>
      <c r="L313" s="50"/>
      <c r="M313" s="61"/>
      <c r="N313" s="11"/>
      <c r="O313" s="49"/>
      <c r="P313" s="49"/>
      <c r="Q313" s="49"/>
      <c r="R313" s="321"/>
    </row>
    <row r="314" spans="1:18" s="41" customFormat="1" ht="17.100000000000001" customHeight="1">
      <c r="A314" s="8"/>
      <c r="B314" s="8"/>
      <c r="C314" s="8"/>
      <c r="D314" s="324" t="s">
        <v>110</v>
      </c>
      <c r="E314" s="58">
        <f t="shared" si="2"/>
        <v>0</v>
      </c>
      <c r="F314" s="58">
        <f>SUMIF($D$10:$D309,D314,$G$10:$G309)</f>
        <v>0</v>
      </c>
      <c r="G314" s="61">
        <f>SUMIF($D$10:$D313,D314,$K$10:$K313)</f>
        <v>0</v>
      </c>
      <c r="H314" s="58"/>
      <c r="I314" s="61">
        <f>SUMIF($D$10:$D313,D314,$O$10:$O313)</f>
        <v>0</v>
      </c>
      <c r="J314" s="325"/>
      <c r="K314" s="44"/>
      <c r="L314" s="50"/>
      <c r="M314" s="61"/>
      <c r="N314" s="11"/>
      <c r="O314" s="49"/>
      <c r="P314" s="49"/>
      <c r="Q314" s="49"/>
      <c r="R314" s="321"/>
    </row>
    <row r="315" spans="1:18" s="41" customFormat="1" ht="17.100000000000001" customHeight="1">
      <c r="A315" s="8"/>
      <c r="B315" s="8"/>
      <c r="C315" s="8"/>
      <c r="D315" s="324" t="s">
        <v>111</v>
      </c>
      <c r="E315" s="58">
        <f t="shared" si="2"/>
        <v>1145.0034000000001</v>
      </c>
      <c r="F315" s="58">
        <f>SUMIF($D$10:$D312,D315,$G$10:$G312)</f>
        <v>1083.7089999999998</v>
      </c>
      <c r="G315" s="61">
        <f>SUMIF($D$10:$D314,D315,$K$10:$K314)</f>
        <v>39521</v>
      </c>
      <c r="H315" s="58"/>
      <c r="I315" s="61">
        <f>SUMIF($D$10:$D314,D315,$O$10:$O314)</f>
        <v>147779</v>
      </c>
      <c r="J315" s="325"/>
      <c r="K315" s="44"/>
      <c r="L315" s="50"/>
      <c r="M315" s="61"/>
      <c r="N315" s="11"/>
      <c r="O315" s="49"/>
      <c r="P315" s="49"/>
      <c r="Q315" s="49"/>
      <c r="R315" s="321"/>
    </row>
    <row r="316" spans="1:18" s="41" customFormat="1" ht="17.100000000000001" customHeight="1">
      <c r="A316" s="8"/>
      <c r="B316" s="8"/>
      <c r="C316" s="8"/>
      <c r="D316" s="324" t="s">
        <v>139</v>
      </c>
      <c r="E316" s="58">
        <f t="shared" si="2"/>
        <v>0</v>
      </c>
      <c r="F316" s="58">
        <f>SUMIF($D$10:$D313,D316,$G$10:$G313)</f>
        <v>1.224</v>
      </c>
      <c r="G316" s="61">
        <f>SUMIF($D$10:$D315,D316,$K$10:$K315)</f>
        <v>0</v>
      </c>
      <c r="H316" s="58"/>
      <c r="I316" s="61">
        <f>SUMIF($D$10:$D315,D316,$O$10:$O315)</f>
        <v>0</v>
      </c>
      <c r="J316" s="325"/>
      <c r="K316" s="44"/>
      <c r="L316" s="50"/>
      <c r="M316" s="61"/>
      <c r="N316" s="11"/>
      <c r="O316" s="49"/>
      <c r="P316" s="49"/>
      <c r="Q316" s="49"/>
      <c r="R316" s="321"/>
    </row>
    <row r="317" spans="1:18" s="41" customFormat="1" ht="17.100000000000001" customHeight="1">
      <c r="A317" s="8"/>
      <c r="B317" s="8"/>
      <c r="C317" s="8"/>
      <c r="D317" s="432" t="s">
        <v>104</v>
      </c>
      <c r="E317" s="58">
        <f t="shared" si="2"/>
        <v>883.69139999999993</v>
      </c>
      <c r="F317" s="58">
        <f>SUMIF($D$10:$D314,D317,$G$10:$G314)</f>
        <v>824.96900000000005</v>
      </c>
      <c r="G317" s="61">
        <f>SUMIF($D$10:$D316,D317,$K$10:$K316)</f>
        <v>32626</v>
      </c>
      <c r="H317" s="58"/>
      <c r="I317" s="61">
        <f>SUMIF($D$10:$D316,D317,$O$10:$O316)</f>
        <v>115719</v>
      </c>
      <c r="J317" s="325"/>
      <c r="K317" s="44"/>
      <c r="L317" s="50"/>
      <c r="M317" s="61"/>
      <c r="N317" s="11"/>
      <c r="O317" s="49"/>
      <c r="P317" s="49"/>
      <c r="Q317" s="49"/>
      <c r="R317" s="321"/>
    </row>
    <row r="318" spans="1:18" s="41" customFormat="1" ht="17.100000000000001" customHeight="1">
      <c r="A318" s="8"/>
      <c r="B318" s="8"/>
      <c r="C318" s="8"/>
      <c r="D318" s="432" t="s">
        <v>105</v>
      </c>
      <c r="E318" s="58">
        <f t="shared" si="2"/>
        <v>0</v>
      </c>
      <c r="F318" s="58">
        <f>SUMIF($D$10:$D315,D318,$G$10:$G315)</f>
        <v>0</v>
      </c>
      <c r="G318" s="61">
        <f>SUMIF($D$10:$D317,D318,$K$10:$K317)</f>
        <v>0</v>
      </c>
      <c r="H318" s="58"/>
      <c r="I318" s="61">
        <f>SUMIF($D$10:$D317,D318,$O$10:$O317)</f>
        <v>0</v>
      </c>
      <c r="J318" s="325"/>
      <c r="K318" s="44"/>
      <c r="L318" s="50"/>
      <c r="M318" s="61"/>
      <c r="N318" s="11"/>
      <c r="O318" s="49"/>
      <c r="P318" s="49"/>
      <c r="Q318" s="49"/>
      <c r="R318" s="321"/>
    </row>
    <row r="319" spans="1:18" s="41" customFormat="1" ht="17.100000000000001" customHeight="1">
      <c r="A319" s="8"/>
      <c r="B319" s="8"/>
      <c r="C319" s="8"/>
      <c r="D319" s="507" t="s">
        <v>249</v>
      </c>
      <c r="E319" s="58">
        <f t="shared" si="2"/>
        <v>1326.6560999999999</v>
      </c>
      <c r="F319" s="58">
        <f>SUMIF($D$10:$D316,D319,$G$10:$G316)</f>
        <v>1279.239</v>
      </c>
      <c r="G319" s="61">
        <f>SUMIF($D$10:$D318,D319,$K$10:$K318)</f>
        <v>44425</v>
      </c>
      <c r="H319" s="58"/>
      <c r="I319" s="61">
        <f>SUMIF($D$10:$D318,D319,$O$10:$O318)</f>
        <v>178687</v>
      </c>
      <c r="J319" s="325"/>
      <c r="K319" s="44"/>
      <c r="L319" s="50"/>
      <c r="M319" s="61"/>
      <c r="N319" s="11"/>
      <c r="O319" s="49"/>
      <c r="P319" s="49"/>
      <c r="Q319" s="49"/>
      <c r="R319" s="321"/>
    </row>
    <row r="320" spans="1:18" s="41" customFormat="1" ht="17.100000000000001" customHeight="1">
      <c r="A320" s="8"/>
      <c r="B320" s="8"/>
      <c r="C320" s="8"/>
      <c r="D320" s="401" t="s">
        <v>250</v>
      </c>
      <c r="E320" s="58">
        <f t="shared" si="2"/>
        <v>0</v>
      </c>
      <c r="F320" s="58">
        <f>SUMIF($D$10:$D317,D320,$G$10:$G317)</f>
        <v>15.607999999999988</v>
      </c>
      <c r="G320" s="61">
        <f>SUMIF($D$10:$D319,D320,$K$10:$K319)</f>
        <v>0</v>
      </c>
      <c r="H320" s="58"/>
      <c r="I320" s="61">
        <f>SUMIF($D$10:$D319,D320,$O$10:$O319)</f>
        <v>0</v>
      </c>
      <c r="J320" s="325"/>
      <c r="K320" s="44"/>
      <c r="L320" s="50"/>
      <c r="M320" s="61"/>
      <c r="N320" s="11"/>
      <c r="O320" s="49"/>
      <c r="P320" s="49"/>
      <c r="Q320" s="49"/>
      <c r="R320" s="321"/>
    </row>
    <row r="321" spans="1:18" s="41" customFormat="1" ht="17.100000000000001" customHeight="1">
      <c r="A321" s="8"/>
      <c r="B321" s="8"/>
      <c r="C321" s="8"/>
      <c r="D321" s="507" t="s">
        <v>235</v>
      </c>
      <c r="E321" s="58">
        <f t="shared" si="2"/>
        <v>2767.6470000000004</v>
      </c>
      <c r="F321" s="58">
        <f>SUMIF($D$10:$D316,D321,$G$10:$G316)</f>
        <v>3099.1349999999998</v>
      </c>
      <c r="G321" s="61">
        <f>SUMIF($D$10:$D320,D321,$K$10:$K320)</f>
        <v>95552</v>
      </c>
      <c r="H321" s="58"/>
      <c r="I321" s="61">
        <f>SUMIF($D$10:$D318,D321,$O$10:$O318)</f>
        <v>341940</v>
      </c>
      <c r="J321" s="325"/>
      <c r="K321" s="44"/>
      <c r="L321" s="50"/>
      <c r="M321" s="61"/>
      <c r="N321" s="11"/>
      <c r="O321" s="49"/>
      <c r="P321" s="49"/>
      <c r="Q321" s="49"/>
      <c r="R321" s="321"/>
    </row>
    <row r="322" spans="1:18" s="41" customFormat="1" ht="17.100000000000001" customHeight="1">
      <c r="A322" s="8"/>
      <c r="B322" s="8"/>
      <c r="C322" s="8"/>
      <c r="D322" s="401" t="s">
        <v>236</v>
      </c>
      <c r="E322" s="58">
        <f t="shared" si="2"/>
        <v>0</v>
      </c>
      <c r="F322" s="58">
        <f>SUMIF($D$10:$D317,D322,$G$10:$G317)</f>
        <v>29.178999999999998</v>
      </c>
      <c r="G322" s="61">
        <f>SUMIF($D$10:$D321,D322,$K$10:$K321)</f>
        <v>0</v>
      </c>
      <c r="H322" s="58"/>
      <c r="I322" s="61">
        <f>SUMIF($D$10:$D321,D322,$O$10:$O321)</f>
        <v>0</v>
      </c>
      <c r="J322" s="325"/>
      <c r="K322" s="44"/>
      <c r="L322" s="50"/>
      <c r="M322" s="61"/>
      <c r="N322" s="11"/>
      <c r="O322" s="49"/>
      <c r="P322" s="49"/>
      <c r="Q322" s="49"/>
      <c r="R322" s="321"/>
    </row>
    <row r="323" spans="1:18" s="41" customFormat="1" ht="17.100000000000001" customHeight="1">
      <c r="A323" s="8"/>
      <c r="B323" s="8"/>
      <c r="C323" s="8"/>
      <c r="D323" s="432" t="s">
        <v>292</v>
      </c>
      <c r="E323" s="58">
        <f t="shared" si="2"/>
        <v>1256.5812000000001</v>
      </c>
      <c r="F323" s="58">
        <f>SUMIF($D$10:$D318,D323,$G$10:$G318)</f>
        <v>1201.9099999999999</v>
      </c>
      <c r="G323" s="61">
        <f>SUMIF($D$10:$D322,D323,$K$10:$K322)</f>
        <v>43229</v>
      </c>
      <c r="H323" s="58"/>
      <c r="I323" s="61">
        <f>SUMIF($D$10:$D322,D323,$O$10:$O322)</f>
        <v>153755</v>
      </c>
      <c r="J323" s="325"/>
      <c r="K323" s="44"/>
      <c r="L323" s="50"/>
      <c r="M323" s="61"/>
      <c r="N323" s="11"/>
      <c r="O323" s="49"/>
      <c r="P323" s="49"/>
      <c r="Q323" s="49"/>
      <c r="R323" s="321"/>
    </row>
    <row r="324" spans="1:18" s="41" customFormat="1" ht="17.100000000000001" customHeight="1">
      <c r="A324" s="8"/>
      <c r="B324" s="8"/>
      <c r="C324" s="8"/>
      <c r="D324" s="476" t="s">
        <v>293</v>
      </c>
      <c r="E324" s="58">
        <f t="shared" si="2"/>
        <v>0</v>
      </c>
      <c r="F324" s="58">
        <f>SUMIF($D$10:$D321,D324,$G$10:$G321)</f>
        <v>5.5540000000000003</v>
      </c>
      <c r="G324" s="61">
        <f>SUMIF($D$10:$D323,D324,$K$10:$K323)</f>
        <v>0</v>
      </c>
      <c r="H324" s="58"/>
      <c r="I324" s="61">
        <f>SUMIF($D$10:$D323,D324,$O$10:$O323)</f>
        <v>0</v>
      </c>
      <c r="J324" s="325"/>
      <c r="K324" s="44"/>
      <c r="L324" s="50"/>
      <c r="M324" s="61"/>
      <c r="N324" s="11"/>
      <c r="O324" s="49"/>
      <c r="P324" s="49"/>
      <c r="Q324" s="49"/>
      <c r="R324" s="321"/>
    </row>
    <row r="325" spans="1:18" s="41" customFormat="1" ht="16.5" customHeight="1">
      <c r="A325" s="8"/>
      <c r="B325" s="8"/>
      <c r="C325" s="8"/>
      <c r="D325" s="476" t="s">
        <v>100</v>
      </c>
      <c r="E325" s="58">
        <f t="shared" si="2"/>
        <v>0</v>
      </c>
      <c r="F325" s="58"/>
      <c r="G325" s="61">
        <f>SUMIF($D$10:$D324,D325,$K$10:$K324)</f>
        <v>6395</v>
      </c>
      <c r="H325" s="58"/>
      <c r="I325" s="61">
        <f>SUMIF($D$10:$D324,D325,$O$10:$O324)</f>
        <v>8864</v>
      </c>
      <c r="J325" s="325"/>
      <c r="K325" s="44"/>
      <c r="L325" s="50"/>
      <c r="M325" s="61"/>
      <c r="N325" s="11"/>
      <c r="O325" s="49"/>
      <c r="P325" s="49"/>
      <c r="Q325" s="49"/>
      <c r="R325" s="321"/>
    </row>
    <row r="326" spans="1:18" s="41" customFormat="1" ht="17.100000000000001" customHeight="1">
      <c r="A326" s="8"/>
      <c r="B326" s="8"/>
      <c r="C326" s="8"/>
      <c r="D326" s="327"/>
      <c r="E326" s="455">
        <f>SUM(E282:E325)</f>
        <v>12673.906700000001</v>
      </c>
      <c r="F326" s="455">
        <f>SUM(F282:F325)</f>
        <v>12204.723</v>
      </c>
      <c r="G326" s="658">
        <f>SUM(G282:G325)</f>
        <v>440194</v>
      </c>
      <c r="H326" s="658"/>
      <c r="I326" s="658">
        <f>SUM(I282:I325)</f>
        <v>1390693</v>
      </c>
      <c r="J326" s="658"/>
      <c r="K326" s="44"/>
      <c r="L326" s="49"/>
      <c r="M326" s="61"/>
      <c r="N326" s="11"/>
      <c r="O326" s="35"/>
      <c r="P326" s="35"/>
      <c r="Q326" s="35"/>
      <c r="R326" s="11"/>
    </row>
    <row r="327" spans="1:18" s="41" customFormat="1" ht="17.100000000000001" customHeight="1">
      <c r="A327" s="8"/>
      <c r="B327" s="8"/>
      <c r="C327" s="8"/>
      <c r="D327" s="327"/>
      <c r="E327" s="329"/>
      <c r="F327" s="58">
        <f>SUMIF($D$10:$D325,D327,$G$10:$G325)</f>
        <v>0</v>
      </c>
      <c r="G327" s="58"/>
      <c r="H327" s="58"/>
      <c r="I327" s="61"/>
      <c r="J327" s="325"/>
      <c r="K327" s="44"/>
      <c r="L327" s="49"/>
      <c r="M327" s="61"/>
      <c r="N327" s="11"/>
      <c r="O327" s="35"/>
      <c r="P327" s="35"/>
      <c r="Q327" s="35"/>
      <c r="R327" s="11"/>
    </row>
    <row r="328" spans="1:18" s="41" customFormat="1" ht="17.100000000000001" customHeight="1">
      <c r="A328" s="8"/>
      <c r="B328" s="8"/>
      <c r="C328" s="8"/>
      <c r="D328" s="327"/>
      <c r="E328" s="331"/>
      <c r="F328" s="333">
        <f>F326-11906.555</f>
        <v>298.16799999999967</v>
      </c>
      <c r="G328" s="58"/>
      <c r="H328" s="58"/>
      <c r="I328" s="61"/>
      <c r="J328" s="325"/>
      <c r="K328" s="44"/>
      <c r="L328" s="49"/>
      <c r="M328" s="61"/>
      <c r="N328" s="11"/>
      <c r="O328" s="35"/>
      <c r="P328" s="35"/>
      <c r="Q328" s="35"/>
      <c r="R328" s="11"/>
    </row>
    <row r="329" spans="1:18" s="41" customFormat="1" ht="17.100000000000001" customHeight="1">
      <c r="A329" s="8"/>
      <c r="B329" s="8"/>
      <c r="C329" s="8"/>
      <c r="D329" s="327" t="s">
        <v>98</v>
      </c>
      <c r="E329" s="331"/>
      <c r="F329" s="560"/>
      <c r="G329" s="58"/>
      <c r="H329" s="61"/>
      <c r="I329" s="58"/>
      <c r="J329" s="58"/>
      <c r="K329" s="44"/>
      <c r="L329" s="49"/>
      <c r="M329" s="61"/>
      <c r="N329" s="11"/>
      <c r="O329" s="35"/>
      <c r="P329" s="35"/>
      <c r="Q329" s="35"/>
      <c r="R329" s="11"/>
    </row>
    <row r="330" spans="1:18" s="41" customFormat="1" ht="17.100000000000001" customHeight="1">
      <c r="A330" s="8"/>
      <c r="B330" s="8"/>
      <c r="C330" s="8"/>
      <c r="D330" s="327"/>
      <c r="E330" s="331"/>
      <c r="F330" s="330"/>
      <c r="G330" s="58" t="str">
        <f>G345</f>
        <v>(TÊn)</v>
      </c>
      <c r="H330" s="61"/>
      <c r="I330" s="58"/>
      <c r="J330" s="58"/>
      <c r="K330" s="44"/>
      <c r="L330" s="63"/>
      <c r="M330" s="87"/>
      <c r="N330" s="45"/>
      <c r="O330" s="46"/>
      <c r="P330" s="46"/>
      <c r="Q330" s="40"/>
      <c r="R330" s="44"/>
    </row>
    <row r="331" spans="1:18" s="41" customFormat="1" ht="17.100000000000001" customHeight="1">
      <c r="A331" s="8"/>
      <c r="B331" s="8"/>
      <c r="C331" s="8"/>
      <c r="D331" s="327"/>
      <c r="E331" s="331"/>
      <c r="F331" s="327"/>
      <c r="G331" s="58"/>
      <c r="H331" s="61"/>
      <c r="I331" s="58"/>
      <c r="J331" s="58"/>
      <c r="K331" s="44"/>
      <c r="L331" s="63"/>
      <c r="M331" s="61"/>
      <c r="N331" s="45"/>
      <c r="O331" s="46"/>
      <c r="P331" s="46"/>
      <c r="Q331" s="40"/>
      <c r="R331" s="44"/>
    </row>
    <row r="332" spans="1:18" s="41" customFormat="1" ht="20.100000000000001" customHeight="1">
      <c r="A332" s="8"/>
      <c r="B332" s="8"/>
      <c r="C332" s="8"/>
      <c r="D332" s="11"/>
      <c r="E332" s="42"/>
      <c r="F332" s="11"/>
      <c r="G332" s="50"/>
      <c r="H332" s="49"/>
      <c r="I332" s="50"/>
      <c r="J332" s="50"/>
      <c r="K332" s="44"/>
      <c r="L332" s="63"/>
      <c r="M332" s="87"/>
      <c r="N332" s="45"/>
      <c r="O332" s="46"/>
      <c r="P332" s="46"/>
      <c r="Q332" s="40"/>
      <c r="R332" s="44"/>
    </row>
    <row r="333" spans="1:18" s="41" customFormat="1" ht="20.100000000000001" customHeight="1">
      <c r="A333" s="8"/>
      <c r="B333" s="8"/>
      <c r="C333" s="8"/>
      <c r="D333" s="11"/>
      <c r="E333" s="42"/>
      <c r="F333" s="11"/>
      <c r="G333" s="50"/>
      <c r="H333" s="63"/>
      <c r="I333" s="50"/>
      <c r="J333" s="50"/>
      <c r="K333" s="44"/>
      <c r="L333" s="63"/>
      <c r="M333" s="61"/>
      <c r="N333" s="45"/>
      <c r="O333" s="46"/>
      <c r="P333" s="46"/>
      <c r="Q333" s="40"/>
      <c r="R333" s="44"/>
    </row>
    <row r="334" spans="1:18" s="41" customFormat="1" ht="20.100000000000001" customHeight="1">
      <c r="A334" s="8"/>
      <c r="B334" s="8"/>
      <c r="C334" s="8"/>
      <c r="D334" s="11"/>
      <c r="E334" s="42"/>
      <c r="F334" s="11"/>
      <c r="G334" s="50"/>
      <c r="H334" s="49"/>
      <c r="I334" s="50"/>
      <c r="J334" s="50"/>
      <c r="K334" s="44"/>
      <c r="L334" s="63"/>
      <c r="M334" s="87"/>
      <c r="N334" s="45"/>
      <c r="O334" s="46"/>
      <c r="P334" s="46"/>
      <c r="Q334" s="40"/>
      <c r="R334" s="44"/>
    </row>
    <row r="335" spans="1:18" s="41" customFormat="1" ht="20.100000000000001" customHeight="1">
      <c r="A335" s="8"/>
      <c r="B335" s="8"/>
      <c r="C335" s="8"/>
      <c r="D335" s="11"/>
      <c r="E335" s="42"/>
      <c r="F335" s="11"/>
      <c r="G335" s="50"/>
      <c r="H335" s="63"/>
      <c r="I335" s="50"/>
      <c r="J335" s="50"/>
      <c r="K335" s="44"/>
      <c r="L335" s="63"/>
      <c r="M335" s="87"/>
      <c r="N335" s="106"/>
      <c r="O335" s="46"/>
      <c r="P335" s="46"/>
      <c r="Q335" s="40"/>
      <c r="R335" s="44"/>
    </row>
    <row r="336" spans="1:18" s="41" customFormat="1" ht="20.100000000000001" customHeight="1">
      <c r="A336" s="8"/>
      <c r="B336" s="8"/>
      <c r="C336" s="8"/>
      <c r="D336" s="11"/>
      <c r="E336" s="42"/>
      <c r="F336" s="11"/>
      <c r="G336" s="50"/>
      <c r="H336" s="49"/>
      <c r="I336" s="50"/>
      <c r="J336" s="50"/>
      <c r="K336" s="44"/>
      <c r="L336" s="63"/>
      <c r="M336" s="87"/>
      <c r="N336" s="45"/>
      <c r="O336" s="46"/>
      <c r="P336" s="46"/>
      <c r="Q336" s="40"/>
      <c r="R336" s="44"/>
    </row>
    <row r="337" spans="1:19" s="41" customFormat="1" ht="20.100000000000001" customHeight="1">
      <c r="A337" s="8"/>
      <c r="B337" s="8"/>
      <c r="C337" s="8"/>
      <c r="D337" s="11"/>
      <c r="E337" s="42"/>
      <c r="F337" s="11"/>
      <c r="G337" s="50"/>
      <c r="H337" s="63"/>
      <c r="I337" s="50"/>
      <c r="J337" s="50"/>
      <c r="K337" s="44"/>
      <c r="L337" s="63"/>
      <c r="M337" s="87"/>
      <c r="N337" s="45"/>
      <c r="O337" s="46"/>
      <c r="P337" s="46"/>
      <c r="Q337" s="40"/>
      <c r="R337" s="44"/>
    </row>
    <row r="338" spans="1:19" s="41" customFormat="1" ht="20.100000000000001" customHeight="1">
      <c r="A338" s="8"/>
      <c r="B338" s="8"/>
      <c r="C338" s="8"/>
      <c r="D338" s="11"/>
      <c r="E338" s="42"/>
      <c r="F338" s="11"/>
      <c r="G338" s="50"/>
      <c r="H338" s="49"/>
      <c r="I338" s="50"/>
      <c r="J338" s="50"/>
      <c r="K338" s="44"/>
      <c r="L338" s="63"/>
      <c r="M338" s="87"/>
      <c r="N338" s="106"/>
      <c r="O338" s="46"/>
      <c r="P338" s="46"/>
      <c r="Q338" s="40"/>
      <c r="R338" s="44"/>
    </row>
    <row r="339" spans="1:19" s="41" customFormat="1" ht="20.100000000000001" customHeight="1">
      <c r="A339" s="8"/>
      <c r="B339" s="8"/>
      <c r="C339" s="8"/>
      <c r="D339" s="11"/>
      <c r="E339" s="42"/>
      <c r="F339" s="11"/>
      <c r="G339" s="50"/>
      <c r="H339" s="63"/>
      <c r="I339" s="50"/>
      <c r="J339" s="50"/>
      <c r="K339" s="44"/>
      <c r="L339" s="63"/>
      <c r="M339" s="87"/>
      <c r="N339" s="45"/>
      <c r="O339" s="46"/>
      <c r="P339" s="46"/>
      <c r="Q339" s="40"/>
      <c r="R339" s="44"/>
    </row>
    <row r="340" spans="1:19" s="41" customFormat="1" ht="20.100000000000001" customHeight="1">
      <c r="A340" s="8"/>
      <c r="B340" s="8"/>
      <c r="C340" s="8"/>
      <c r="D340" s="11"/>
      <c r="E340" s="42"/>
      <c r="F340" s="11"/>
      <c r="G340" s="50"/>
      <c r="H340" s="49"/>
      <c r="I340" s="50"/>
      <c r="J340" s="50"/>
      <c r="K340" s="44"/>
      <c r="L340" s="63"/>
      <c r="M340" s="87"/>
      <c r="N340" s="106"/>
      <c r="O340" s="46"/>
      <c r="P340" s="46"/>
      <c r="Q340" s="40"/>
      <c r="R340" s="44"/>
    </row>
    <row r="341" spans="1:19" s="41" customFormat="1" ht="20.100000000000001" customHeight="1">
      <c r="A341" s="8"/>
      <c r="B341" s="8"/>
      <c r="C341" s="8"/>
      <c r="D341" s="11"/>
      <c r="E341" s="42"/>
      <c r="F341" s="11"/>
      <c r="G341" s="50"/>
      <c r="H341" s="50"/>
      <c r="I341" s="50"/>
      <c r="J341" s="50"/>
      <c r="K341" s="44"/>
      <c r="L341" s="63"/>
      <c r="M341" s="87"/>
      <c r="N341" s="45"/>
      <c r="O341" s="46"/>
      <c r="P341" s="46"/>
      <c r="Q341" s="40"/>
      <c r="R341" s="44"/>
    </row>
    <row r="342" spans="1:19" s="41" customFormat="1" ht="48" customHeight="1">
      <c r="A342" s="8"/>
      <c r="B342" s="8"/>
      <c r="C342" s="660" t="s">
        <v>239</v>
      </c>
      <c r="D342" s="660"/>
      <c r="E342" s="660"/>
      <c r="F342" s="660"/>
      <c r="G342" s="660"/>
      <c r="H342" s="660"/>
      <c r="I342" s="660"/>
      <c r="J342" s="660"/>
      <c r="K342" s="660"/>
      <c r="L342" s="60"/>
      <c r="M342" s="88"/>
      <c r="N342" s="50"/>
      <c r="O342" s="49"/>
      <c r="P342" s="49"/>
      <c r="Q342" s="40"/>
      <c r="R342" s="44"/>
    </row>
    <row r="343" spans="1:19" s="41" customFormat="1" ht="27" customHeight="1" thickBot="1">
      <c r="A343" s="656" t="s">
        <v>240</v>
      </c>
      <c r="B343" s="656"/>
      <c r="C343" s="656"/>
      <c r="D343" s="656"/>
      <c r="E343" s="656"/>
      <c r="F343" s="656"/>
      <c r="G343" s="656"/>
      <c r="H343" s="656"/>
      <c r="I343" s="656"/>
      <c r="J343" s="656"/>
      <c r="K343" s="656"/>
      <c r="L343" s="62"/>
      <c r="M343" s="88"/>
      <c r="N343" s="45"/>
      <c r="O343" s="46"/>
      <c r="P343" s="46"/>
      <c r="Q343" s="40"/>
      <c r="R343" s="44"/>
    </row>
    <row r="344" spans="1:19" s="41" customFormat="1" ht="20.100000000000001" customHeight="1" thickTop="1" thickBot="1">
      <c r="A344" s="67"/>
      <c r="B344" s="134"/>
      <c r="C344" s="70" t="s">
        <v>55</v>
      </c>
      <c r="D344" s="70" t="s">
        <v>51</v>
      </c>
      <c r="E344" s="71" t="s">
        <v>31</v>
      </c>
      <c r="F344" s="72" t="s">
        <v>29</v>
      </c>
      <c r="G344" s="81" t="s">
        <v>62</v>
      </c>
      <c r="H344" s="81" t="s">
        <v>30</v>
      </c>
      <c r="I344" s="81" t="s">
        <v>62</v>
      </c>
      <c r="J344" s="75"/>
      <c r="K344" s="110" t="s">
        <v>101</v>
      </c>
      <c r="L344" s="110" t="s">
        <v>159</v>
      </c>
      <c r="M344" s="90" t="s">
        <v>160</v>
      </c>
      <c r="N344" s="92"/>
      <c r="O344" s="94"/>
      <c r="P344" s="93"/>
      <c r="Q344" s="94" t="s">
        <v>29</v>
      </c>
      <c r="R344" s="95" t="s">
        <v>30</v>
      </c>
      <c r="S344" s="41" t="s">
        <v>63</v>
      </c>
    </row>
    <row r="345" spans="1:19" s="41" customFormat="1" ht="20.100000000000001" customHeight="1" thickTop="1">
      <c r="A345" s="68"/>
      <c r="B345" s="135"/>
      <c r="C345" s="73"/>
      <c r="D345" s="73"/>
      <c r="E345" s="74"/>
      <c r="F345" s="73" t="s">
        <v>57</v>
      </c>
      <c r="G345" s="82" t="s">
        <v>8</v>
      </c>
      <c r="H345" s="82" t="s">
        <v>57</v>
      </c>
      <c r="I345" s="266" t="s">
        <v>8</v>
      </c>
      <c r="J345" s="267"/>
      <c r="K345" s="110" t="s">
        <v>158</v>
      </c>
      <c r="L345" s="111"/>
      <c r="M345" s="91"/>
      <c r="N345" s="96"/>
      <c r="O345" s="94"/>
      <c r="P345" s="112"/>
      <c r="Q345" s="94"/>
      <c r="R345" s="97"/>
    </row>
    <row r="346" spans="1:19" s="41" customFormat="1" ht="20.100000000000001" customHeight="1">
      <c r="A346" s="68"/>
      <c r="B346" s="55"/>
      <c r="C346" s="69">
        <v>1</v>
      </c>
      <c r="D346" s="289" t="s">
        <v>54</v>
      </c>
      <c r="E346" s="256" t="s">
        <v>165</v>
      </c>
      <c r="F346" s="265">
        <f>SUMIF($F$144:$F289,E346,$G$144:$G289)</f>
        <v>4429</v>
      </c>
      <c r="G346" s="83">
        <f>SUMIF($F$144:$F286,E346,$H$144:$H286)</f>
        <v>2860.2482</v>
      </c>
      <c r="H346" s="108">
        <f>SUMIF($M$144:$M286,E346,$N$144:$N286)</f>
        <v>4588</v>
      </c>
      <c r="I346" s="519">
        <f>SUMIF($M$144:$M286,E346,$O$144:$O286)</f>
        <v>2962.9304000000002</v>
      </c>
      <c r="J346" s="520"/>
      <c r="K346" s="125"/>
      <c r="L346" s="124"/>
      <c r="M346" s="78">
        <f>K346+F346-H346</f>
        <v>-159</v>
      </c>
      <c r="N346" s="83"/>
      <c r="O346" s="127"/>
      <c r="P346" s="98"/>
      <c r="Q346" s="99"/>
      <c r="R346" s="100"/>
      <c r="S346" s="104" t="e">
        <f>SUM(G346+I346)/SUM(F346+H346)*#REF!</f>
        <v>#REF!</v>
      </c>
    </row>
    <row r="347" spans="1:19" s="41" customFormat="1" ht="20.100000000000001" customHeight="1">
      <c r="A347" s="68"/>
      <c r="B347" s="55"/>
      <c r="C347" s="69"/>
      <c r="D347" s="264" t="s">
        <v>230</v>
      </c>
      <c r="E347" s="255" t="s">
        <v>231</v>
      </c>
      <c r="F347" s="265">
        <f>SUMIF($F$144:$F290,E347,$G$144:$G290)</f>
        <v>4210</v>
      </c>
      <c r="G347" s="562">
        <f>SUMIF($F$144:$F326,E347,$H$144:$H326)</f>
        <v>3514.9290000000005</v>
      </c>
      <c r="H347" s="108">
        <f>SUMIF($M$144:$M326,E347,$N$144:$N326)</f>
        <v>4070</v>
      </c>
      <c r="I347" s="519">
        <f>SUMIF($M$144:$M292,E347,$O$144:$O292)</f>
        <v>3398.0429999999997</v>
      </c>
      <c r="J347" s="520"/>
      <c r="K347" s="124"/>
      <c r="L347" s="124"/>
      <c r="M347" s="78">
        <f>K347+F347-H347</f>
        <v>140</v>
      </c>
      <c r="N347" s="83"/>
      <c r="O347" s="127"/>
      <c r="P347" s="98"/>
      <c r="Q347" s="99"/>
      <c r="R347" s="100"/>
      <c r="S347" s="104"/>
    </row>
    <row r="348" spans="1:19" s="41" customFormat="1" ht="20.100000000000001" customHeight="1">
      <c r="A348" s="68"/>
      <c r="B348" s="55"/>
      <c r="C348" s="69"/>
      <c r="D348" s="264" t="s">
        <v>167</v>
      </c>
      <c r="E348" s="255" t="s">
        <v>168</v>
      </c>
      <c r="F348" s="265">
        <f>SUMIF($F$144:$F291,E348,$G$144:$G291)</f>
        <v>497</v>
      </c>
      <c r="G348" s="562">
        <f>SUMIF($F$144:$F327,E348,$H$144:$H327)</f>
        <v>776.36370000000011</v>
      </c>
      <c r="H348" s="108">
        <f>SUMIF($M$144:$M327,E348,$N$144:$N327)</f>
        <v>497</v>
      </c>
      <c r="I348" s="519">
        <f>SUMIF($M$144:$M293,E348,$O$144:$O293)</f>
        <v>776.36369999999999</v>
      </c>
      <c r="J348" s="520"/>
      <c r="K348" s="124"/>
      <c r="L348" s="124"/>
      <c r="M348" s="78">
        <f>K348+F348-H348</f>
        <v>0</v>
      </c>
      <c r="N348" s="83"/>
      <c r="O348" s="127"/>
      <c r="P348" s="98"/>
      <c r="Q348" s="99"/>
      <c r="R348" s="100"/>
      <c r="S348" s="104"/>
    </row>
    <row r="349" spans="1:19" s="41" customFormat="1" ht="20.100000000000001" customHeight="1">
      <c r="A349" s="68"/>
      <c r="B349" s="55"/>
      <c r="C349" s="69"/>
      <c r="D349" s="264" t="s">
        <v>280</v>
      </c>
      <c r="E349" s="255" t="s">
        <v>281</v>
      </c>
      <c r="F349" s="265">
        <f>SUMIF($F$144:$F292,E349,$G$144:$G292)</f>
        <v>2003</v>
      </c>
      <c r="G349" s="562">
        <f>SUMIF($F$144:$F328,E349,$H$144:$H328)</f>
        <v>2652.6214</v>
      </c>
      <c r="H349" s="108">
        <f>SUMIF($M$144:$M328,E349,$N$144:$N328)</f>
        <v>1935</v>
      </c>
      <c r="I349" s="519">
        <f>SUMIF($M$144:$M294,E349,$O$144:$O294)</f>
        <v>2562.5964000000004</v>
      </c>
      <c r="J349" s="520"/>
      <c r="K349" s="124"/>
      <c r="L349" s="124"/>
      <c r="M349" s="78"/>
      <c r="N349" s="83"/>
      <c r="O349" s="127"/>
      <c r="P349" s="98"/>
      <c r="Q349" s="99"/>
      <c r="R349" s="100"/>
      <c r="S349" s="104"/>
    </row>
    <row r="350" spans="1:19" s="41" customFormat="1" ht="20.100000000000001" customHeight="1">
      <c r="A350" s="68"/>
      <c r="B350" s="55"/>
      <c r="C350" s="69"/>
      <c r="D350" s="546" t="s">
        <v>304</v>
      </c>
      <c r="E350" s="548" t="s">
        <v>284</v>
      </c>
      <c r="F350" s="265">
        <f>SUMIF($F$144:$F293,E350,$G$144:$G293)</f>
        <v>1928</v>
      </c>
      <c r="G350" s="562">
        <f>SUMIF($F$144:$F329,E350,$H$144:$H329)</f>
        <v>2952.3695399999997</v>
      </c>
      <c r="H350" s="108">
        <f>SUMIF($M$144:$M329,E350,$N$144:$N329)</f>
        <v>1856</v>
      </c>
      <c r="I350" s="519">
        <f>SUMIF($M$144:$M295,E350,$O$144:$O295)</f>
        <v>2841.9071999999996</v>
      </c>
      <c r="J350" s="520"/>
      <c r="K350" s="124"/>
      <c r="L350" s="124"/>
      <c r="M350" s="78"/>
      <c r="N350" s="83"/>
      <c r="O350" s="127"/>
      <c r="P350" s="98"/>
      <c r="Q350" s="99"/>
      <c r="R350" s="100"/>
      <c r="S350" s="104"/>
    </row>
    <row r="351" spans="1:19" s="41" customFormat="1" ht="20.100000000000001" customHeight="1">
      <c r="A351" s="68"/>
      <c r="B351" s="55"/>
      <c r="C351" s="69"/>
      <c r="D351" s="417" t="s">
        <v>302</v>
      </c>
      <c r="E351" s="419" t="s">
        <v>303</v>
      </c>
      <c r="F351" s="265">
        <f>SUMIF($F$144:$F294,E351,$G$144:$G294)</f>
        <v>100</v>
      </c>
      <c r="G351" s="562">
        <f>SUMIF($F$144:$F329,E351,$H$144:$H329)</f>
        <v>101.67999999999999</v>
      </c>
      <c r="H351" s="108">
        <f>SUMIF($M$144:$M330,E351,$N$144:$N330)</f>
        <v>0</v>
      </c>
      <c r="I351" s="519">
        <f>SUMIF($M$144:$M296,E351,$O$144:$O296)</f>
        <v>0</v>
      </c>
      <c r="J351" s="520"/>
      <c r="K351" s="124"/>
      <c r="L351" s="124"/>
      <c r="M351" s="78"/>
      <c r="N351" s="83"/>
      <c r="O351" s="127"/>
      <c r="P351" s="98"/>
      <c r="Q351" s="99"/>
      <c r="R351" s="100"/>
      <c r="S351" s="104"/>
    </row>
    <row r="352" spans="1:19" s="41" customFormat="1" ht="20.100000000000001" customHeight="1">
      <c r="A352" s="582"/>
      <c r="B352" s="583"/>
      <c r="C352" s="584"/>
      <c r="D352" s="344" t="s">
        <v>298</v>
      </c>
      <c r="E352" s="346" t="s">
        <v>299</v>
      </c>
      <c r="F352" s="265">
        <f>SUMIF($F$144:$F295,E352,$G$144:$G295)</f>
        <v>186</v>
      </c>
      <c r="G352" s="562">
        <f>SUMIF($F$144:$F332,E352,$H$144:$H332)</f>
        <v>136.4682</v>
      </c>
      <c r="H352" s="108">
        <f>SUMIF($M$144:$M332,E352,$N$144:$N332)</f>
        <v>180</v>
      </c>
      <c r="I352" s="519">
        <f>SUMIF($M$144:$M297,E352,$O$144:$O297)</f>
        <v>132.066</v>
      </c>
      <c r="J352" s="520"/>
      <c r="K352" s="585"/>
      <c r="L352" s="585"/>
      <c r="M352" s="586"/>
      <c r="N352" s="587"/>
      <c r="O352" s="588"/>
      <c r="P352" s="589"/>
      <c r="Q352" s="590"/>
      <c r="R352" s="591"/>
      <c r="S352" s="104"/>
    </row>
    <row r="353" spans="1:19" s="41" customFormat="1" ht="20.100000000000001" customHeight="1" thickBot="1">
      <c r="A353" s="84"/>
      <c r="B353" s="137"/>
      <c r="C353" s="76"/>
      <c r="D353" s="76"/>
      <c r="E353" s="76"/>
      <c r="F353" s="130">
        <f>SUM(F346:F351)</f>
        <v>13167</v>
      </c>
      <c r="G353" s="563">
        <f>SUM(G346:G351)</f>
        <v>12858.21184</v>
      </c>
      <c r="H353" s="33">
        <f>SUM(H346:H351)</f>
        <v>12946</v>
      </c>
      <c r="I353" s="693">
        <f>SUM(I346:I351)</f>
        <v>12541.840699999999</v>
      </c>
      <c r="J353" s="694"/>
      <c r="K353" s="132"/>
      <c r="L353" s="132"/>
      <c r="M353" s="133"/>
      <c r="N353" s="131"/>
      <c r="O353" s="131"/>
      <c r="P353" s="131">
        <f>SUM(P346:P351)</f>
        <v>0</v>
      </c>
      <c r="Q353" s="131">
        <f>SUM(Q346:Q351)</f>
        <v>0</v>
      </c>
      <c r="R353" s="131">
        <f>SUM(R346:R351)</f>
        <v>0</v>
      </c>
      <c r="S353" s="105" t="e">
        <f>SUM(S345:S351)</f>
        <v>#REF!</v>
      </c>
    </row>
    <row r="354" spans="1:19" ht="20.100000000000001" customHeight="1" thickTop="1">
      <c r="A354" s="5"/>
      <c r="B354" s="5"/>
      <c r="C354" s="39"/>
      <c r="D354" s="12" t="s">
        <v>77</v>
      </c>
      <c r="E354" s="12"/>
      <c r="F354" s="12"/>
      <c r="G354" s="51"/>
      <c r="H354" s="51"/>
      <c r="I354" s="268"/>
      <c r="J354" s="39"/>
      <c r="K354" s="12"/>
      <c r="L354" s="38"/>
      <c r="M354" s="48"/>
      <c r="N354" s="128"/>
      <c r="O354" s="129"/>
      <c r="P354" s="129"/>
      <c r="Q354" s="129"/>
      <c r="R354" s="54"/>
      <c r="S354" s="104"/>
    </row>
    <row r="355" spans="1:19" ht="20.100000000000001" customHeight="1">
      <c r="A355" s="5"/>
      <c r="B355" s="5"/>
      <c r="C355" s="39"/>
      <c r="D355" s="12" t="s">
        <v>78</v>
      </c>
      <c r="E355" s="34"/>
      <c r="F355" s="265">
        <f>SUMIF($F$144:$F325,E346,$G$144:$G325)</f>
        <v>4429</v>
      </c>
      <c r="G355" s="59">
        <f>I244-G353</f>
        <v>136.46820000000116</v>
      </c>
      <c r="H355" s="50">
        <f>P244-I353</f>
        <v>132.06600000000071</v>
      </c>
      <c r="I355" s="103"/>
      <c r="J355" s="64"/>
      <c r="K355" s="12"/>
      <c r="L355" s="38"/>
      <c r="M355" s="48"/>
      <c r="N355" s="12"/>
      <c r="O355" s="12"/>
      <c r="P355" s="12"/>
      <c r="Q355" s="12"/>
      <c r="R355" s="5"/>
    </row>
    <row r="356" spans="1:19" ht="20.100000000000001" customHeight="1">
      <c r="A356" s="5"/>
      <c r="B356" s="5"/>
      <c r="C356" s="39"/>
      <c r="D356" s="12"/>
      <c r="E356" s="12"/>
      <c r="F356" s="12"/>
      <c r="G356" s="51"/>
      <c r="H356" s="48"/>
      <c r="I356" s="109"/>
      <c r="J356" s="39"/>
      <c r="K356" s="12"/>
      <c r="L356" s="107"/>
      <c r="M356" s="48"/>
      <c r="N356" s="12"/>
      <c r="O356" s="12"/>
      <c r="P356" s="12"/>
      <c r="Q356" s="12"/>
      <c r="R356" s="5"/>
    </row>
    <row r="357" spans="1:19" ht="20.100000000000001" customHeight="1">
      <c r="A357" s="5"/>
      <c r="B357" s="5"/>
      <c r="C357" s="35"/>
      <c r="D357" s="11"/>
      <c r="E357" s="11"/>
      <c r="F357" s="11"/>
      <c r="G357" s="695"/>
      <c r="H357" s="695"/>
      <c r="I357" s="696"/>
      <c r="J357" s="696"/>
      <c r="K357" s="12"/>
      <c r="L357" s="38"/>
      <c r="M357" s="48"/>
      <c r="N357" s="12"/>
      <c r="O357" s="12"/>
      <c r="P357" s="12"/>
      <c r="Q357" s="12"/>
      <c r="R357" s="5"/>
    </row>
    <row r="358" spans="1:19" ht="20.100000000000001" customHeight="1">
      <c r="A358" s="5"/>
      <c r="B358" s="5"/>
      <c r="C358" s="35"/>
      <c r="D358" s="11"/>
      <c r="E358" s="11"/>
      <c r="F358" s="8"/>
      <c r="G358" s="50"/>
      <c r="H358" s="50"/>
      <c r="I358" s="79"/>
      <c r="J358" s="80"/>
      <c r="K358" s="12"/>
      <c r="L358" s="38"/>
      <c r="M358" s="48"/>
      <c r="N358" s="12"/>
      <c r="O358" s="12"/>
      <c r="P358" s="12"/>
      <c r="Q358" s="12"/>
      <c r="R358" s="5"/>
    </row>
    <row r="359" spans="1:19" ht="20.100000000000001" customHeight="1">
      <c r="A359" s="5"/>
      <c r="B359" s="5"/>
      <c r="C359" s="35"/>
      <c r="D359" s="11"/>
      <c r="E359" s="11"/>
      <c r="F359" s="8"/>
      <c r="G359" s="50"/>
      <c r="H359" s="50"/>
      <c r="I359" s="79"/>
      <c r="J359" s="80"/>
      <c r="K359" s="12"/>
      <c r="L359" s="38">
        <f>L357-L358</f>
        <v>0</v>
      </c>
      <c r="M359" s="48"/>
      <c r="N359" s="12"/>
      <c r="O359" s="12"/>
      <c r="P359" s="12"/>
      <c r="Q359" s="12"/>
      <c r="R359" s="5"/>
    </row>
    <row r="360" spans="1:19" ht="20.100000000000001" customHeight="1">
      <c r="A360" s="5"/>
      <c r="B360" s="5"/>
      <c r="C360" s="35"/>
      <c r="D360" s="11"/>
      <c r="E360" s="11"/>
      <c r="F360" s="8"/>
      <c r="G360" s="50"/>
      <c r="H360" s="50"/>
      <c r="I360" s="79"/>
      <c r="J360" s="80"/>
      <c r="K360" s="12"/>
      <c r="L360" s="38"/>
      <c r="M360" s="48"/>
      <c r="N360" s="12"/>
      <c r="O360" s="12"/>
      <c r="P360" s="12"/>
      <c r="Q360" s="12"/>
      <c r="R360" s="5"/>
    </row>
    <row r="361" spans="1:19" ht="20.100000000000001" customHeight="1">
      <c r="A361" s="5"/>
      <c r="B361" s="5"/>
      <c r="C361" s="11"/>
      <c r="D361" s="11"/>
      <c r="E361" s="11"/>
      <c r="F361" s="8"/>
      <c r="G361" s="50"/>
      <c r="H361" s="50"/>
      <c r="I361" s="79"/>
      <c r="J361" s="80"/>
      <c r="K361" s="12"/>
      <c r="L361" s="38"/>
      <c r="M361" s="48"/>
      <c r="N361" s="12"/>
      <c r="O361" s="12"/>
      <c r="P361" s="12"/>
      <c r="Q361" s="12"/>
      <c r="R361" s="5"/>
    </row>
    <row r="362" spans="1:19" ht="20.100000000000001" customHeight="1">
      <c r="A362" s="5"/>
      <c r="B362" s="5"/>
      <c r="C362" s="35"/>
      <c r="D362" s="77" t="s">
        <v>58</v>
      </c>
      <c r="E362" s="697" t="s">
        <v>59</v>
      </c>
      <c r="F362" s="697"/>
      <c r="G362" s="697"/>
      <c r="H362" s="697"/>
      <c r="I362" s="698" t="s">
        <v>28</v>
      </c>
      <c r="J362" s="698"/>
      <c r="K362" s="12"/>
      <c r="L362" s="38"/>
      <c r="M362" s="48"/>
      <c r="N362" s="12"/>
      <c r="O362" s="12"/>
      <c r="P362" s="12"/>
      <c r="Q362" s="12"/>
      <c r="R362" s="5"/>
    </row>
    <row r="363" spans="1:19" ht="20.100000000000001" customHeight="1">
      <c r="A363" s="5"/>
      <c r="B363" s="5"/>
      <c r="C363" s="39"/>
      <c r="D363" s="12"/>
      <c r="E363" s="12"/>
      <c r="F363" s="5"/>
      <c r="G363" s="51"/>
      <c r="H363" s="51"/>
      <c r="I363" s="5"/>
      <c r="J363" s="39"/>
      <c r="K363" s="12"/>
      <c r="L363" s="38"/>
      <c r="M363" s="48"/>
      <c r="N363" s="12"/>
      <c r="O363" s="12"/>
      <c r="P363" s="12"/>
      <c r="Q363" s="12"/>
      <c r="R363" s="5"/>
    </row>
    <row r="364" spans="1:19" ht="20.100000000000001" customHeight="1">
      <c r="A364" s="5"/>
      <c r="B364" s="5"/>
      <c r="C364" s="39"/>
      <c r="D364" s="12"/>
      <c r="E364" s="12"/>
      <c r="F364" s="5"/>
      <c r="G364" s="51"/>
      <c r="H364" s="51"/>
      <c r="I364" s="5"/>
      <c r="J364" s="39"/>
      <c r="K364" s="12"/>
      <c r="L364" s="38"/>
      <c r="M364" s="48"/>
      <c r="N364" s="12"/>
      <c r="O364" s="12"/>
      <c r="P364" s="12"/>
      <c r="Q364" s="12"/>
      <c r="R364" s="5"/>
    </row>
    <row r="365" spans="1:19" ht="20.100000000000001" customHeight="1">
      <c r="A365" s="5"/>
      <c r="B365" s="5"/>
      <c r="C365" s="39"/>
      <c r="D365" s="12"/>
      <c r="E365" s="12"/>
      <c r="F365" s="5"/>
      <c r="G365" s="51"/>
      <c r="H365" s="51"/>
      <c r="I365" s="5"/>
      <c r="J365" s="39"/>
      <c r="K365" s="12"/>
      <c r="L365" s="38"/>
      <c r="M365" s="48"/>
      <c r="N365" s="12"/>
      <c r="O365" s="12"/>
      <c r="P365" s="12"/>
      <c r="Q365" s="12"/>
      <c r="R365" s="5"/>
    </row>
    <row r="366" spans="1:19" ht="20.100000000000001" customHeight="1">
      <c r="A366" s="5"/>
      <c r="B366" s="5"/>
      <c r="C366" s="39"/>
      <c r="D366" s="12"/>
      <c r="E366" s="12"/>
      <c r="F366" s="5"/>
      <c r="G366" s="51"/>
      <c r="H366" s="51"/>
      <c r="I366" s="5"/>
      <c r="J366" s="39"/>
      <c r="K366" s="12"/>
      <c r="L366" s="38"/>
      <c r="M366" s="48"/>
      <c r="N366" s="12"/>
      <c r="O366" s="12"/>
      <c r="P366" s="12"/>
      <c r="Q366" s="12"/>
      <c r="R366" s="5"/>
    </row>
    <row r="367" spans="1:19" ht="20.100000000000001" customHeight="1">
      <c r="A367" s="5"/>
      <c r="B367" s="5"/>
      <c r="C367" s="39"/>
      <c r="D367" s="12"/>
      <c r="E367" s="12"/>
      <c r="F367" s="5"/>
      <c r="G367" s="51"/>
      <c r="H367" s="51"/>
      <c r="I367" s="5"/>
      <c r="J367" s="39"/>
      <c r="K367" s="12"/>
      <c r="L367" s="38"/>
      <c r="M367" s="48"/>
      <c r="N367" s="12"/>
      <c r="O367" s="12"/>
      <c r="P367" s="12"/>
      <c r="Q367" s="12"/>
      <c r="R367" s="5"/>
    </row>
    <row r="368" spans="1:19" ht="20.100000000000001" customHeight="1">
      <c r="A368" s="5"/>
      <c r="B368" s="5"/>
      <c r="C368" s="39"/>
      <c r="D368" s="12"/>
      <c r="E368" s="12"/>
      <c r="F368" s="5"/>
      <c r="G368" s="51"/>
      <c r="H368" s="51"/>
      <c r="I368" s="5"/>
      <c r="J368" s="39"/>
      <c r="K368" s="12"/>
      <c r="L368" s="38"/>
      <c r="M368" s="48"/>
      <c r="N368" s="12"/>
      <c r="O368" s="12"/>
      <c r="P368" s="12"/>
      <c r="Q368" s="12"/>
      <c r="R368" s="5"/>
    </row>
    <row r="369" spans="1:18" ht="19.5" customHeight="1">
      <c r="A369" s="5"/>
      <c r="B369" s="5"/>
      <c r="C369" s="5"/>
      <c r="D369" s="12"/>
      <c r="E369" s="12"/>
      <c r="F369" s="12"/>
      <c r="G369" s="51"/>
      <c r="H369" s="51"/>
      <c r="I369" s="12"/>
      <c r="J369" s="12"/>
      <c r="K369" s="12"/>
      <c r="L369" s="48"/>
      <c r="M369" s="48"/>
      <c r="N369" s="12"/>
      <c r="O369" s="12"/>
      <c r="P369" s="12"/>
      <c r="Q369" s="12"/>
      <c r="R369" s="5"/>
    </row>
    <row r="370" spans="1:18" ht="15" customHeight="1">
      <c r="A370" s="36"/>
      <c r="B370" s="36"/>
      <c r="O370" s="692"/>
      <c r="P370" s="692"/>
      <c r="Q370" s="692"/>
      <c r="R370" s="692"/>
    </row>
    <row r="371" spans="1:18" ht="15" customHeight="1">
      <c r="A371" s="36"/>
      <c r="B371" s="36"/>
      <c r="Q371" s="37"/>
      <c r="R371" s="37"/>
    </row>
    <row r="372" spans="1:18" ht="15" customHeight="1">
      <c r="A372" s="36"/>
      <c r="B372" s="36"/>
      <c r="Q372" s="37"/>
      <c r="R372" s="37"/>
    </row>
    <row r="373" spans="1:18" ht="15" customHeight="1">
      <c r="A373" s="36"/>
      <c r="B373" s="36"/>
      <c r="Q373" s="37"/>
      <c r="R373" s="37"/>
    </row>
    <row r="374" spans="1:18" ht="15" customHeight="1">
      <c r="A374" s="36"/>
      <c r="B374" s="36"/>
      <c r="O374" s="692"/>
      <c r="P374" s="692"/>
      <c r="Q374" s="692"/>
      <c r="R374" s="692"/>
    </row>
    <row r="375" spans="1:18" ht="15" customHeight="1">
      <c r="A375" s="36"/>
      <c r="B375" s="36"/>
    </row>
    <row r="376" spans="1:18" ht="15" customHeight="1">
      <c r="A376" s="36"/>
      <c r="B376" s="36"/>
    </row>
    <row r="377" spans="1:18" ht="15" customHeight="1">
      <c r="A377" s="36"/>
      <c r="B377" s="36"/>
    </row>
    <row r="378" spans="1:18" ht="15" customHeight="1">
      <c r="A378" s="36"/>
      <c r="B378" s="36"/>
    </row>
    <row r="379" spans="1:18" ht="15" customHeight="1">
      <c r="A379" s="36"/>
      <c r="B379" s="36"/>
    </row>
    <row r="380" spans="1:18" ht="20.100000000000001" customHeight="1">
      <c r="A380" s="36"/>
      <c r="B380" s="36"/>
    </row>
    <row r="381" spans="1:18" ht="20.100000000000001" customHeight="1">
      <c r="A381" s="36"/>
      <c r="B381" s="36"/>
    </row>
    <row r="382" spans="1:18" ht="20.100000000000001" customHeight="1">
      <c r="A382" s="36"/>
      <c r="B382" s="36"/>
    </row>
    <row r="383" spans="1:18" ht="20.100000000000001" customHeight="1">
      <c r="A383" s="36"/>
      <c r="B383" s="36"/>
    </row>
    <row r="384" spans="1:18" ht="20.100000000000001" customHeight="1">
      <c r="A384" s="36"/>
      <c r="B384" s="36"/>
    </row>
    <row r="385" spans="1:2" ht="20.100000000000001" customHeight="1">
      <c r="A385" s="36"/>
      <c r="B385" s="36"/>
    </row>
    <row r="386" spans="1:2" ht="20.100000000000001" customHeight="1">
      <c r="A386" s="36"/>
      <c r="B386" s="36"/>
    </row>
    <row r="387" spans="1:2" ht="20.100000000000001" customHeight="1">
      <c r="A387" s="36"/>
      <c r="B387" s="36"/>
    </row>
    <row r="388" spans="1:2" ht="20.100000000000001" customHeight="1">
      <c r="A388" s="36"/>
      <c r="B388" s="36"/>
    </row>
    <row r="389" spans="1:2" ht="20.100000000000001" customHeight="1">
      <c r="A389" s="36"/>
      <c r="B389" s="36"/>
    </row>
    <row r="390" spans="1:2" ht="20.100000000000001" customHeight="1">
      <c r="A390" s="36"/>
      <c r="B390" s="36"/>
    </row>
    <row r="391" spans="1:2" ht="20.100000000000001" customHeight="1">
      <c r="A391" s="36"/>
      <c r="B391" s="36"/>
    </row>
    <row r="392" spans="1:2" ht="20.100000000000001" customHeight="1">
      <c r="A392" s="36"/>
      <c r="B392" s="36"/>
    </row>
    <row r="393" spans="1:2" ht="20.100000000000001" customHeight="1">
      <c r="A393" s="36"/>
      <c r="B393" s="36"/>
    </row>
    <row r="394" spans="1:2" ht="20.100000000000001" customHeight="1">
      <c r="A394" s="36"/>
      <c r="B394" s="36"/>
    </row>
    <row r="395" spans="1:2" ht="20.100000000000001" customHeight="1">
      <c r="A395" s="36"/>
      <c r="B395" s="36"/>
    </row>
    <row r="396" spans="1:2" ht="20.100000000000001" customHeight="1">
      <c r="A396" s="36"/>
      <c r="B396" s="36"/>
    </row>
    <row r="397" spans="1:2" ht="20.100000000000001" customHeight="1">
      <c r="A397" s="36"/>
      <c r="B397" s="36"/>
    </row>
    <row r="398" spans="1:2" ht="20.100000000000001" customHeight="1">
      <c r="A398" s="36"/>
      <c r="B398" s="36"/>
    </row>
    <row r="399" spans="1:2" ht="20.100000000000001" customHeight="1">
      <c r="A399" s="36"/>
      <c r="B399" s="36"/>
    </row>
    <row r="400" spans="1:2" ht="20.100000000000001" customHeight="1">
      <c r="A400" s="36"/>
      <c r="B400" s="36"/>
    </row>
    <row r="401" spans="1:2" ht="20.100000000000001" customHeight="1">
      <c r="A401" s="36"/>
      <c r="B401" s="36"/>
    </row>
  </sheetData>
  <mergeCells count="367">
    <mergeCell ref="P208:Q208"/>
    <mergeCell ref="O133:O135"/>
    <mergeCell ref="Q133:Q135"/>
    <mergeCell ref="O136:O137"/>
    <mergeCell ref="K127:K129"/>
    <mergeCell ref="M127:M129"/>
    <mergeCell ref="I193:J193"/>
    <mergeCell ref="I208:J208"/>
    <mergeCell ref="I195:J195"/>
    <mergeCell ref="P198:Q198"/>
    <mergeCell ref="P173:Q173"/>
    <mergeCell ref="P157:Q157"/>
    <mergeCell ref="P149:Q149"/>
    <mergeCell ref="P169:Q169"/>
    <mergeCell ref="P153:Q153"/>
    <mergeCell ref="P145:Q145"/>
    <mergeCell ref="P165:Q165"/>
    <mergeCell ref="I145:J145"/>
    <mergeCell ref="P161:Q161"/>
    <mergeCell ref="Q136:Q137"/>
    <mergeCell ref="I184:J184"/>
    <mergeCell ref="I187:J187"/>
    <mergeCell ref="I205:J205"/>
    <mergeCell ref="M133:M135"/>
    <mergeCell ref="I198:J198"/>
    <mergeCell ref="I124:I125"/>
    <mergeCell ref="K124:K125"/>
    <mergeCell ref="K133:K135"/>
    <mergeCell ref="I200:J200"/>
    <mergeCell ref="I203:J203"/>
    <mergeCell ref="K130:K131"/>
    <mergeCell ref="I155:J155"/>
    <mergeCell ref="I157:J157"/>
    <mergeCell ref="I147:J147"/>
    <mergeCell ref="I133:I135"/>
    <mergeCell ref="I165:J165"/>
    <mergeCell ref="I161:J161"/>
    <mergeCell ref="I190:J190"/>
    <mergeCell ref="I167:J167"/>
    <mergeCell ref="Q106:Q107"/>
    <mergeCell ref="P182:Q182"/>
    <mergeCell ref="P177:Q177"/>
    <mergeCell ref="P203:Q203"/>
    <mergeCell ref="P193:Q193"/>
    <mergeCell ref="P187:Q187"/>
    <mergeCell ref="M109:M111"/>
    <mergeCell ref="M106:M107"/>
    <mergeCell ref="O106:O107"/>
    <mergeCell ref="M124:M125"/>
    <mergeCell ref="M130:M131"/>
    <mergeCell ref="M118:M119"/>
    <mergeCell ref="O121:O123"/>
    <mergeCell ref="Q121:Q123"/>
    <mergeCell ref="Q115:Q117"/>
    <mergeCell ref="Q112:Q113"/>
    <mergeCell ref="E109:E111"/>
    <mergeCell ref="I109:I111"/>
    <mergeCell ref="E118:E119"/>
    <mergeCell ref="E121:E123"/>
    <mergeCell ref="M121:M123"/>
    <mergeCell ref="E124:E125"/>
    <mergeCell ref="O124:O125"/>
    <mergeCell ref="M115:M117"/>
    <mergeCell ref="O115:O117"/>
    <mergeCell ref="K118:K119"/>
    <mergeCell ref="K112:K113"/>
    <mergeCell ref="I118:I119"/>
    <mergeCell ref="I115:I117"/>
    <mergeCell ref="K115:K117"/>
    <mergeCell ref="E93:E94"/>
    <mergeCell ref="I93:I94"/>
    <mergeCell ref="E95:E96"/>
    <mergeCell ref="I95:I96"/>
    <mergeCell ref="K93:K94"/>
    <mergeCell ref="M93:M94"/>
    <mergeCell ref="K95:K96"/>
    <mergeCell ref="M95:M96"/>
    <mergeCell ref="E103:E105"/>
    <mergeCell ref="I103:I105"/>
    <mergeCell ref="K103:K105"/>
    <mergeCell ref="M103:M105"/>
    <mergeCell ref="E100:E101"/>
    <mergeCell ref="I100:I101"/>
    <mergeCell ref="O93:O94"/>
    <mergeCell ref="Q93:Q94"/>
    <mergeCell ref="Q103:Q105"/>
    <mergeCell ref="O103:O105"/>
    <mergeCell ref="O112:O113"/>
    <mergeCell ref="M112:M113"/>
    <mergeCell ref="K109:K111"/>
    <mergeCell ref="E246:H246"/>
    <mergeCell ref="O246:R246"/>
    <mergeCell ref="I210:J210"/>
    <mergeCell ref="I213:J213"/>
    <mergeCell ref="P213:Q213"/>
    <mergeCell ref="I215:J215"/>
    <mergeCell ref="I218:J218"/>
    <mergeCell ref="P218:Q218"/>
    <mergeCell ref="I220:J220"/>
    <mergeCell ref="I240:J240"/>
    <mergeCell ref="P228:Q228"/>
    <mergeCell ref="P223:R223"/>
    <mergeCell ref="I223:J223"/>
    <mergeCell ref="P233:Q233"/>
    <mergeCell ref="I225:J225"/>
    <mergeCell ref="I238:J238"/>
    <mergeCell ref="I235:J235"/>
    <mergeCell ref="Q84:Q85"/>
    <mergeCell ref="O87:O89"/>
    <mergeCell ref="Q87:Q89"/>
    <mergeCell ref="O75:O77"/>
    <mergeCell ref="Q75:Q77"/>
    <mergeCell ref="O78:O79"/>
    <mergeCell ref="Q78:Q79"/>
    <mergeCell ref="O81:O83"/>
    <mergeCell ref="E87:E89"/>
    <mergeCell ref="I87:I89"/>
    <mergeCell ref="K87:K89"/>
    <mergeCell ref="M87:M89"/>
    <mergeCell ref="E84:E85"/>
    <mergeCell ref="I84:I85"/>
    <mergeCell ref="K84:K85"/>
    <mergeCell ref="Q81:Q83"/>
    <mergeCell ref="O68:O71"/>
    <mergeCell ref="Q68:Q71"/>
    <mergeCell ref="O63:O64"/>
    <mergeCell ref="Q63:Q64"/>
    <mergeCell ref="O65:O66"/>
    <mergeCell ref="O90:O91"/>
    <mergeCell ref="Q90:Q91"/>
    <mergeCell ref="E90:E91"/>
    <mergeCell ref="I90:I91"/>
    <mergeCell ref="K90:K91"/>
    <mergeCell ref="M90:M91"/>
    <mergeCell ref="O72:O73"/>
    <mergeCell ref="Q72:Q73"/>
    <mergeCell ref="K72:K73"/>
    <mergeCell ref="M72:M73"/>
    <mergeCell ref="E78:E79"/>
    <mergeCell ref="I78:I79"/>
    <mergeCell ref="K78:K79"/>
    <mergeCell ref="M78:M79"/>
    <mergeCell ref="M75:M77"/>
    <mergeCell ref="I72:I73"/>
    <mergeCell ref="E72:E73"/>
    <mergeCell ref="O84:O85"/>
    <mergeCell ref="M81:M83"/>
    <mergeCell ref="E22:E23"/>
    <mergeCell ref="I22:I23"/>
    <mergeCell ref="K22:K23"/>
    <mergeCell ref="M22:M23"/>
    <mergeCell ref="I44:I45"/>
    <mergeCell ref="E47:E48"/>
    <mergeCell ref="I47:I48"/>
    <mergeCell ref="O35:O38"/>
    <mergeCell ref="K60:K61"/>
    <mergeCell ref="M60:M61"/>
    <mergeCell ref="O57:O59"/>
    <mergeCell ref="O60:O61"/>
    <mergeCell ref="O22:O23"/>
    <mergeCell ref="E35:E38"/>
    <mergeCell ref="I35:I38"/>
    <mergeCell ref="O49:O50"/>
    <mergeCell ref="E52:E53"/>
    <mergeCell ref="I52:I53"/>
    <mergeCell ref="K52:K53"/>
    <mergeCell ref="M54:M55"/>
    <mergeCell ref="M57:M59"/>
    <mergeCell ref="K57:K59"/>
    <mergeCell ref="K54:K55"/>
    <mergeCell ref="O52:O53"/>
    <mergeCell ref="Q22:Q23"/>
    <mergeCell ref="M19:M21"/>
    <mergeCell ref="K7:L7"/>
    <mergeCell ref="M7:N7"/>
    <mergeCell ref="O7:P7"/>
    <mergeCell ref="Q7:R7"/>
    <mergeCell ref="M47:M48"/>
    <mergeCell ref="O42:O43"/>
    <mergeCell ref="O44:O45"/>
    <mergeCell ref="K42:K43"/>
    <mergeCell ref="M42:M43"/>
    <mergeCell ref="O47:O48"/>
    <mergeCell ref="K44:K45"/>
    <mergeCell ref="M44:M45"/>
    <mergeCell ref="K47:K48"/>
    <mergeCell ref="Q35:Q38"/>
    <mergeCell ref="O39:O40"/>
    <mergeCell ref="Q39:Q40"/>
    <mergeCell ref="Q47:Q48"/>
    <mergeCell ref="I19:I21"/>
    <mergeCell ref="K19:K21"/>
    <mergeCell ref="M10:M11"/>
    <mergeCell ref="O10:O11"/>
    <mergeCell ref="Q10:Q11"/>
    <mergeCell ref="D8:D9"/>
    <mergeCell ref="E10:E11"/>
    <mergeCell ref="I10:I11"/>
    <mergeCell ref="K10:K11"/>
    <mergeCell ref="O19:O21"/>
    <mergeCell ref="Q19:Q21"/>
    <mergeCell ref="Q1:R1"/>
    <mergeCell ref="P2:R2"/>
    <mergeCell ref="A5:R5"/>
    <mergeCell ref="E7:F7"/>
    <mergeCell ref="G7:H7"/>
    <mergeCell ref="I7:J7"/>
    <mergeCell ref="E13:E15"/>
    <mergeCell ref="I13:I15"/>
    <mergeCell ref="K13:K15"/>
    <mergeCell ref="M13:M15"/>
    <mergeCell ref="O13:O15"/>
    <mergeCell ref="Q13:Q15"/>
    <mergeCell ref="O249:R249"/>
    <mergeCell ref="D281:G281"/>
    <mergeCell ref="E249:H249"/>
    <mergeCell ref="O16:O17"/>
    <mergeCell ref="Q16:Q17"/>
    <mergeCell ref="E16:E17"/>
    <mergeCell ref="I16:I17"/>
    <mergeCell ref="K16:K17"/>
    <mergeCell ref="M16:M17"/>
    <mergeCell ref="I25:I26"/>
    <mergeCell ref="K25:K26"/>
    <mergeCell ref="O25:O26"/>
    <mergeCell ref="Q25:Q26"/>
    <mergeCell ref="M25:M26"/>
    <mergeCell ref="E25:E26"/>
    <mergeCell ref="K35:K38"/>
    <mergeCell ref="M35:M38"/>
    <mergeCell ref="E39:E40"/>
    <mergeCell ref="I39:I40"/>
    <mergeCell ref="E54:E55"/>
    <mergeCell ref="I54:I55"/>
    <mergeCell ref="E49:E50"/>
    <mergeCell ref="E44:E45"/>
    <mergeCell ref="E19:E21"/>
    <mergeCell ref="I353:J353"/>
    <mergeCell ref="G357:H357"/>
    <mergeCell ref="I357:J357"/>
    <mergeCell ref="E362:H362"/>
    <mergeCell ref="I362:J362"/>
    <mergeCell ref="G326:H326"/>
    <mergeCell ref="I326:J326"/>
    <mergeCell ref="C342:K342"/>
    <mergeCell ref="A343:K343"/>
    <mergeCell ref="K248:L248"/>
    <mergeCell ref="I151:J151"/>
    <mergeCell ref="I153:J153"/>
    <mergeCell ref="E63:E64"/>
    <mergeCell ref="I63:I64"/>
    <mergeCell ref="E68:E71"/>
    <mergeCell ref="E81:E83"/>
    <mergeCell ref="I81:I83"/>
    <mergeCell ref="K68:K71"/>
    <mergeCell ref="I121:I123"/>
    <mergeCell ref="K121:K123"/>
    <mergeCell ref="I65:I66"/>
    <mergeCell ref="I68:I71"/>
    <mergeCell ref="E106:E107"/>
    <mergeCell ref="I106:I107"/>
    <mergeCell ref="K106:K107"/>
    <mergeCell ref="I142:J142"/>
    <mergeCell ref="I179:J179"/>
    <mergeCell ref="I182:J182"/>
    <mergeCell ref="E112:E113"/>
    <mergeCell ref="I112:I113"/>
    <mergeCell ref="I163:J163"/>
    <mergeCell ref="I159:J159"/>
    <mergeCell ref="I149:J149"/>
    <mergeCell ref="O370:R370"/>
    <mergeCell ref="O374:R374"/>
    <mergeCell ref="E27:E28"/>
    <mergeCell ref="I27:I28"/>
    <mergeCell ref="K27:K28"/>
    <mergeCell ref="M27:M28"/>
    <mergeCell ref="K30:K31"/>
    <mergeCell ref="M30:M31"/>
    <mergeCell ref="O30:O31"/>
    <mergeCell ref="Q30:Q31"/>
    <mergeCell ref="O27:O28"/>
    <mergeCell ref="Q27:Q28"/>
    <mergeCell ref="O32:O33"/>
    <mergeCell ref="Q32:Q33"/>
    <mergeCell ref="K32:K33"/>
    <mergeCell ref="M32:M33"/>
    <mergeCell ref="E30:E31"/>
    <mergeCell ref="I30:I31"/>
    <mergeCell ref="E32:E33"/>
    <mergeCell ref="I32:I33"/>
    <mergeCell ref="K39:K40"/>
    <mergeCell ref="M39:M40"/>
    <mergeCell ref="Q54:Q55"/>
    <mergeCell ref="M52:M53"/>
    <mergeCell ref="Q52:Q53"/>
    <mergeCell ref="O54:O55"/>
    <mergeCell ref="Q42:Q43"/>
    <mergeCell ref="Q44:Q45"/>
    <mergeCell ref="E42:E43"/>
    <mergeCell ref="I42:I43"/>
    <mergeCell ref="Q49:Q50"/>
    <mergeCell ref="I49:I50"/>
    <mergeCell ref="K49:K50"/>
    <mergeCell ref="M49:M50"/>
    <mergeCell ref="E57:E59"/>
    <mergeCell ref="I57:I59"/>
    <mergeCell ref="K63:K64"/>
    <mergeCell ref="E60:E61"/>
    <mergeCell ref="I60:I61"/>
    <mergeCell ref="M65:M66"/>
    <mergeCell ref="M63:M64"/>
    <mergeCell ref="M68:M71"/>
    <mergeCell ref="M84:M85"/>
    <mergeCell ref="K65:K66"/>
    <mergeCell ref="K81:K83"/>
    <mergeCell ref="E75:E77"/>
    <mergeCell ref="I75:I77"/>
    <mergeCell ref="K75:K77"/>
    <mergeCell ref="E65:E66"/>
    <mergeCell ref="Q65:Q66"/>
    <mergeCell ref="Q57:Q59"/>
    <mergeCell ref="Q60:Q61"/>
    <mergeCell ref="Q118:Q119"/>
    <mergeCell ref="Q127:Q129"/>
    <mergeCell ref="Q130:Q131"/>
    <mergeCell ref="O118:O119"/>
    <mergeCell ref="E130:E131"/>
    <mergeCell ref="I130:I131"/>
    <mergeCell ref="O98:O99"/>
    <mergeCell ref="Q98:Q99"/>
    <mergeCell ref="O95:O96"/>
    <mergeCell ref="Q95:Q96"/>
    <mergeCell ref="K98:K99"/>
    <mergeCell ref="M98:M99"/>
    <mergeCell ref="E98:E99"/>
    <mergeCell ref="I98:I99"/>
    <mergeCell ref="K100:K101"/>
    <mergeCell ref="M100:M101"/>
    <mergeCell ref="Q124:Q125"/>
    <mergeCell ref="O100:O101"/>
    <mergeCell ref="Q100:Q101"/>
    <mergeCell ref="O109:O111"/>
    <mergeCell ref="Q109:Q111"/>
    <mergeCell ref="I244:J244"/>
    <mergeCell ref="O127:O129"/>
    <mergeCell ref="I233:J233"/>
    <mergeCell ref="E136:E137"/>
    <mergeCell ref="I228:J228"/>
    <mergeCell ref="I175:J175"/>
    <mergeCell ref="I177:J177"/>
    <mergeCell ref="I171:J171"/>
    <mergeCell ref="O130:O131"/>
    <mergeCell ref="I230:J230"/>
    <mergeCell ref="I136:I137"/>
    <mergeCell ref="D141:J141"/>
    <mergeCell ref="D142:E142"/>
    <mergeCell ref="K142:L142"/>
    <mergeCell ref="I143:J143"/>
    <mergeCell ref="K141:R141"/>
    <mergeCell ref="P142:R142"/>
    <mergeCell ref="E133:E135"/>
    <mergeCell ref="E127:E129"/>
    <mergeCell ref="I127:I129"/>
    <mergeCell ref="I169:J169"/>
    <mergeCell ref="K136:K137"/>
    <mergeCell ref="M136:M137"/>
    <mergeCell ref="I173:J173"/>
  </mergeCells>
  <phoneticPr fontId="0" type="noConversion"/>
  <pageMargins left="0.28000000000000003" right="0.24" top="0.56000000000000005" bottom="0.33" header="0.5" footer="0.44"/>
  <pageSetup orientation="landscape" r:id="rId1"/>
  <headerFooter alignWithMargins="0">
    <oddFooter xml:space="preserve">&amp;L&amp;".VnTime, Bold"&amp;10&amp;UN¬i göi:  &amp;".VnTime,Regular"&amp;12&amp;U  &amp;".VnTime,  Italic"&amp;9 Ban gi¸m ®èc
                    Phßng kÕ to¸n
                   L­u P/X c¸n </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71"/>
  <sheetViews>
    <sheetView workbookViewId="0"/>
  </sheetViews>
  <sheetFormatPr defaultRowHeight="15"/>
  <cols>
    <col min="1" max="1" width="5" customWidth="1"/>
    <col min="2" max="2" width="4.5" customWidth="1"/>
    <col min="3" max="3" width="8.625" customWidth="1"/>
    <col min="4" max="4" width="7.75" customWidth="1"/>
    <col min="5" max="5" width="8.375" style="121" customWidth="1"/>
    <col min="7" max="7" width="9.875" style="16" customWidth="1"/>
    <col min="8" max="8" width="8.375" customWidth="1"/>
    <col min="9" max="9" width="5.75" style="121" customWidth="1"/>
    <col min="10" max="10" width="7.75" customWidth="1"/>
    <col min="11" max="11" width="8" customWidth="1"/>
    <col min="12" max="12" width="7.75" customWidth="1"/>
    <col min="13" max="13" width="7.125" style="121" customWidth="1"/>
    <col min="14" max="14" width="6.5" customWidth="1"/>
    <col min="15" max="15" width="5.875" customWidth="1"/>
    <col min="16" max="16" width="6.5" customWidth="1"/>
    <col min="17" max="17" width="7.75" style="121" customWidth="1"/>
    <col min="18" max="18" width="5.625" customWidth="1"/>
    <col min="19" max="19" width="7.875" customWidth="1"/>
  </cols>
  <sheetData>
    <row r="1" spans="1:20" s="7" customFormat="1" ht="18" customHeight="1">
      <c r="A1" s="4"/>
      <c r="B1" s="5"/>
      <c r="C1" s="5"/>
      <c r="D1" s="5"/>
      <c r="E1" s="113"/>
      <c r="F1" s="6"/>
      <c r="G1" s="12"/>
      <c r="H1" s="5"/>
      <c r="I1" s="113"/>
      <c r="J1" s="5"/>
      <c r="K1" s="5"/>
      <c r="L1" s="5"/>
      <c r="M1" s="5"/>
      <c r="N1" s="5"/>
      <c r="O1" s="5"/>
      <c r="P1" s="5"/>
      <c r="Q1" s="731" t="s">
        <v>201</v>
      </c>
      <c r="R1" s="731"/>
      <c r="S1" s="731"/>
      <c r="T1" s="5"/>
    </row>
    <row r="2" spans="1:20" s="7" customFormat="1" ht="18" customHeight="1">
      <c r="A2" s="4"/>
      <c r="B2" s="5"/>
      <c r="C2" s="5"/>
      <c r="D2" s="5"/>
      <c r="E2" s="113"/>
      <c r="F2" s="6"/>
      <c r="G2" s="12"/>
      <c r="H2" s="5"/>
      <c r="I2" s="113"/>
      <c r="J2" s="5"/>
      <c r="K2" s="5"/>
      <c r="L2" s="5"/>
      <c r="M2" s="5"/>
      <c r="N2" s="5"/>
      <c r="O2" s="5"/>
      <c r="P2" s="5"/>
      <c r="Q2" s="732" t="s">
        <v>202</v>
      </c>
      <c r="R2" s="732"/>
      <c r="S2" s="732"/>
      <c r="T2" s="427"/>
    </row>
    <row r="3" spans="1:20" s="7" customFormat="1" ht="26.25" customHeight="1">
      <c r="A3" s="203" t="s">
        <v>87</v>
      </c>
      <c r="B3" s="5"/>
      <c r="C3" s="5"/>
      <c r="D3" s="5"/>
      <c r="E3" s="113"/>
      <c r="F3" s="6"/>
      <c r="G3" s="12"/>
      <c r="H3" s="5"/>
      <c r="I3" s="113"/>
      <c r="J3" s="5"/>
      <c r="K3" s="5"/>
      <c r="L3" s="5"/>
      <c r="M3" s="5"/>
      <c r="N3" s="5"/>
      <c r="O3" s="5"/>
      <c r="P3" s="5"/>
      <c r="Q3" s="5"/>
      <c r="R3" s="5"/>
      <c r="S3" s="5"/>
      <c r="T3" s="10"/>
    </row>
    <row r="4" spans="1:20" s="7" customFormat="1" ht="25.5" customHeight="1">
      <c r="A4" s="720" t="s">
        <v>83</v>
      </c>
      <c r="B4" s="720"/>
      <c r="C4" s="720"/>
      <c r="D4" s="720"/>
      <c r="E4" s="720"/>
      <c r="F4" s="720"/>
      <c r="G4" s="720"/>
      <c r="H4" s="720"/>
      <c r="I4" s="720"/>
      <c r="J4" s="720"/>
      <c r="K4" s="720"/>
      <c r="L4" s="720"/>
      <c r="M4" s="720"/>
      <c r="N4" s="720"/>
      <c r="O4" s="720"/>
      <c r="P4" s="720"/>
      <c r="Q4" s="720"/>
      <c r="R4" s="720"/>
      <c r="S4" s="5"/>
      <c r="T4" s="10"/>
    </row>
    <row r="5" spans="1:20" s="7" customFormat="1" ht="18" customHeight="1">
      <c r="A5" s="721" t="s">
        <v>300</v>
      </c>
      <c r="B5" s="721"/>
      <c r="C5" s="721"/>
      <c r="D5" s="721"/>
      <c r="E5" s="721"/>
      <c r="F5" s="721"/>
      <c r="G5" s="721"/>
      <c r="H5" s="721"/>
      <c r="I5" s="721"/>
      <c r="J5" s="721"/>
      <c r="K5" s="721"/>
      <c r="L5" s="721"/>
      <c r="M5" s="721"/>
      <c r="N5" s="721"/>
      <c r="O5" s="721"/>
      <c r="P5" s="721"/>
      <c r="Q5" s="721"/>
      <c r="R5" s="721"/>
      <c r="S5" s="721"/>
      <c r="T5" s="10"/>
    </row>
    <row r="6" spans="1:20" s="7" customFormat="1" ht="18" customHeight="1">
      <c r="A6" s="139"/>
      <c r="B6" s="142"/>
      <c r="C6" s="142"/>
      <c r="D6" s="141"/>
      <c r="E6" s="140"/>
      <c r="F6" s="9"/>
      <c r="G6" s="9"/>
      <c r="H6" s="9"/>
      <c r="I6" s="140"/>
      <c r="J6" s="9"/>
      <c r="K6" s="9" t="s">
        <v>88</v>
      </c>
      <c r="L6" s="9"/>
      <c r="M6" s="140"/>
      <c r="N6" s="9"/>
      <c r="O6" s="9"/>
      <c r="P6" s="9"/>
      <c r="Q6" s="140"/>
      <c r="R6" s="9"/>
      <c r="S6" s="139"/>
      <c r="T6" s="10"/>
    </row>
    <row r="7" spans="1:20" s="7" customFormat="1" ht="17.100000000000001" customHeight="1">
      <c r="A7" s="144" t="s">
        <v>0</v>
      </c>
      <c r="B7" s="144" t="s">
        <v>1</v>
      </c>
      <c r="C7" s="145" t="s">
        <v>13</v>
      </c>
      <c r="D7" s="722" t="s">
        <v>14</v>
      </c>
      <c r="E7" s="722"/>
      <c r="F7" s="722"/>
      <c r="G7" s="722"/>
      <c r="H7" s="722" t="s">
        <v>15</v>
      </c>
      <c r="I7" s="722"/>
      <c r="J7" s="722"/>
      <c r="K7" s="722"/>
      <c r="L7" s="722" t="s">
        <v>16</v>
      </c>
      <c r="M7" s="722"/>
      <c r="N7" s="722"/>
      <c r="O7" s="722"/>
      <c r="P7" s="722" t="s">
        <v>17</v>
      </c>
      <c r="Q7" s="722"/>
      <c r="R7" s="722"/>
      <c r="S7" s="722"/>
    </row>
    <row r="8" spans="1:20" s="7" customFormat="1" ht="17.100000000000001" customHeight="1">
      <c r="A8" s="206"/>
      <c r="B8" s="146" t="s">
        <v>18</v>
      </c>
      <c r="C8" s="147" t="s">
        <v>19</v>
      </c>
      <c r="D8" s="716" t="s">
        <v>21</v>
      </c>
      <c r="E8" s="716"/>
      <c r="F8" s="716" t="s">
        <v>20</v>
      </c>
      <c r="G8" s="716"/>
      <c r="H8" s="716" t="s">
        <v>21</v>
      </c>
      <c r="I8" s="716"/>
      <c r="J8" s="716" t="s">
        <v>20</v>
      </c>
      <c r="K8" s="716"/>
      <c r="L8" s="716" t="s">
        <v>21</v>
      </c>
      <c r="M8" s="716"/>
      <c r="N8" s="716" t="s">
        <v>20</v>
      </c>
      <c r="O8" s="716"/>
      <c r="P8" s="716" t="s">
        <v>21</v>
      </c>
      <c r="Q8" s="716"/>
      <c r="R8" s="716" t="s">
        <v>20</v>
      </c>
      <c r="S8" s="716"/>
    </row>
    <row r="9" spans="1:20" s="7" customFormat="1" ht="17.100000000000001" customHeight="1">
      <c r="A9" s="148"/>
      <c r="B9" s="149"/>
      <c r="C9" s="150"/>
      <c r="D9" s="151" t="s">
        <v>22</v>
      </c>
      <c r="E9" s="152" t="s">
        <v>7</v>
      </c>
      <c r="F9" s="151" t="s">
        <v>0</v>
      </c>
      <c r="G9" s="151" t="s">
        <v>7</v>
      </c>
      <c r="H9" s="151" t="s">
        <v>0</v>
      </c>
      <c r="I9" s="152" t="s">
        <v>7</v>
      </c>
      <c r="J9" s="151" t="s">
        <v>0</v>
      </c>
      <c r="K9" s="151" t="s">
        <v>7</v>
      </c>
      <c r="L9" s="151" t="s">
        <v>0</v>
      </c>
      <c r="M9" s="152" t="s">
        <v>7</v>
      </c>
      <c r="N9" s="151" t="s">
        <v>0</v>
      </c>
      <c r="O9" s="151" t="s">
        <v>7</v>
      </c>
      <c r="P9" s="151" t="s">
        <v>0</v>
      </c>
      <c r="Q9" s="152" t="s">
        <v>7</v>
      </c>
      <c r="R9" s="151" t="s">
        <v>0</v>
      </c>
      <c r="S9" s="151" t="s">
        <v>7</v>
      </c>
    </row>
    <row r="10" spans="1:20" s="7" customFormat="1" ht="20.100000000000001" customHeight="1">
      <c r="A10" s="269" t="s">
        <v>265</v>
      </c>
      <c r="B10" s="143" t="s">
        <v>23</v>
      </c>
      <c r="C10" s="153" t="s">
        <v>259</v>
      </c>
      <c r="D10" s="29">
        <f>10-H10-L10-P10</f>
        <v>7.0169999999999995</v>
      </c>
      <c r="E10" s="114"/>
      <c r="F10" s="28">
        <f>D10/10*100</f>
        <v>70.17</v>
      </c>
      <c r="G10" s="30"/>
      <c r="H10" s="28">
        <v>8.3000000000000004E-2</v>
      </c>
      <c r="I10" s="114"/>
      <c r="J10" s="29">
        <f>H10/10*100</f>
        <v>0.83</v>
      </c>
      <c r="K10" s="30"/>
      <c r="L10" s="29"/>
      <c r="M10" s="114"/>
      <c r="N10" s="29">
        <f>L10/10*100</f>
        <v>0</v>
      </c>
      <c r="O10" s="30"/>
      <c r="P10" s="29">
        <v>2.9</v>
      </c>
      <c r="Q10" s="114"/>
      <c r="R10" s="29">
        <f>P10/10*100</f>
        <v>28.999999999999996</v>
      </c>
      <c r="S10" s="30"/>
      <c r="T10" s="27">
        <f t="shared" ref="T10:T15" si="0">S10+O10+K10+G10</f>
        <v>0</v>
      </c>
    </row>
    <row r="11" spans="1:20" s="7" customFormat="1" ht="20.100000000000001" customHeight="1">
      <c r="A11" s="154"/>
      <c r="B11" s="155"/>
      <c r="C11" s="153"/>
      <c r="D11" s="29"/>
      <c r="E11" s="114"/>
      <c r="F11" s="28"/>
      <c r="G11" s="30"/>
      <c r="H11" s="28"/>
      <c r="I11" s="114"/>
      <c r="J11" s="29"/>
      <c r="K11" s="30"/>
      <c r="L11" s="29"/>
      <c r="M11" s="114"/>
      <c r="N11" s="29"/>
      <c r="O11" s="30"/>
      <c r="P11" s="29"/>
      <c r="Q11" s="114"/>
      <c r="R11" s="29"/>
      <c r="S11" s="30"/>
      <c r="T11" s="27">
        <f t="shared" si="0"/>
        <v>0</v>
      </c>
    </row>
    <row r="12" spans="1:20" s="7" customFormat="1" ht="20.100000000000001" customHeight="1">
      <c r="A12" s="156"/>
      <c r="B12" s="157"/>
      <c r="C12" s="158"/>
      <c r="D12" s="26">
        <f>D10+D11</f>
        <v>7.0169999999999995</v>
      </c>
      <c r="E12" s="115">
        <f>D12</f>
        <v>7.0169999999999995</v>
      </c>
      <c r="F12" s="26">
        <f>(F10+F11)</f>
        <v>70.17</v>
      </c>
      <c r="G12" s="27">
        <f>E12/10*100</f>
        <v>70.17</v>
      </c>
      <c r="H12" s="26">
        <f>H10+H11</f>
        <v>8.3000000000000004E-2</v>
      </c>
      <c r="I12" s="115">
        <f>H12</f>
        <v>8.3000000000000004E-2</v>
      </c>
      <c r="J12" s="26">
        <f>(J10+J11)</f>
        <v>0.83</v>
      </c>
      <c r="K12" s="27">
        <f>I12/10*100</f>
        <v>0.83</v>
      </c>
      <c r="L12" s="26">
        <f>L10+L11</f>
        <v>0</v>
      </c>
      <c r="M12" s="115">
        <f>L12</f>
        <v>0</v>
      </c>
      <c r="N12" s="26">
        <f>(N10+N11)</f>
        <v>0</v>
      </c>
      <c r="O12" s="27">
        <f>M12/10*100</f>
        <v>0</v>
      </c>
      <c r="P12" s="26">
        <f>P10+P11</f>
        <v>2.9</v>
      </c>
      <c r="Q12" s="115">
        <f>P12</f>
        <v>2.9</v>
      </c>
      <c r="R12" s="26">
        <f>(R10+R11)</f>
        <v>28.999999999999996</v>
      </c>
      <c r="S12" s="27">
        <f>Q12/10*100</f>
        <v>28.999999999999996</v>
      </c>
      <c r="T12" s="27">
        <f t="shared" si="0"/>
        <v>100</v>
      </c>
    </row>
    <row r="13" spans="1:20" s="7" customFormat="1" ht="20.100000000000001" customHeight="1">
      <c r="A13" s="207">
        <v>37990</v>
      </c>
      <c r="B13" s="143" t="s">
        <v>26</v>
      </c>
      <c r="C13" s="153" t="s">
        <v>277</v>
      </c>
      <c r="D13" s="29">
        <f>10-H13-L13-P13</f>
        <v>8.6666666666666661</v>
      </c>
      <c r="E13" s="114"/>
      <c r="F13" s="28">
        <f>D13/10*100</f>
        <v>86.666666666666657</v>
      </c>
      <c r="G13" s="30"/>
      <c r="H13" s="28">
        <f>(30+35+15)/60</f>
        <v>1.3333333333333333</v>
      </c>
      <c r="I13" s="114"/>
      <c r="J13" s="29">
        <f>H13/10*100</f>
        <v>13.333333333333334</v>
      </c>
      <c r="K13" s="30"/>
      <c r="L13" s="29"/>
      <c r="M13" s="114"/>
      <c r="N13" s="29">
        <f>L13/10*100</f>
        <v>0</v>
      </c>
      <c r="O13" s="30"/>
      <c r="P13" s="29"/>
      <c r="Q13" s="114"/>
      <c r="R13" s="29">
        <f>P13/10*100</f>
        <v>0</v>
      </c>
      <c r="S13" s="30"/>
      <c r="T13" s="27">
        <f t="shared" si="0"/>
        <v>0</v>
      </c>
    </row>
    <row r="14" spans="1:20" s="7" customFormat="1" ht="20.100000000000001" customHeight="1">
      <c r="A14" s="154"/>
      <c r="B14" s="155" t="s">
        <v>23</v>
      </c>
      <c r="C14" s="153" t="s">
        <v>216</v>
      </c>
      <c r="D14" s="29">
        <f>10-H14-L14-P14</f>
        <v>9.1666666666666661</v>
      </c>
      <c r="E14" s="114"/>
      <c r="F14" s="28">
        <f>D14/10*100</f>
        <v>91.666666666666657</v>
      </c>
      <c r="G14" s="30"/>
      <c r="H14" s="28">
        <f>(14+24+12)/60</f>
        <v>0.83333333333333337</v>
      </c>
      <c r="I14" s="114"/>
      <c r="J14" s="29">
        <f>H14/10*100</f>
        <v>8.3333333333333339</v>
      </c>
      <c r="K14" s="30"/>
      <c r="L14" s="29"/>
      <c r="M14" s="114"/>
      <c r="N14" s="29">
        <f>L14/10*100</f>
        <v>0</v>
      </c>
      <c r="O14" s="30"/>
      <c r="P14" s="29"/>
      <c r="Q14" s="114"/>
      <c r="R14" s="29">
        <f>P14/10*100</f>
        <v>0</v>
      </c>
      <c r="S14" s="30"/>
      <c r="T14" s="27">
        <f t="shared" si="0"/>
        <v>0</v>
      </c>
    </row>
    <row r="15" spans="1:20" s="7" customFormat="1" ht="20.100000000000001" customHeight="1">
      <c r="A15" s="156"/>
      <c r="B15" s="157"/>
      <c r="C15" s="158"/>
      <c r="D15" s="26">
        <f>D13+D14</f>
        <v>17.833333333333332</v>
      </c>
      <c r="E15" s="115">
        <f>D15+E12</f>
        <v>24.850333333333332</v>
      </c>
      <c r="F15" s="26">
        <f>(F13+F14)/2</f>
        <v>89.166666666666657</v>
      </c>
      <c r="G15" s="27">
        <f>E15/30*100</f>
        <v>82.834444444444443</v>
      </c>
      <c r="H15" s="26">
        <f>H13+H14</f>
        <v>2.1666666666666665</v>
      </c>
      <c r="I15" s="115">
        <f>H15+I12</f>
        <v>2.2496666666666667</v>
      </c>
      <c r="J15" s="26">
        <f>(J13+J14)/2</f>
        <v>10.833333333333334</v>
      </c>
      <c r="K15" s="27">
        <f>I15/30*100</f>
        <v>7.4988888888888896</v>
      </c>
      <c r="L15" s="26">
        <f>L13+L14</f>
        <v>0</v>
      </c>
      <c r="M15" s="115">
        <f>L15+M12</f>
        <v>0</v>
      </c>
      <c r="N15" s="26">
        <f>(N13+N14)/2</f>
        <v>0</v>
      </c>
      <c r="O15" s="27">
        <f>M15/30*100</f>
        <v>0</v>
      </c>
      <c r="P15" s="26">
        <f>P13+P14</f>
        <v>0</v>
      </c>
      <c r="Q15" s="115">
        <f>P15+Q12</f>
        <v>2.9</v>
      </c>
      <c r="R15" s="26">
        <f>(R13+R14)/2</f>
        <v>0</v>
      </c>
      <c r="S15" s="27">
        <f>Q15/30*100</f>
        <v>9.6666666666666661</v>
      </c>
      <c r="T15" s="27">
        <f t="shared" si="0"/>
        <v>100</v>
      </c>
    </row>
    <row r="16" spans="1:20" s="7" customFormat="1" ht="20.100000000000001" customHeight="1">
      <c r="A16" s="207">
        <v>38021</v>
      </c>
      <c r="B16" s="143" t="s">
        <v>170</v>
      </c>
      <c r="C16" s="153" t="s">
        <v>216</v>
      </c>
      <c r="D16" s="29">
        <f>11-H16-L16-P16</f>
        <v>9.9333333333333336</v>
      </c>
      <c r="E16" s="114"/>
      <c r="F16" s="28">
        <f>D16/10*100</f>
        <v>99.333333333333343</v>
      </c>
      <c r="G16" s="30"/>
      <c r="H16" s="28">
        <f>(10+42+12)/60</f>
        <v>1.0666666666666667</v>
      </c>
      <c r="I16" s="114"/>
      <c r="J16" s="29">
        <f>H16/10*100</f>
        <v>10.666666666666666</v>
      </c>
      <c r="K16" s="30"/>
      <c r="L16" s="29"/>
      <c r="M16" s="114"/>
      <c r="N16" s="29">
        <f>L16/10*100</f>
        <v>0</v>
      </c>
      <c r="O16" s="30"/>
      <c r="P16" s="29"/>
      <c r="Q16" s="114"/>
      <c r="R16" s="29">
        <f>P16/10*100</f>
        <v>0</v>
      </c>
      <c r="S16" s="30"/>
      <c r="T16" s="27">
        <f t="shared" ref="T16:T24" si="1">S16+O16+K16+G16</f>
        <v>0</v>
      </c>
    </row>
    <row r="17" spans="1:20" s="7" customFormat="1" ht="20.100000000000001" customHeight="1">
      <c r="A17" s="154"/>
      <c r="B17" s="155" t="s">
        <v>26</v>
      </c>
      <c r="C17" s="426" t="s">
        <v>246</v>
      </c>
      <c r="D17" s="29">
        <f>10-H17-L17-P17</f>
        <v>7.5833333333333339</v>
      </c>
      <c r="E17" s="114"/>
      <c r="F17" s="28">
        <f>D17/10*100</f>
        <v>75.833333333333343</v>
      </c>
      <c r="G17" s="30"/>
      <c r="H17" s="28">
        <f>(30+30+50+15+20)/60</f>
        <v>2.4166666666666665</v>
      </c>
      <c r="I17" s="114"/>
      <c r="J17" s="29">
        <f>H17/10*100</f>
        <v>24.166666666666664</v>
      </c>
      <c r="K17" s="30"/>
      <c r="L17" s="29"/>
      <c r="M17" s="114"/>
      <c r="N17" s="29">
        <f>L17/10*100</f>
        <v>0</v>
      </c>
      <c r="O17" s="30"/>
      <c r="P17" s="29"/>
      <c r="Q17" s="114"/>
      <c r="R17" s="29">
        <f>P17/10*100</f>
        <v>0</v>
      </c>
      <c r="S17" s="30"/>
      <c r="T17" s="27">
        <f t="shared" si="1"/>
        <v>0</v>
      </c>
    </row>
    <row r="18" spans="1:20" s="7" customFormat="1" ht="20.100000000000001" customHeight="1">
      <c r="A18" s="156"/>
      <c r="B18" s="157"/>
      <c r="C18" s="158"/>
      <c r="D18" s="26">
        <f>D16+D17</f>
        <v>17.516666666666666</v>
      </c>
      <c r="E18" s="115">
        <f>D18+E15</f>
        <v>42.366999999999997</v>
      </c>
      <c r="F18" s="26">
        <f>(F16+F17)/2</f>
        <v>87.583333333333343</v>
      </c>
      <c r="G18" s="27">
        <f>E18/51*100</f>
        <v>83.072549019607834</v>
      </c>
      <c r="H18" s="26">
        <f>H16+H17</f>
        <v>3.4833333333333334</v>
      </c>
      <c r="I18" s="115">
        <f>H18+I15</f>
        <v>5.7330000000000005</v>
      </c>
      <c r="J18" s="26">
        <f>(J16+J17)/2</f>
        <v>17.416666666666664</v>
      </c>
      <c r="K18" s="27">
        <f>I18/51*100</f>
        <v>11.241176470588236</v>
      </c>
      <c r="L18" s="26">
        <f>L16+L17</f>
        <v>0</v>
      </c>
      <c r="M18" s="115">
        <f>L18+M15</f>
        <v>0</v>
      </c>
      <c r="N18" s="26">
        <f>(N16+N17)/2</f>
        <v>0</v>
      </c>
      <c r="O18" s="27">
        <f>M18/51*100</f>
        <v>0</v>
      </c>
      <c r="P18" s="26">
        <f>P16+P17</f>
        <v>0</v>
      </c>
      <c r="Q18" s="115">
        <f>P18+Q15</f>
        <v>2.9</v>
      </c>
      <c r="R18" s="26">
        <f>(R16+R17)/2</f>
        <v>0</v>
      </c>
      <c r="S18" s="27">
        <f>Q18/51*100</f>
        <v>5.6862745098039218</v>
      </c>
      <c r="T18" s="27">
        <f t="shared" si="1"/>
        <v>100</v>
      </c>
    </row>
    <row r="19" spans="1:20" s="7" customFormat="1" ht="20.100000000000001" customHeight="1">
      <c r="A19" s="207">
        <v>38050</v>
      </c>
      <c r="B19" s="143" t="s">
        <v>170</v>
      </c>
      <c r="C19" s="426" t="s">
        <v>246</v>
      </c>
      <c r="D19" s="29">
        <f>11-H19-L19-P19</f>
        <v>9.6166666666666671</v>
      </c>
      <c r="E19" s="114"/>
      <c r="F19" s="28">
        <f>D19/10*100</f>
        <v>96.166666666666671</v>
      </c>
      <c r="G19" s="30"/>
      <c r="H19" s="28">
        <f>(20+15+13+14+14+7)/60</f>
        <v>1.3833333333333333</v>
      </c>
      <c r="I19" s="114"/>
      <c r="J19" s="29">
        <f>H19/10*100</f>
        <v>13.833333333333334</v>
      </c>
      <c r="K19" s="30"/>
      <c r="L19" s="29"/>
      <c r="M19" s="114"/>
      <c r="N19" s="29">
        <f>L19/10*100</f>
        <v>0</v>
      </c>
      <c r="O19" s="30"/>
      <c r="P19" s="29"/>
      <c r="Q19" s="114"/>
      <c r="R19" s="29">
        <f>P19/10*100</f>
        <v>0</v>
      </c>
      <c r="S19" s="30"/>
      <c r="T19" s="27">
        <f t="shared" si="1"/>
        <v>0</v>
      </c>
    </row>
    <row r="20" spans="1:20" s="7" customFormat="1" ht="20.100000000000001" customHeight="1">
      <c r="A20" s="154"/>
      <c r="B20" s="155" t="s">
        <v>26</v>
      </c>
      <c r="C20" s="426" t="s">
        <v>246</v>
      </c>
      <c r="D20" s="29">
        <f>10-H20-L20-P20</f>
        <v>8.0833333333333339</v>
      </c>
      <c r="E20" s="114"/>
      <c r="F20" s="28">
        <f>D20/10*100</f>
        <v>80.833333333333329</v>
      </c>
      <c r="G20" s="30"/>
      <c r="H20" s="28">
        <f>(25+30+60)/60</f>
        <v>1.9166666666666667</v>
      </c>
      <c r="I20" s="114"/>
      <c r="J20" s="29">
        <f>H20/10*100</f>
        <v>19.166666666666668</v>
      </c>
      <c r="K20" s="30"/>
      <c r="L20" s="29"/>
      <c r="M20" s="114"/>
      <c r="N20" s="29">
        <f>L20/10*100</f>
        <v>0</v>
      </c>
      <c r="O20" s="30"/>
      <c r="P20" s="29"/>
      <c r="Q20" s="114"/>
      <c r="R20" s="29">
        <f>P20/10*100</f>
        <v>0</v>
      </c>
      <c r="S20" s="30"/>
      <c r="T20" s="27">
        <f t="shared" si="1"/>
        <v>0</v>
      </c>
    </row>
    <row r="21" spans="1:20" s="7" customFormat="1" ht="20.100000000000001" customHeight="1">
      <c r="A21" s="156"/>
      <c r="B21" s="157"/>
      <c r="C21" s="158"/>
      <c r="D21" s="26">
        <f>D19+D20</f>
        <v>17.700000000000003</v>
      </c>
      <c r="E21" s="115">
        <f>D21+E18</f>
        <v>60.067</v>
      </c>
      <c r="F21" s="26">
        <f>(F19+F20)/2</f>
        <v>88.5</v>
      </c>
      <c r="G21" s="27">
        <f>E21/72*100</f>
        <v>83.426388888888894</v>
      </c>
      <c r="H21" s="26">
        <f>H19+H20</f>
        <v>3.3</v>
      </c>
      <c r="I21" s="115">
        <f>H21+I18</f>
        <v>9.0330000000000013</v>
      </c>
      <c r="J21" s="26">
        <f>(J19+J20)/2</f>
        <v>16.5</v>
      </c>
      <c r="K21" s="27">
        <f>I21/72*100</f>
        <v>12.545833333333334</v>
      </c>
      <c r="L21" s="26">
        <f>L19+L20</f>
        <v>0</v>
      </c>
      <c r="M21" s="115">
        <f>L21+M18</f>
        <v>0</v>
      </c>
      <c r="N21" s="26">
        <f>(N19+N20)/2</f>
        <v>0</v>
      </c>
      <c r="O21" s="27">
        <f>M21/72*100</f>
        <v>0</v>
      </c>
      <c r="P21" s="26">
        <f>P19+P20</f>
        <v>0</v>
      </c>
      <c r="Q21" s="115">
        <f>P21+Q18</f>
        <v>2.9</v>
      </c>
      <c r="R21" s="26">
        <f>(R19+R20)/2</f>
        <v>0</v>
      </c>
      <c r="S21" s="27">
        <f>Q21/72*100</f>
        <v>4.0277777777777777</v>
      </c>
      <c r="T21" s="27">
        <f t="shared" si="1"/>
        <v>100</v>
      </c>
    </row>
    <row r="22" spans="1:20" s="7" customFormat="1" ht="20.100000000000001" customHeight="1">
      <c r="A22" s="207">
        <v>38081</v>
      </c>
      <c r="B22" s="143" t="s">
        <v>23</v>
      </c>
      <c r="C22" s="426" t="s">
        <v>246</v>
      </c>
      <c r="D22" s="29">
        <f>10-H22-L22-P22</f>
        <v>8.7333333333333343</v>
      </c>
      <c r="E22" s="114"/>
      <c r="F22" s="28">
        <f>D22/10*100</f>
        <v>87.333333333333343</v>
      </c>
      <c r="G22" s="30"/>
      <c r="H22" s="28">
        <f>(7+33+36)/60</f>
        <v>1.2666666666666666</v>
      </c>
      <c r="I22" s="114"/>
      <c r="J22" s="29">
        <f>H22/10*100</f>
        <v>12.666666666666664</v>
      </c>
      <c r="K22" s="30"/>
      <c r="L22" s="29"/>
      <c r="M22" s="114"/>
      <c r="N22" s="29">
        <f>L22/10*100</f>
        <v>0</v>
      </c>
      <c r="O22" s="30"/>
      <c r="P22" s="29"/>
      <c r="Q22" s="114"/>
      <c r="R22" s="29">
        <f>P22/10*100</f>
        <v>0</v>
      </c>
      <c r="S22" s="30"/>
      <c r="T22" s="27">
        <f t="shared" si="1"/>
        <v>0</v>
      </c>
    </row>
    <row r="23" spans="1:20" s="7" customFormat="1" ht="20.100000000000001" customHeight="1">
      <c r="A23" s="154"/>
      <c r="B23" s="155" t="s">
        <v>170</v>
      </c>
      <c r="C23" s="426" t="s">
        <v>186</v>
      </c>
      <c r="D23" s="29">
        <f>10-H23-L23-P23</f>
        <v>8.0333333333333332</v>
      </c>
      <c r="E23" s="114"/>
      <c r="F23" s="28">
        <f>D23/10*100</f>
        <v>80.333333333333329</v>
      </c>
      <c r="G23" s="30"/>
      <c r="H23" s="28">
        <f>(40+55+13+10)/60</f>
        <v>1.9666666666666666</v>
      </c>
      <c r="I23" s="114"/>
      <c r="J23" s="29">
        <f>H23/10*100</f>
        <v>19.666666666666664</v>
      </c>
      <c r="K23" s="30"/>
      <c r="L23" s="29"/>
      <c r="M23" s="114"/>
      <c r="N23" s="29">
        <f>L23/10*100</f>
        <v>0</v>
      </c>
      <c r="O23" s="30"/>
      <c r="P23" s="29"/>
      <c r="Q23" s="114"/>
      <c r="R23" s="29">
        <f>P23/10*100</f>
        <v>0</v>
      </c>
      <c r="S23" s="30"/>
      <c r="T23" s="27">
        <f t="shared" si="1"/>
        <v>0</v>
      </c>
    </row>
    <row r="24" spans="1:20" s="7" customFormat="1" ht="20.100000000000001" customHeight="1">
      <c r="A24" s="156"/>
      <c r="B24" s="157"/>
      <c r="C24" s="158"/>
      <c r="D24" s="26">
        <f>D22+D23</f>
        <v>16.766666666666666</v>
      </c>
      <c r="E24" s="115">
        <f>D24+E21</f>
        <v>76.833666666666659</v>
      </c>
      <c r="F24" s="26">
        <f>(F22+F23)/2</f>
        <v>83.833333333333343</v>
      </c>
      <c r="G24" s="27">
        <f>E24/92*100</f>
        <v>83.51485507246376</v>
      </c>
      <c r="H24" s="26">
        <f>H22+H23</f>
        <v>3.2333333333333334</v>
      </c>
      <c r="I24" s="115">
        <f>H24+I21</f>
        <v>12.266333333333336</v>
      </c>
      <c r="J24" s="26">
        <f>(J22+J23)/2</f>
        <v>16.166666666666664</v>
      </c>
      <c r="K24" s="27">
        <f>I24/92*100</f>
        <v>13.332971014492756</v>
      </c>
      <c r="L24" s="26">
        <f>L22+L23</f>
        <v>0</v>
      </c>
      <c r="M24" s="115">
        <f>L24+M21</f>
        <v>0</v>
      </c>
      <c r="N24" s="26">
        <f>(N22+N23)/2</f>
        <v>0</v>
      </c>
      <c r="O24" s="27">
        <f>M24/92*100</f>
        <v>0</v>
      </c>
      <c r="P24" s="26">
        <f>P22+P23</f>
        <v>0</v>
      </c>
      <c r="Q24" s="115">
        <f>P24+Q21</f>
        <v>2.9</v>
      </c>
      <c r="R24" s="26">
        <f>(R22+R23)/2</f>
        <v>0</v>
      </c>
      <c r="S24" s="27">
        <f>Q24/92*100</f>
        <v>3.152173913043478</v>
      </c>
      <c r="T24" s="27">
        <f t="shared" si="1"/>
        <v>100</v>
      </c>
    </row>
    <row r="25" spans="1:20" s="7" customFormat="1" ht="20.100000000000001" customHeight="1">
      <c r="A25" s="207">
        <v>38111</v>
      </c>
      <c r="B25" s="143" t="s">
        <v>23</v>
      </c>
      <c r="C25" s="426" t="s">
        <v>186</v>
      </c>
      <c r="D25" s="29">
        <f>10-H25-L25-P25</f>
        <v>9.5500000000000007</v>
      </c>
      <c r="E25" s="114"/>
      <c r="F25" s="28">
        <f>D25/10*100</f>
        <v>95.5</v>
      </c>
      <c r="G25" s="30"/>
      <c r="H25" s="28">
        <f>(10+6+11)/60</f>
        <v>0.45</v>
      </c>
      <c r="I25" s="114"/>
      <c r="J25" s="29">
        <f>H25/10*100</f>
        <v>4.5</v>
      </c>
      <c r="K25" s="30"/>
      <c r="L25" s="29"/>
      <c r="M25" s="114"/>
      <c r="N25" s="29">
        <f>L25/10*100</f>
        <v>0</v>
      </c>
      <c r="O25" s="30"/>
      <c r="P25" s="29"/>
      <c r="Q25" s="114"/>
      <c r="R25" s="29">
        <f>P25/10*100</f>
        <v>0</v>
      </c>
      <c r="S25" s="30"/>
      <c r="T25" s="27">
        <f t="shared" ref="T25:T30" si="2">S25+O25+K25+G25</f>
        <v>0</v>
      </c>
    </row>
    <row r="26" spans="1:20" s="7" customFormat="1" ht="20.100000000000001" customHeight="1">
      <c r="A26" s="154"/>
      <c r="B26" s="155" t="s">
        <v>170</v>
      </c>
      <c r="C26" s="426" t="s">
        <v>186</v>
      </c>
      <c r="D26" s="29">
        <f>10-H26-L26-P26</f>
        <v>8.3166666666666664</v>
      </c>
      <c r="E26" s="114"/>
      <c r="F26" s="28">
        <f>D26/10*100</f>
        <v>83.166666666666671</v>
      </c>
      <c r="G26" s="30"/>
      <c r="H26" s="28">
        <f>(20+28+10)/60</f>
        <v>0.96666666666666667</v>
      </c>
      <c r="I26" s="114"/>
      <c r="J26" s="29">
        <f>H26/10*100</f>
        <v>9.6666666666666661</v>
      </c>
      <c r="K26" s="30"/>
      <c r="L26" s="29"/>
      <c r="M26" s="114"/>
      <c r="N26" s="29">
        <f>L26/10*100</f>
        <v>0</v>
      </c>
      <c r="O26" s="30"/>
      <c r="P26" s="29">
        <f>(10+15+18)/60</f>
        <v>0.71666666666666667</v>
      </c>
      <c r="Q26" s="114"/>
      <c r="R26" s="29">
        <f>P26/10*100</f>
        <v>7.166666666666667</v>
      </c>
      <c r="S26" s="30"/>
      <c r="T26" s="27">
        <f t="shared" si="2"/>
        <v>0</v>
      </c>
    </row>
    <row r="27" spans="1:20" s="7" customFormat="1" ht="20.100000000000001" customHeight="1">
      <c r="A27" s="156"/>
      <c r="B27" s="157"/>
      <c r="C27" s="158"/>
      <c r="D27" s="26">
        <f>D25+D26</f>
        <v>17.866666666666667</v>
      </c>
      <c r="E27" s="115">
        <f>D27+E24</f>
        <v>94.700333333333333</v>
      </c>
      <c r="F27" s="26">
        <f>(F25+F26)/2</f>
        <v>89.333333333333343</v>
      </c>
      <c r="G27" s="27">
        <f>E27/112*100</f>
        <v>84.553869047619045</v>
      </c>
      <c r="H27" s="26">
        <f>H25+H26</f>
        <v>1.4166666666666667</v>
      </c>
      <c r="I27" s="115">
        <f>H27+I24</f>
        <v>13.683000000000002</v>
      </c>
      <c r="J27" s="26">
        <f>(J25+J26)/2</f>
        <v>7.083333333333333</v>
      </c>
      <c r="K27" s="27">
        <f>I27/112*100</f>
        <v>12.216964285714287</v>
      </c>
      <c r="L27" s="26">
        <f>L25+L26</f>
        <v>0</v>
      </c>
      <c r="M27" s="115">
        <f>L27+M24</f>
        <v>0</v>
      </c>
      <c r="N27" s="26">
        <f>(N25+N26)/2</f>
        <v>0</v>
      </c>
      <c r="O27" s="27">
        <f>M27/112*100</f>
        <v>0</v>
      </c>
      <c r="P27" s="26">
        <f>P25+P26</f>
        <v>0.71666666666666667</v>
      </c>
      <c r="Q27" s="115">
        <f>P27+Q24</f>
        <v>3.6166666666666667</v>
      </c>
      <c r="R27" s="26">
        <f>(R25+R26)/2</f>
        <v>3.5833333333333335</v>
      </c>
      <c r="S27" s="27">
        <f>Q27/112*100</f>
        <v>3.229166666666667</v>
      </c>
      <c r="T27" s="27">
        <f t="shared" si="2"/>
        <v>100</v>
      </c>
    </row>
    <row r="28" spans="1:20" s="7" customFormat="1" ht="20.100000000000001" customHeight="1">
      <c r="A28" s="207">
        <v>38142</v>
      </c>
      <c r="B28" s="143" t="s">
        <v>26</v>
      </c>
      <c r="C28" s="426" t="s">
        <v>186</v>
      </c>
      <c r="D28" s="29">
        <f>10-H28-L28-P28</f>
        <v>9.25</v>
      </c>
      <c r="E28" s="114"/>
      <c r="F28" s="28">
        <f>D28/10*100</f>
        <v>92.5</v>
      </c>
      <c r="G28" s="30"/>
      <c r="H28" s="28">
        <f>(10+15)/60</f>
        <v>0.41666666666666669</v>
      </c>
      <c r="I28" s="114"/>
      <c r="J28" s="29">
        <f>H28/10*100</f>
        <v>4.166666666666667</v>
      </c>
      <c r="K28" s="30"/>
      <c r="L28" s="29"/>
      <c r="M28" s="114"/>
      <c r="N28" s="29">
        <f>L28/10*100</f>
        <v>0</v>
      </c>
      <c r="O28" s="30"/>
      <c r="P28" s="29">
        <f>20/60</f>
        <v>0.33333333333333331</v>
      </c>
      <c r="Q28" s="114"/>
      <c r="R28" s="29">
        <f>P28/10*100</f>
        <v>3.3333333333333335</v>
      </c>
      <c r="S28" s="30"/>
      <c r="T28" s="27">
        <f t="shared" si="2"/>
        <v>0</v>
      </c>
    </row>
    <row r="29" spans="1:20" s="7" customFormat="1" ht="20.100000000000001" customHeight="1">
      <c r="A29" s="154"/>
      <c r="B29" s="155" t="s">
        <v>23</v>
      </c>
      <c r="C29" s="426" t="s">
        <v>186</v>
      </c>
      <c r="D29" s="29">
        <f>10-H29-L29-P29</f>
        <v>2.4000000000000004</v>
      </c>
      <c r="E29" s="114"/>
      <c r="F29" s="28">
        <f>D29/10*100</f>
        <v>24.000000000000004</v>
      </c>
      <c r="G29" s="30"/>
      <c r="H29" s="28"/>
      <c r="I29" s="114"/>
      <c r="J29" s="29">
        <f>H29/10*100</f>
        <v>0</v>
      </c>
      <c r="K29" s="30"/>
      <c r="L29" s="29"/>
      <c r="M29" s="114"/>
      <c r="N29" s="29">
        <f>L29/10*100</f>
        <v>0</v>
      </c>
      <c r="O29" s="30"/>
      <c r="P29" s="29">
        <f>456/60</f>
        <v>7.6</v>
      </c>
      <c r="Q29" s="114"/>
      <c r="R29" s="29">
        <f>P29/10*100</f>
        <v>76</v>
      </c>
      <c r="S29" s="30"/>
      <c r="T29" s="27">
        <f t="shared" si="2"/>
        <v>0</v>
      </c>
    </row>
    <row r="30" spans="1:20" s="7" customFormat="1" ht="20.100000000000001" customHeight="1">
      <c r="A30" s="156"/>
      <c r="B30" s="157"/>
      <c r="C30" s="158"/>
      <c r="D30" s="26">
        <f>D28+D29</f>
        <v>11.65</v>
      </c>
      <c r="E30" s="115">
        <f>D30+E27</f>
        <v>106.35033333333334</v>
      </c>
      <c r="F30" s="26">
        <f>(F28+F29)/2</f>
        <v>58.25</v>
      </c>
      <c r="G30" s="27">
        <f>E30/132*100</f>
        <v>80.568434343434348</v>
      </c>
      <c r="H30" s="26">
        <f>H28+H29</f>
        <v>0.41666666666666669</v>
      </c>
      <c r="I30" s="115">
        <f>H30+I27</f>
        <v>14.099666666666668</v>
      </c>
      <c r="J30" s="26">
        <f>(J28+J29)/2</f>
        <v>2.0833333333333335</v>
      </c>
      <c r="K30" s="27">
        <f>I30/132*100</f>
        <v>10.681565656565658</v>
      </c>
      <c r="L30" s="26">
        <f>L28+L29</f>
        <v>0</v>
      </c>
      <c r="M30" s="115">
        <f>L30+M27</f>
        <v>0</v>
      </c>
      <c r="N30" s="26">
        <f>(N28+N29)/2</f>
        <v>0</v>
      </c>
      <c r="O30" s="27">
        <f>M30/132*100</f>
        <v>0</v>
      </c>
      <c r="P30" s="26">
        <f>P28+P29</f>
        <v>7.9333333333333327</v>
      </c>
      <c r="Q30" s="115">
        <f>P30+Q27</f>
        <v>11.549999999999999</v>
      </c>
      <c r="R30" s="26">
        <f>(R28+R29)/2</f>
        <v>39.666666666666664</v>
      </c>
      <c r="S30" s="27">
        <f>Q30/132*100</f>
        <v>8.75</v>
      </c>
      <c r="T30" s="27">
        <f t="shared" si="2"/>
        <v>100</v>
      </c>
    </row>
    <row r="31" spans="1:20" s="7" customFormat="1" ht="20.100000000000001" customHeight="1">
      <c r="A31" s="207">
        <v>38172</v>
      </c>
      <c r="B31" s="143" t="s">
        <v>26</v>
      </c>
      <c r="C31" s="426" t="s">
        <v>186</v>
      </c>
      <c r="D31" s="29">
        <f>10-H31-L31-P31</f>
        <v>6.7166666666666659</v>
      </c>
      <c r="E31" s="114"/>
      <c r="F31" s="28">
        <f>D31/10*100</f>
        <v>67.166666666666657</v>
      </c>
      <c r="G31" s="30"/>
      <c r="H31" s="28">
        <f>5/60</f>
        <v>8.3333333333333329E-2</v>
      </c>
      <c r="I31" s="114"/>
      <c r="J31" s="29">
        <f>H31/10*100</f>
        <v>0.83333333333333337</v>
      </c>
      <c r="K31" s="30"/>
      <c r="L31" s="29"/>
      <c r="M31" s="114"/>
      <c r="N31" s="29">
        <f>L31/10*100</f>
        <v>0</v>
      </c>
      <c r="O31" s="30"/>
      <c r="P31" s="29">
        <f>(182+10)/60</f>
        <v>3.2</v>
      </c>
      <c r="Q31" s="114"/>
      <c r="R31" s="29">
        <f>P31/10*100</f>
        <v>32</v>
      </c>
      <c r="S31" s="30"/>
      <c r="T31" s="27">
        <f t="shared" ref="T31:T36" si="3">S31+O31+K31+G31</f>
        <v>0</v>
      </c>
    </row>
    <row r="32" spans="1:20" s="7" customFormat="1" ht="20.100000000000001" customHeight="1">
      <c r="A32" s="154"/>
      <c r="B32" s="155" t="s">
        <v>23</v>
      </c>
      <c r="C32" s="433" t="s">
        <v>97</v>
      </c>
      <c r="D32" s="29">
        <f>10-H32-L32-P32</f>
        <v>4.8833333333333329</v>
      </c>
      <c r="E32" s="114"/>
      <c r="F32" s="28">
        <f>D32/10*100</f>
        <v>48.833333333333329</v>
      </c>
      <c r="G32" s="30"/>
      <c r="H32" s="28">
        <f>(19+5+29+4+32)/60</f>
        <v>1.4833333333333334</v>
      </c>
      <c r="I32" s="114"/>
      <c r="J32" s="29">
        <f>H32/10*100</f>
        <v>14.833333333333334</v>
      </c>
      <c r="K32" s="30"/>
      <c r="L32" s="29"/>
      <c r="M32" s="114"/>
      <c r="N32" s="29">
        <f>L32/10*100</f>
        <v>0</v>
      </c>
      <c r="O32" s="30"/>
      <c r="P32" s="29">
        <f>(21+21+48+11+14+18+24+61)/60</f>
        <v>3.6333333333333333</v>
      </c>
      <c r="Q32" s="114"/>
      <c r="R32" s="29">
        <f>P32/10*100</f>
        <v>36.333333333333336</v>
      </c>
      <c r="S32" s="30"/>
      <c r="T32" s="27">
        <f t="shared" si="3"/>
        <v>0</v>
      </c>
    </row>
    <row r="33" spans="1:20" s="7" customFormat="1" ht="20.100000000000001" customHeight="1">
      <c r="A33" s="156"/>
      <c r="B33" s="157"/>
      <c r="C33" s="158"/>
      <c r="D33" s="26">
        <f>D31+D32</f>
        <v>11.599999999999998</v>
      </c>
      <c r="E33" s="115">
        <f>D33+E30</f>
        <v>117.95033333333333</v>
      </c>
      <c r="F33" s="26">
        <f>(F31+F32)/2</f>
        <v>57.999999999999993</v>
      </c>
      <c r="G33" s="27">
        <f>E33/152*100</f>
        <v>77.598903508771926</v>
      </c>
      <c r="H33" s="26">
        <f>H31+H32</f>
        <v>1.5666666666666667</v>
      </c>
      <c r="I33" s="115">
        <f>H33+I30</f>
        <v>15.666333333333334</v>
      </c>
      <c r="J33" s="26">
        <f>(J31+J32)/2</f>
        <v>7.8333333333333339</v>
      </c>
      <c r="K33" s="27">
        <f>I33/152*100</f>
        <v>10.306798245614035</v>
      </c>
      <c r="L33" s="26">
        <f>L31+L32</f>
        <v>0</v>
      </c>
      <c r="M33" s="115">
        <f>L33+M30</f>
        <v>0</v>
      </c>
      <c r="N33" s="26">
        <f>(N31+N32)/2</f>
        <v>0</v>
      </c>
      <c r="O33" s="27">
        <f>M33/152*100</f>
        <v>0</v>
      </c>
      <c r="P33" s="26">
        <f>P31+P32</f>
        <v>6.8333333333333339</v>
      </c>
      <c r="Q33" s="115">
        <f>P33+Q30</f>
        <v>18.383333333333333</v>
      </c>
      <c r="R33" s="26">
        <f>(R31+R32)/2</f>
        <v>34.166666666666671</v>
      </c>
      <c r="S33" s="27">
        <f>Q33/152*100</f>
        <v>12.094298245614036</v>
      </c>
      <c r="T33" s="27">
        <f t="shared" si="3"/>
        <v>100</v>
      </c>
    </row>
    <row r="34" spans="1:20" s="7" customFormat="1" ht="20.100000000000001" customHeight="1">
      <c r="A34" s="207">
        <v>38203</v>
      </c>
      <c r="B34" s="143" t="s">
        <v>170</v>
      </c>
      <c r="C34" s="433" t="s">
        <v>97</v>
      </c>
      <c r="D34" s="29">
        <f>10-H34-L34-P34</f>
        <v>9.6166666666666671</v>
      </c>
      <c r="E34" s="114"/>
      <c r="F34" s="28">
        <f>D34/10*100</f>
        <v>96.166666666666671</v>
      </c>
      <c r="G34" s="30"/>
      <c r="H34" s="28">
        <f>(5+3+15)/60</f>
        <v>0.38333333333333336</v>
      </c>
      <c r="I34" s="114"/>
      <c r="J34" s="29">
        <f>H34/10*100</f>
        <v>3.8333333333333339</v>
      </c>
      <c r="K34" s="30"/>
      <c r="L34" s="29"/>
      <c r="M34" s="114"/>
      <c r="N34" s="29">
        <f>L34/10*100</f>
        <v>0</v>
      </c>
      <c r="O34" s="30"/>
      <c r="P34" s="29"/>
      <c r="Q34" s="114"/>
      <c r="R34" s="29">
        <f>P34/10*100</f>
        <v>0</v>
      </c>
      <c r="S34" s="30"/>
      <c r="T34" s="27">
        <f t="shared" si="3"/>
        <v>0</v>
      </c>
    </row>
    <row r="35" spans="1:20" s="7" customFormat="1" ht="20.100000000000001" customHeight="1">
      <c r="A35" s="154"/>
      <c r="B35" s="155" t="s">
        <v>26</v>
      </c>
      <c r="C35" s="433" t="s">
        <v>97</v>
      </c>
      <c r="D35" s="29">
        <f>10-H35-L35-P35</f>
        <v>9.5833333333333339</v>
      </c>
      <c r="E35" s="114"/>
      <c r="F35" s="28">
        <f>D35/10*100</f>
        <v>95.833333333333343</v>
      </c>
      <c r="G35" s="30"/>
      <c r="H35" s="28">
        <f>25/60</f>
        <v>0.41666666666666669</v>
      </c>
      <c r="I35" s="114"/>
      <c r="J35" s="29">
        <f>H35/10*100</f>
        <v>4.166666666666667</v>
      </c>
      <c r="K35" s="30"/>
      <c r="L35" s="29"/>
      <c r="M35" s="114"/>
      <c r="N35" s="29">
        <f>L35/10*100</f>
        <v>0</v>
      </c>
      <c r="O35" s="30"/>
      <c r="P35" s="29"/>
      <c r="Q35" s="114"/>
      <c r="R35" s="29">
        <f>P35/10*100</f>
        <v>0</v>
      </c>
      <c r="S35" s="30"/>
      <c r="T35" s="27">
        <f t="shared" si="3"/>
        <v>0</v>
      </c>
    </row>
    <row r="36" spans="1:20" s="7" customFormat="1" ht="20.100000000000001" customHeight="1">
      <c r="A36" s="156"/>
      <c r="B36" s="157"/>
      <c r="C36" s="158"/>
      <c r="D36" s="26">
        <f>D34+D35</f>
        <v>19.200000000000003</v>
      </c>
      <c r="E36" s="115">
        <f>D36+E33</f>
        <v>137.15033333333332</v>
      </c>
      <c r="F36" s="26">
        <f>(F34+F35)/2</f>
        <v>96</v>
      </c>
      <c r="G36" s="27">
        <f>E36/172*100</f>
        <v>79.738565891472859</v>
      </c>
      <c r="H36" s="26">
        <f>H34+H35</f>
        <v>0.8</v>
      </c>
      <c r="I36" s="115">
        <f>H36+I33</f>
        <v>16.466333333333335</v>
      </c>
      <c r="J36" s="26">
        <f>(J34+J35)/2</f>
        <v>4</v>
      </c>
      <c r="K36" s="27">
        <f>I36/172*100</f>
        <v>9.5734496124031008</v>
      </c>
      <c r="L36" s="26">
        <f>L34+L35</f>
        <v>0</v>
      </c>
      <c r="M36" s="115">
        <f>L36+M33</f>
        <v>0</v>
      </c>
      <c r="N36" s="26">
        <f>(N34+N35)/2</f>
        <v>0</v>
      </c>
      <c r="O36" s="27">
        <f>M36/172*100</f>
        <v>0</v>
      </c>
      <c r="P36" s="26">
        <f>P34+P35</f>
        <v>0</v>
      </c>
      <c r="Q36" s="115">
        <f>P36+Q33</f>
        <v>18.383333333333333</v>
      </c>
      <c r="R36" s="26">
        <f>(R34+R35)/2</f>
        <v>0</v>
      </c>
      <c r="S36" s="27">
        <f>Q36/172*100</f>
        <v>10.687984496124031</v>
      </c>
      <c r="T36" s="27">
        <f t="shared" si="3"/>
        <v>100</v>
      </c>
    </row>
    <row r="37" spans="1:20" s="7" customFormat="1" ht="20.100000000000001" customHeight="1">
      <c r="A37" s="207">
        <v>38234</v>
      </c>
      <c r="B37" s="143" t="s">
        <v>170</v>
      </c>
      <c r="C37" s="433" t="s">
        <v>97</v>
      </c>
      <c r="D37" s="29">
        <f>10-H37-L37-P37</f>
        <v>9.2833333333333332</v>
      </c>
      <c r="E37" s="114"/>
      <c r="F37" s="28">
        <f>D37/10*100</f>
        <v>92.833333333333329</v>
      </c>
      <c r="G37" s="30"/>
      <c r="H37" s="28">
        <f>(13+4)/60</f>
        <v>0.28333333333333333</v>
      </c>
      <c r="I37" s="114"/>
      <c r="J37" s="29">
        <f>H37/10*100</f>
        <v>2.833333333333333</v>
      </c>
      <c r="K37" s="30"/>
      <c r="L37" s="29"/>
      <c r="M37" s="114"/>
      <c r="N37" s="29">
        <f>L37/10*100</f>
        <v>0</v>
      </c>
      <c r="O37" s="30"/>
      <c r="P37" s="29">
        <f>(10+16)/60</f>
        <v>0.43333333333333335</v>
      </c>
      <c r="Q37" s="114"/>
      <c r="R37" s="29">
        <f>P37/10*100</f>
        <v>4.3333333333333339</v>
      </c>
      <c r="S37" s="30"/>
      <c r="T37" s="27">
        <f t="shared" ref="T37:T45" si="4">S37+O37+K37+G37</f>
        <v>0</v>
      </c>
    </row>
    <row r="38" spans="1:20" s="7" customFormat="1" ht="20.100000000000001" customHeight="1">
      <c r="A38" s="154"/>
      <c r="B38" s="155" t="s">
        <v>26</v>
      </c>
      <c r="C38" s="433" t="s">
        <v>47</v>
      </c>
      <c r="D38" s="29">
        <f>10-H38-L38-P38</f>
        <v>9</v>
      </c>
      <c r="E38" s="114"/>
      <c r="F38" s="28">
        <f>D38/10*100</f>
        <v>90</v>
      </c>
      <c r="G38" s="30"/>
      <c r="H38" s="28">
        <f>(20+25+15)/60</f>
        <v>1</v>
      </c>
      <c r="I38" s="114"/>
      <c r="J38" s="29">
        <f>H38/10*100</f>
        <v>10</v>
      </c>
      <c r="K38" s="30"/>
      <c r="L38" s="29"/>
      <c r="M38" s="114"/>
      <c r="N38" s="29">
        <f>L38/10*100</f>
        <v>0</v>
      </c>
      <c r="O38" s="30"/>
      <c r="P38" s="29"/>
      <c r="Q38" s="114"/>
      <c r="R38" s="29">
        <f>P38/10*100</f>
        <v>0</v>
      </c>
      <c r="S38" s="30"/>
      <c r="T38" s="27">
        <f t="shared" si="4"/>
        <v>0</v>
      </c>
    </row>
    <row r="39" spans="1:20" s="7" customFormat="1" ht="20.100000000000001" customHeight="1">
      <c r="A39" s="156"/>
      <c r="B39" s="157"/>
      <c r="C39" s="158"/>
      <c r="D39" s="26">
        <f>D37+D38</f>
        <v>18.283333333333331</v>
      </c>
      <c r="E39" s="115">
        <f>D39+E36</f>
        <v>155.43366666666665</v>
      </c>
      <c r="F39" s="26">
        <f>(F37+F38)/2</f>
        <v>91.416666666666657</v>
      </c>
      <c r="G39" s="27">
        <f>E39/192*100</f>
        <v>80.955034722222223</v>
      </c>
      <c r="H39" s="26">
        <f>H37+H38</f>
        <v>1.2833333333333332</v>
      </c>
      <c r="I39" s="115">
        <f>H39+I36</f>
        <v>17.74966666666667</v>
      </c>
      <c r="J39" s="26">
        <f>(J37+J38)/2</f>
        <v>6.4166666666666661</v>
      </c>
      <c r="K39" s="27">
        <f>I39/192*100</f>
        <v>9.2446180555555575</v>
      </c>
      <c r="L39" s="26">
        <f>L37+L38</f>
        <v>0</v>
      </c>
      <c r="M39" s="115">
        <f>L39+M36</f>
        <v>0</v>
      </c>
      <c r="N39" s="26">
        <f>(N37+N38)/2</f>
        <v>0</v>
      </c>
      <c r="O39" s="27">
        <f>M39/192*100</f>
        <v>0</v>
      </c>
      <c r="P39" s="26">
        <f>P37+P38</f>
        <v>0.43333333333333335</v>
      </c>
      <c r="Q39" s="115">
        <f>P39+Q36</f>
        <v>18.816666666666666</v>
      </c>
      <c r="R39" s="26">
        <f>(R37+R38)/2</f>
        <v>2.166666666666667</v>
      </c>
      <c r="S39" s="27">
        <f>Q39/192*100</f>
        <v>9.8003472222222214</v>
      </c>
      <c r="T39" s="27">
        <f t="shared" si="4"/>
        <v>100</v>
      </c>
    </row>
    <row r="40" spans="1:20" s="7" customFormat="1" ht="20.100000000000001" customHeight="1">
      <c r="A40" s="207">
        <v>38264</v>
      </c>
      <c r="B40" s="143" t="s">
        <v>23</v>
      </c>
      <c r="C40" s="433" t="s">
        <v>47</v>
      </c>
      <c r="D40" s="29">
        <f>10-H40-L40-P40</f>
        <v>9.1166666666666671</v>
      </c>
      <c r="E40" s="114"/>
      <c r="F40" s="28">
        <f>D40/10*100</f>
        <v>91.166666666666671</v>
      </c>
      <c r="G40" s="30"/>
      <c r="H40" s="28">
        <f>(7+26+10+10)/60</f>
        <v>0.8833333333333333</v>
      </c>
      <c r="I40" s="114"/>
      <c r="J40" s="29">
        <f>H40/10*100</f>
        <v>8.8333333333333339</v>
      </c>
      <c r="K40" s="30"/>
      <c r="L40" s="29"/>
      <c r="M40" s="114"/>
      <c r="N40" s="29">
        <f>L40/10*100</f>
        <v>0</v>
      </c>
      <c r="O40" s="30"/>
      <c r="P40" s="29"/>
      <c r="Q40" s="114"/>
      <c r="R40" s="29">
        <f>P40/10*100</f>
        <v>0</v>
      </c>
      <c r="S40" s="30"/>
      <c r="T40" s="27">
        <f t="shared" si="4"/>
        <v>0</v>
      </c>
    </row>
    <row r="41" spans="1:20" s="7" customFormat="1" ht="20.100000000000001" customHeight="1">
      <c r="A41" s="154"/>
      <c r="B41" s="155" t="s">
        <v>170</v>
      </c>
      <c r="C41" s="433" t="s">
        <v>223</v>
      </c>
      <c r="D41" s="29">
        <f>10-H41-L41-P41</f>
        <v>8.75</v>
      </c>
      <c r="E41" s="114"/>
      <c r="F41" s="28">
        <f>D41/10*100</f>
        <v>87.5</v>
      </c>
      <c r="G41" s="30"/>
      <c r="H41" s="28">
        <f>(26+24+5+20)/60</f>
        <v>1.25</v>
      </c>
      <c r="I41" s="114"/>
      <c r="J41" s="29">
        <f>H41/10*100</f>
        <v>12.5</v>
      </c>
      <c r="K41" s="30"/>
      <c r="L41" s="29"/>
      <c r="M41" s="114"/>
      <c r="N41" s="29">
        <f>L41/10*100</f>
        <v>0</v>
      </c>
      <c r="O41" s="30"/>
      <c r="P41" s="29"/>
      <c r="Q41" s="114"/>
      <c r="R41" s="29">
        <f>P41/10*100</f>
        <v>0</v>
      </c>
      <c r="S41" s="30"/>
      <c r="T41" s="27">
        <f t="shared" si="4"/>
        <v>0</v>
      </c>
    </row>
    <row r="42" spans="1:20" s="7" customFormat="1" ht="20.100000000000001" customHeight="1">
      <c r="A42" s="156"/>
      <c r="B42" s="157"/>
      <c r="C42" s="158"/>
      <c r="D42" s="26">
        <f>D40+D41</f>
        <v>17.866666666666667</v>
      </c>
      <c r="E42" s="115">
        <f>D42+E39</f>
        <v>173.30033333333333</v>
      </c>
      <c r="F42" s="26">
        <f>(F40+F41)/2</f>
        <v>89.333333333333343</v>
      </c>
      <c r="G42" s="27">
        <f>E42/212*100</f>
        <v>81.745440251572319</v>
      </c>
      <c r="H42" s="26">
        <f>H40+H41</f>
        <v>2.1333333333333333</v>
      </c>
      <c r="I42" s="115">
        <f>H42+I39</f>
        <v>19.883000000000003</v>
      </c>
      <c r="J42" s="26">
        <f>(J40+J41)/2</f>
        <v>10.666666666666668</v>
      </c>
      <c r="K42" s="27">
        <f>I42/212*100</f>
        <v>9.3787735849056606</v>
      </c>
      <c r="L42" s="26">
        <f>L40+L41</f>
        <v>0</v>
      </c>
      <c r="M42" s="115">
        <f>L42+M39</f>
        <v>0</v>
      </c>
      <c r="N42" s="26">
        <f>(N40+N41)/2</f>
        <v>0</v>
      </c>
      <c r="O42" s="27">
        <f>M42/212*100</f>
        <v>0</v>
      </c>
      <c r="P42" s="26">
        <f>P40+P41</f>
        <v>0</v>
      </c>
      <c r="Q42" s="115">
        <f>P42+Q39</f>
        <v>18.816666666666666</v>
      </c>
      <c r="R42" s="26">
        <f>(R40+R41)/2</f>
        <v>0</v>
      </c>
      <c r="S42" s="27">
        <f>Q42/212*100</f>
        <v>8.8757861635220117</v>
      </c>
      <c r="T42" s="27">
        <f t="shared" si="4"/>
        <v>100</v>
      </c>
    </row>
    <row r="43" spans="1:20" s="7" customFormat="1" ht="20.100000000000001" customHeight="1">
      <c r="A43" s="207">
        <v>38295</v>
      </c>
      <c r="B43" s="143" t="s">
        <v>23</v>
      </c>
      <c r="C43" s="433" t="s">
        <v>282</v>
      </c>
      <c r="D43" s="29">
        <f>10-H43-L43-P43</f>
        <v>6.0833333333333339</v>
      </c>
      <c r="E43" s="114"/>
      <c r="F43" s="28">
        <f>D43/10*100</f>
        <v>60.833333333333343</v>
      </c>
      <c r="G43" s="30"/>
      <c r="H43" s="28">
        <f>(21+31+11+5+17+13)/60</f>
        <v>1.6333333333333333</v>
      </c>
      <c r="I43" s="114"/>
      <c r="J43" s="29">
        <f>H43/10*100</f>
        <v>16.333333333333332</v>
      </c>
      <c r="K43" s="30"/>
      <c r="L43" s="29"/>
      <c r="M43" s="114"/>
      <c r="N43" s="29">
        <f>L43/10*100</f>
        <v>0</v>
      </c>
      <c r="O43" s="30"/>
      <c r="P43" s="29">
        <f>(18+119)/60</f>
        <v>2.2833333333333332</v>
      </c>
      <c r="Q43" s="114"/>
      <c r="R43" s="29">
        <f>P43/10*100</f>
        <v>22.833333333333332</v>
      </c>
      <c r="S43" s="30"/>
      <c r="T43" s="27">
        <f t="shared" si="4"/>
        <v>0</v>
      </c>
    </row>
    <row r="44" spans="1:20" s="7" customFormat="1" ht="20.100000000000001" customHeight="1">
      <c r="A44" s="154"/>
      <c r="B44" s="155" t="s">
        <v>170</v>
      </c>
      <c r="C44" s="433" t="s">
        <v>47</v>
      </c>
      <c r="D44" s="29">
        <f>10-H44-L44-P44</f>
        <v>8.0333333333333332</v>
      </c>
      <c r="E44" s="114"/>
      <c r="F44" s="28">
        <f>D44/10*100</f>
        <v>80.333333333333329</v>
      </c>
      <c r="G44" s="30"/>
      <c r="H44" s="28">
        <f>(5+34+51+28)/60</f>
        <v>1.9666666666666666</v>
      </c>
      <c r="I44" s="114"/>
      <c r="J44" s="29">
        <f>H44/10*100</f>
        <v>19.666666666666664</v>
      </c>
      <c r="K44" s="30"/>
      <c r="L44" s="29"/>
      <c r="M44" s="114"/>
      <c r="N44" s="29">
        <f>L44/10*100</f>
        <v>0</v>
      </c>
      <c r="O44" s="30"/>
      <c r="P44" s="29"/>
      <c r="Q44" s="114"/>
      <c r="R44" s="29">
        <f>P44/10*100</f>
        <v>0</v>
      </c>
      <c r="S44" s="30"/>
      <c r="T44" s="27">
        <f t="shared" si="4"/>
        <v>0</v>
      </c>
    </row>
    <row r="45" spans="1:20" s="7" customFormat="1" ht="20.100000000000001" customHeight="1">
      <c r="A45" s="156"/>
      <c r="B45" s="157"/>
      <c r="C45" s="158"/>
      <c r="D45" s="26">
        <f>D43+D44</f>
        <v>14.116666666666667</v>
      </c>
      <c r="E45" s="115">
        <f>D45+E42</f>
        <v>187.417</v>
      </c>
      <c r="F45" s="26">
        <f>(F43+F44)/2</f>
        <v>70.583333333333343</v>
      </c>
      <c r="G45" s="27">
        <f>E45/232*100</f>
        <v>80.783189655172421</v>
      </c>
      <c r="H45" s="26">
        <f>H43+H44</f>
        <v>3.5999999999999996</v>
      </c>
      <c r="I45" s="115">
        <f>H45+I42</f>
        <v>23.483000000000004</v>
      </c>
      <c r="J45" s="26">
        <f>(J43+J44)/2</f>
        <v>18</v>
      </c>
      <c r="K45" s="27">
        <f>I45/232*100</f>
        <v>10.121982758620691</v>
      </c>
      <c r="L45" s="26">
        <f>L43+L44</f>
        <v>0</v>
      </c>
      <c r="M45" s="115">
        <f>L45+M42</f>
        <v>0</v>
      </c>
      <c r="N45" s="26">
        <f>(N43+N44)/2</f>
        <v>0</v>
      </c>
      <c r="O45" s="27">
        <f>M45/232*100</f>
        <v>0</v>
      </c>
      <c r="P45" s="26">
        <f>P43+P44</f>
        <v>2.2833333333333332</v>
      </c>
      <c r="Q45" s="115">
        <f>P45+Q42</f>
        <v>21.1</v>
      </c>
      <c r="R45" s="26">
        <f>(R43+R44)/2</f>
        <v>11.416666666666666</v>
      </c>
      <c r="S45" s="27">
        <f>Q45/232*100</f>
        <v>9.0948275862068968</v>
      </c>
      <c r="T45" s="27">
        <f t="shared" si="4"/>
        <v>100</v>
      </c>
    </row>
    <row r="46" spans="1:20" s="7" customFormat="1" ht="20.100000000000001" customHeight="1">
      <c r="A46" s="207">
        <v>38325</v>
      </c>
      <c r="B46" s="143" t="s">
        <v>26</v>
      </c>
      <c r="C46" s="426" t="s">
        <v>186</v>
      </c>
      <c r="D46" s="29">
        <f>10-H46-L46-P46</f>
        <v>9.4166666666666661</v>
      </c>
      <c r="E46" s="114"/>
      <c r="F46" s="28">
        <f>D46/10*100</f>
        <v>94.166666666666671</v>
      </c>
      <c r="G46" s="30"/>
      <c r="H46" s="28">
        <f>(10+10+10+5)/60</f>
        <v>0.58333333333333337</v>
      </c>
      <c r="I46" s="114"/>
      <c r="J46" s="29">
        <f>H46/10*100</f>
        <v>5.833333333333333</v>
      </c>
      <c r="K46" s="30"/>
      <c r="L46" s="29"/>
      <c r="M46" s="114"/>
      <c r="N46" s="29">
        <f>L46/10*100</f>
        <v>0</v>
      </c>
      <c r="O46" s="30"/>
      <c r="P46" s="29"/>
      <c r="Q46" s="114"/>
      <c r="R46" s="29">
        <f>P46/10*100</f>
        <v>0</v>
      </c>
      <c r="S46" s="30"/>
      <c r="T46" s="27">
        <f t="shared" ref="T46:T51" si="5">S46+O46+K46+G46</f>
        <v>0</v>
      </c>
    </row>
    <row r="47" spans="1:20" s="7" customFormat="1" ht="20.100000000000001" customHeight="1">
      <c r="A47" s="154"/>
      <c r="B47" s="155" t="s">
        <v>23</v>
      </c>
      <c r="C47" s="426" t="s">
        <v>186</v>
      </c>
      <c r="D47" s="29">
        <f>10-H47-L47-P47</f>
        <v>8.9666666666666668</v>
      </c>
      <c r="E47" s="114"/>
      <c r="F47" s="28">
        <f>D47/10*100</f>
        <v>89.666666666666671</v>
      </c>
      <c r="G47" s="30"/>
      <c r="H47" s="28">
        <f>(5+3+24+17+13)/60</f>
        <v>1.0333333333333334</v>
      </c>
      <c r="I47" s="114"/>
      <c r="J47" s="29">
        <f>H47/10*100</f>
        <v>10.333333333333334</v>
      </c>
      <c r="K47" s="30"/>
      <c r="L47" s="29"/>
      <c r="M47" s="114"/>
      <c r="N47" s="29">
        <f>L47/10*100</f>
        <v>0</v>
      </c>
      <c r="O47" s="30"/>
      <c r="P47" s="29"/>
      <c r="Q47" s="114"/>
      <c r="R47" s="29">
        <f>P47/10*100</f>
        <v>0</v>
      </c>
      <c r="S47" s="30"/>
      <c r="T47" s="27">
        <f t="shared" si="5"/>
        <v>0</v>
      </c>
    </row>
    <row r="48" spans="1:20" s="7" customFormat="1" ht="20.100000000000001" customHeight="1">
      <c r="A48" s="156"/>
      <c r="B48" s="157"/>
      <c r="C48" s="158"/>
      <c r="D48" s="26">
        <f>D46+D47</f>
        <v>18.383333333333333</v>
      </c>
      <c r="E48" s="115">
        <f>D48+E45</f>
        <v>205.80033333333333</v>
      </c>
      <c r="F48" s="26">
        <f>(F46+F47)/2</f>
        <v>91.916666666666671</v>
      </c>
      <c r="G48" s="27">
        <f>E48/252*100</f>
        <v>81.66679894179893</v>
      </c>
      <c r="H48" s="26">
        <f>H46+H47</f>
        <v>1.6166666666666667</v>
      </c>
      <c r="I48" s="115">
        <f>H48+I45</f>
        <v>25.099666666666671</v>
      </c>
      <c r="J48" s="26">
        <f>(J46+J47)/2</f>
        <v>8.0833333333333339</v>
      </c>
      <c r="K48" s="27">
        <f>I48/252*100</f>
        <v>9.9601851851851873</v>
      </c>
      <c r="L48" s="26">
        <f>L46+L47</f>
        <v>0</v>
      </c>
      <c r="M48" s="115">
        <f>L48+M45</f>
        <v>0</v>
      </c>
      <c r="N48" s="26">
        <f>(N46+N47)/2</f>
        <v>0</v>
      </c>
      <c r="O48" s="27">
        <f>M48/252*100</f>
        <v>0</v>
      </c>
      <c r="P48" s="26">
        <f>P46+P47</f>
        <v>0</v>
      </c>
      <c r="Q48" s="115">
        <f>P48+Q45</f>
        <v>21.1</v>
      </c>
      <c r="R48" s="26">
        <f>(R46+R47)/2</f>
        <v>0</v>
      </c>
      <c r="S48" s="27">
        <f>Q48/252*100</f>
        <v>8.3730158730158735</v>
      </c>
      <c r="T48" s="27">
        <f t="shared" si="5"/>
        <v>100</v>
      </c>
    </row>
    <row r="49" spans="1:20" s="7" customFormat="1" ht="20.100000000000001" customHeight="1">
      <c r="A49" s="269" t="s">
        <v>283</v>
      </c>
      <c r="B49" s="143" t="s">
        <v>26</v>
      </c>
      <c r="C49" s="426" t="s">
        <v>186</v>
      </c>
      <c r="D49" s="29">
        <f>10-H49-L49-P49</f>
        <v>8.75</v>
      </c>
      <c r="E49" s="114"/>
      <c r="F49" s="28">
        <f>D49/10*100</f>
        <v>87.5</v>
      </c>
      <c r="G49" s="30"/>
      <c r="H49" s="28">
        <f>(20+10+10+10)/60</f>
        <v>0.83333333333333337</v>
      </c>
      <c r="I49" s="114"/>
      <c r="J49" s="29">
        <f>H49/10*100</f>
        <v>8.3333333333333339</v>
      </c>
      <c r="K49" s="30"/>
      <c r="L49" s="29"/>
      <c r="M49" s="114"/>
      <c r="N49" s="29"/>
      <c r="O49" s="30"/>
      <c r="P49" s="29">
        <f>25/60</f>
        <v>0.41666666666666669</v>
      </c>
      <c r="Q49" s="114"/>
      <c r="R49" s="29">
        <f>P49/10*100</f>
        <v>4.166666666666667</v>
      </c>
      <c r="S49" s="30"/>
      <c r="T49" s="27">
        <f t="shared" si="5"/>
        <v>0</v>
      </c>
    </row>
    <row r="50" spans="1:20" s="7" customFormat="1" ht="20.100000000000001" customHeight="1">
      <c r="A50" s="154"/>
      <c r="B50" s="155" t="s">
        <v>23</v>
      </c>
      <c r="C50" s="433" t="s">
        <v>216</v>
      </c>
      <c r="D50" s="29">
        <f>10-H50-L50-P50</f>
        <v>7.5833333333333339</v>
      </c>
      <c r="E50" s="114"/>
      <c r="F50" s="28">
        <f>D50/10*100</f>
        <v>75.833333333333343</v>
      </c>
      <c r="G50" s="30"/>
      <c r="H50" s="28">
        <f>(46+25+11)/60</f>
        <v>1.3666666666666667</v>
      </c>
      <c r="I50" s="114"/>
      <c r="J50" s="29">
        <f>H50/10*100</f>
        <v>13.666666666666666</v>
      </c>
      <c r="K50" s="30"/>
      <c r="L50" s="29">
        <f>14/60</f>
        <v>0.23333333333333334</v>
      </c>
      <c r="M50" s="114"/>
      <c r="N50" s="29">
        <f>L50/10*100</f>
        <v>2.3333333333333335</v>
      </c>
      <c r="O50" s="30"/>
      <c r="P50" s="29">
        <f>(16+33)/60</f>
        <v>0.81666666666666665</v>
      </c>
      <c r="Q50" s="114"/>
      <c r="R50" s="29">
        <f>P50/10*100</f>
        <v>8.1666666666666661</v>
      </c>
      <c r="S50" s="30"/>
      <c r="T50" s="27">
        <f t="shared" si="5"/>
        <v>0</v>
      </c>
    </row>
    <row r="51" spans="1:20" s="7" customFormat="1" ht="20.100000000000001" customHeight="1">
      <c r="A51" s="156"/>
      <c r="B51" s="157"/>
      <c r="C51" s="158"/>
      <c r="D51" s="26">
        <f>D49+D50</f>
        <v>16.333333333333336</v>
      </c>
      <c r="E51" s="115">
        <f>D51+E48</f>
        <v>222.13366666666667</v>
      </c>
      <c r="F51" s="26">
        <f>(F49+F50)/2</f>
        <v>81.666666666666671</v>
      </c>
      <c r="G51" s="27">
        <f>E51/272*100</f>
        <v>81.666789215686279</v>
      </c>
      <c r="H51" s="26">
        <f>H49+H50</f>
        <v>2.2000000000000002</v>
      </c>
      <c r="I51" s="115">
        <f>H51+I48</f>
        <v>27.299666666666671</v>
      </c>
      <c r="J51" s="26">
        <f>(J49+J50)/2</f>
        <v>11</v>
      </c>
      <c r="K51" s="27">
        <f>I51/272*100</f>
        <v>10.036642156862746</v>
      </c>
      <c r="L51" s="26">
        <f>L49+L50</f>
        <v>0.23333333333333334</v>
      </c>
      <c r="M51" s="115">
        <f>L51+M48</f>
        <v>0.23333333333333334</v>
      </c>
      <c r="N51" s="26">
        <f>(N49+N50)/2</f>
        <v>1.1666666666666667</v>
      </c>
      <c r="O51" s="27">
        <f>M51/272*100</f>
        <v>8.5784313725490197E-2</v>
      </c>
      <c r="P51" s="26">
        <f>P49+P50</f>
        <v>1.2333333333333334</v>
      </c>
      <c r="Q51" s="115">
        <f>P51+Q48</f>
        <v>22.333333333333336</v>
      </c>
      <c r="R51" s="26">
        <f>(R49+R50)/2</f>
        <v>6.1666666666666661</v>
      </c>
      <c r="S51" s="27">
        <f>Q51/272*100</f>
        <v>8.2107843137254921</v>
      </c>
      <c r="T51" s="27">
        <f t="shared" si="5"/>
        <v>100</v>
      </c>
    </row>
    <row r="52" spans="1:20" s="7" customFormat="1" ht="20.100000000000001" customHeight="1">
      <c r="A52" s="269" t="s">
        <v>286</v>
      </c>
      <c r="B52" s="143" t="s">
        <v>170</v>
      </c>
      <c r="C52" s="433" t="s">
        <v>216</v>
      </c>
      <c r="D52" s="29">
        <f>10-H52-L52-P52</f>
        <v>8.9333333333333336</v>
      </c>
      <c r="E52" s="114"/>
      <c r="F52" s="28">
        <f>D52/10*100</f>
        <v>89.333333333333329</v>
      </c>
      <c r="G52" s="30"/>
      <c r="H52" s="28">
        <f>(16+18)/60</f>
        <v>0.56666666666666665</v>
      </c>
      <c r="I52" s="114"/>
      <c r="J52" s="29">
        <f>H52/10*100</f>
        <v>5.6666666666666661</v>
      </c>
      <c r="K52" s="30"/>
      <c r="L52" s="29">
        <f>30/60</f>
        <v>0.5</v>
      </c>
      <c r="M52" s="114"/>
      <c r="N52" s="29"/>
      <c r="O52" s="30"/>
      <c r="P52" s="29"/>
      <c r="Q52" s="114"/>
      <c r="R52" s="29">
        <f>P52/10*100</f>
        <v>0</v>
      </c>
      <c r="S52" s="30"/>
      <c r="T52" s="27">
        <f t="shared" ref="T52:T57" si="6">S52+O52+K52+G52</f>
        <v>0</v>
      </c>
    </row>
    <row r="53" spans="1:20" s="7" customFormat="1" ht="20.100000000000001" customHeight="1">
      <c r="A53" s="154"/>
      <c r="B53" s="155" t="s">
        <v>26</v>
      </c>
      <c r="C53" s="433" t="s">
        <v>97</v>
      </c>
      <c r="D53" s="29">
        <f>10-H53-L53-P53</f>
        <v>4.8333333333333339</v>
      </c>
      <c r="E53" s="114"/>
      <c r="F53" s="28">
        <f>D53/10*100</f>
        <v>48.333333333333343</v>
      </c>
      <c r="G53" s="30"/>
      <c r="H53" s="28">
        <f>(5+25+20+25+25+50)/60</f>
        <v>2.5</v>
      </c>
      <c r="I53" s="114"/>
      <c r="J53" s="29">
        <f>H53/10*100</f>
        <v>25</v>
      </c>
      <c r="K53" s="30"/>
      <c r="L53" s="29"/>
      <c r="M53" s="114"/>
      <c r="N53" s="29">
        <f>L53/10*100</f>
        <v>0</v>
      </c>
      <c r="O53" s="30"/>
      <c r="P53" s="29">
        <f>(20+140)/60</f>
        <v>2.6666666666666665</v>
      </c>
      <c r="Q53" s="114"/>
      <c r="R53" s="29">
        <f>P53/10*100</f>
        <v>26.666666666666668</v>
      </c>
      <c r="S53" s="30"/>
      <c r="T53" s="27">
        <f t="shared" si="6"/>
        <v>0</v>
      </c>
    </row>
    <row r="54" spans="1:20" s="7" customFormat="1" ht="20.100000000000001" customHeight="1">
      <c r="A54" s="156"/>
      <c r="B54" s="157"/>
      <c r="C54" s="158"/>
      <c r="D54" s="26">
        <f>D52+D53</f>
        <v>13.766666666666667</v>
      </c>
      <c r="E54" s="115">
        <f>D54+E51</f>
        <v>235.90033333333335</v>
      </c>
      <c r="F54" s="26">
        <f>(F52+F53)/2</f>
        <v>68.833333333333343</v>
      </c>
      <c r="G54" s="27">
        <f>E54/292*100</f>
        <v>80.787785388127858</v>
      </c>
      <c r="H54" s="26">
        <f>H52+H53</f>
        <v>3.0666666666666664</v>
      </c>
      <c r="I54" s="115">
        <f>H54+I51</f>
        <v>30.366333333333337</v>
      </c>
      <c r="J54" s="26">
        <f>(J52+J53)/2</f>
        <v>15.333333333333332</v>
      </c>
      <c r="K54" s="27">
        <f>I54/292*100</f>
        <v>10.399429223744292</v>
      </c>
      <c r="L54" s="26">
        <f>L52+L53</f>
        <v>0.5</v>
      </c>
      <c r="M54" s="115">
        <f>L54+M51</f>
        <v>0.73333333333333339</v>
      </c>
      <c r="N54" s="26">
        <f>(N52+N53)/2</f>
        <v>0</v>
      </c>
      <c r="O54" s="27">
        <f>M54/292*100</f>
        <v>0.25114155251141557</v>
      </c>
      <c r="P54" s="26">
        <f>P52+P53</f>
        <v>2.6666666666666665</v>
      </c>
      <c r="Q54" s="115">
        <f>P54+Q51</f>
        <v>25.000000000000004</v>
      </c>
      <c r="R54" s="26">
        <f>(R52+R53)/2</f>
        <v>13.333333333333334</v>
      </c>
      <c r="S54" s="27">
        <f>Q54/292*100</f>
        <v>8.5616438356164402</v>
      </c>
      <c r="T54" s="27">
        <f t="shared" si="6"/>
        <v>100</v>
      </c>
    </row>
    <row r="55" spans="1:20" s="7" customFormat="1" ht="20.100000000000001" customHeight="1">
      <c r="A55" s="269" t="s">
        <v>287</v>
      </c>
      <c r="B55" s="143" t="s">
        <v>170</v>
      </c>
      <c r="C55" s="433" t="s">
        <v>216</v>
      </c>
      <c r="D55" s="29">
        <f>10-H55-L55-P55</f>
        <v>5.0333333333333341</v>
      </c>
      <c r="E55" s="114"/>
      <c r="F55" s="28">
        <f>D55/10*100</f>
        <v>50.333333333333343</v>
      </c>
      <c r="G55" s="30"/>
      <c r="H55" s="28">
        <f>(34+41+17+14)/60</f>
        <v>1.7666666666666666</v>
      </c>
      <c r="I55" s="114"/>
      <c r="J55" s="29">
        <f>H55/10*100</f>
        <v>17.666666666666668</v>
      </c>
      <c r="K55" s="30"/>
      <c r="L55" s="29"/>
      <c r="M55" s="114"/>
      <c r="N55" s="29"/>
      <c r="O55" s="30"/>
      <c r="P55" s="29">
        <f>(42+150)/60</f>
        <v>3.2</v>
      </c>
      <c r="Q55" s="114"/>
      <c r="R55" s="29">
        <f>P55/10*100</f>
        <v>32</v>
      </c>
      <c r="S55" s="30"/>
      <c r="T55" s="27">
        <f t="shared" si="6"/>
        <v>0</v>
      </c>
    </row>
    <row r="56" spans="1:20" s="7" customFormat="1" ht="20.100000000000001" customHeight="1">
      <c r="A56" s="154"/>
      <c r="B56" s="155" t="s">
        <v>26</v>
      </c>
      <c r="C56" s="433" t="s">
        <v>97</v>
      </c>
      <c r="D56" s="29">
        <f>10-H56-L56-P56</f>
        <v>9.0500000000000007</v>
      </c>
      <c r="E56" s="114"/>
      <c r="F56" s="28">
        <f>D56/10*100</f>
        <v>90.5</v>
      </c>
      <c r="G56" s="30"/>
      <c r="H56" s="28">
        <f>(15+20+22)/60</f>
        <v>0.95</v>
      </c>
      <c r="I56" s="114"/>
      <c r="J56" s="29">
        <f>H56/10*100</f>
        <v>9.5</v>
      </c>
      <c r="K56" s="30"/>
      <c r="L56" s="29"/>
      <c r="M56" s="114"/>
      <c r="N56" s="29">
        <f>L56/10*100</f>
        <v>0</v>
      </c>
      <c r="O56" s="30"/>
      <c r="P56" s="29"/>
      <c r="Q56" s="114"/>
      <c r="R56" s="29">
        <f>P56/10*100</f>
        <v>0</v>
      </c>
      <c r="S56" s="30"/>
      <c r="T56" s="27">
        <f t="shared" si="6"/>
        <v>0</v>
      </c>
    </row>
    <row r="57" spans="1:20" s="7" customFormat="1" ht="20.100000000000001" customHeight="1">
      <c r="A57" s="156"/>
      <c r="B57" s="157"/>
      <c r="C57" s="158"/>
      <c r="D57" s="26">
        <f>D55+D56</f>
        <v>14.083333333333336</v>
      </c>
      <c r="E57" s="115">
        <f>D57+E54</f>
        <v>249.98366666666669</v>
      </c>
      <c r="F57" s="26">
        <f>(F55+F56)/2</f>
        <v>70.416666666666671</v>
      </c>
      <c r="G57" s="27">
        <f>E57/312*100</f>
        <v>80.122970085470087</v>
      </c>
      <c r="H57" s="26">
        <f>H55+H56</f>
        <v>2.7166666666666668</v>
      </c>
      <c r="I57" s="115">
        <f>H57+I54</f>
        <v>33.083000000000006</v>
      </c>
      <c r="J57" s="26">
        <f>(J55+J56)/2</f>
        <v>13.583333333333334</v>
      </c>
      <c r="K57" s="27">
        <f>I57/312*100</f>
        <v>10.603525641025643</v>
      </c>
      <c r="L57" s="26">
        <f>L55+L56</f>
        <v>0</v>
      </c>
      <c r="M57" s="115">
        <f>L57+M54</f>
        <v>0.73333333333333339</v>
      </c>
      <c r="N57" s="26">
        <f>(N55+N56)/2</f>
        <v>0</v>
      </c>
      <c r="O57" s="27">
        <f>M57/312*100</f>
        <v>0.23504273504273507</v>
      </c>
      <c r="P57" s="26">
        <f>P55+P56</f>
        <v>3.2</v>
      </c>
      <c r="Q57" s="115">
        <f>P57+Q54</f>
        <v>28.200000000000003</v>
      </c>
      <c r="R57" s="26">
        <f>(R55+R56)/2</f>
        <v>16</v>
      </c>
      <c r="S57" s="27">
        <f>Q57/312*100</f>
        <v>9.0384615384615401</v>
      </c>
      <c r="T57" s="27">
        <f t="shared" si="6"/>
        <v>100</v>
      </c>
    </row>
    <row r="58" spans="1:20" s="7" customFormat="1" ht="20.100000000000001" customHeight="1">
      <c r="A58" s="269" t="s">
        <v>288</v>
      </c>
      <c r="B58" s="143" t="s">
        <v>23</v>
      </c>
      <c r="C58" s="433" t="s">
        <v>97</v>
      </c>
      <c r="D58" s="29">
        <f>10-H58-L58-P58</f>
        <v>7.5166666666666666</v>
      </c>
      <c r="E58" s="114"/>
      <c r="F58" s="28">
        <f>D58/10*100</f>
        <v>75.166666666666671</v>
      </c>
      <c r="G58" s="30"/>
      <c r="H58" s="28">
        <f>(17+6+27+19+26+15+14+25)/60</f>
        <v>2.4833333333333334</v>
      </c>
      <c r="I58" s="114"/>
      <c r="J58" s="29">
        <f>H58/10*100</f>
        <v>24.833333333333336</v>
      </c>
      <c r="K58" s="30"/>
      <c r="L58" s="29"/>
      <c r="M58" s="114"/>
      <c r="N58" s="29"/>
      <c r="O58" s="30"/>
      <c r="P58" s="29"/>
      <c r="Q58" s="114"/>
      <c r="R58" s="29">
        <f>P58/10*100</f>
        <v>0</v>
      </c>
      <c r="S58" s="30"/>
      <c r="T58" s="27">
        <f t="shared" ref="T58:T66" si="7">S58+O58+K58+G58</f>
        <v>0</v>
      </c>
    </row>
    <row r="59" spans="1:20" s="7" customFormat="1" ht="20.100000000000001" customHeight="1">
      <c r="A59" s="154"/>
      <c r="B59" s="155" t="s">
        <v>170</v>
      </c>
      <c r="C59" s="433" t="s">
        <v>228</v>
      </c>
      <c r="D59" s="29">
        <f>10-H59-L59-P59</f>
        <v>7.8166666666666664</v>
      </c>
      <c r="E59" s="114"/>
      <c r="F59" s="28">
        <f>D59/10*100</f>
        <v>78.166666666666657</v>
      </c>
      <c r="G59" s="30"/>
      <c r="H59" s="28">
        <f>(90+22)/60</f>
        <v>1.8666666666666667</v>
      </c>
      <c r="I59" s="114"/>
      <c r="J59" s="29">
        <f>H59/10*100</f>
        <v>18.666666666666668</v>
      </c>
      <c r="K59" s="30"/>
      <c r="L59" s="29"/>
      <c r="M59" s="114"/>
      <c r="N59" s="29">
        <f>L59/10*100</f>
        <v>0</v>
      </c>
      <c r="O59" s="30"/>
      <c r="P59" s="29">
        <f>19/60</f>
        <v>0.31666666666666665</v>
      </c>
      <c r="Q59" s="114"/>
      <c r="R59" s="29">
        <f>P59/10*100</f>
        <v>3.1666666666666661</v>
      </c>
      <c r="S59" s="30"/>
      <c r="T59" s="27">
        <f t="shared" si="7"/>
        <v>0</v>
      </c>
    </row>
    <row r="60" spans="1:20" s="7" customFormat="1" ht="20.100000000000001" customHeight="1">
      <c r="A60" s="156"/>
      <c r="B60" s="157"/>
      <c r="C60" s="158"/>
      <c r="D60" s="26">
        <f>D58+D59</f>
        <v>15.333333333333332</v>
      </c>
      <c r="E60" s="115">
        <f>D60+E57</f>
        <v>265.31700000000001</v>
      </c>
      <c r="F60" s="26">
        <f>(F58+F59)/2</f>
        <v>76.666666666666657</v>
      </c>
      <c r="G60" s="27">
        <f>E60/332*100</f>
        <v>79.914759036144574</v>
      </c>
      <c r="H60" s="26">
        <f>H58+H59</f>
        <v>4.3499999999999996</v>
      </c>
      <c r="I60" s="115">
        <f>H60+I57</f>
        <v>37.433000000000007</v>
      </c>
      <c r="J60" s="26">
        <f>(J58+J59)/2</f>
        <v>21.75</v>
      </c>
      <c r="K60" s="27">
        <f>I60/332*100</f>
        <v>11.275000000000002</v>
      </c>
      <c r="L60" s="26">
        <f>L58+L59</f>
        <v>0</v>
      </c>
      <c r="M60" s="115">
        <f>L60+M57</f>
        <v>0.73333333333333339</v>
      </c>
      <c r="N60" s="26">
        <f>(N58+N59)/2</f>
        <v>0</v>
      </c>
      <c r="O60" s="27">
        <f>M60/332*100</f>
        <v>0.22088353413654621</v>
      </c>
      <c r="P60" s="26">
        <f>P58+P59</f>
        <v>0.31666666666666665</v>
      </c>
      <c r="Q60" s="115">
        <f>P60+Q57</f>
        <v>28.516666666666669</v>
      </c>
      <c r="R60" s="26">
        <f>(R58+R59)/2</f>
        <v>1.583333333333333</v>
      </c>
      <c r="S60" s="27">
        <f>Q60/332*100</f>
        <v>8.5893574297188753</v>
      </c>
      <c r="T60" s="27">
        <f t="shared" si="7"/>
        <v>100</v>
      </c>
    </row>
    <row r="61" spans="1:20" s="7" customFormat="1" ht="20.100000000000001" customHeight="1">
      <c r="A61" s="269" t="s">
        <v>290</v>
      </c>
      <c r="B61" s="143" t="s">
        <v>23</v>
      </c>
      <c r="C61" s="433" t="s">
        <v>228</v>
      </c>
      <c r="D61" s="29">
        <f>10-H61-L61-P61</f>
        <v>8.8000000000000007</v>
      </c>
      <c r="E61" s="114"/>
      <c r="F61" s="28">
        <f>D61/10*100</f>
        <v>88.000000000000014</v>
      </c>
      <c r="G61" s="30"/>
      <c r="H61" s="28">
        <f>(8+10+12)/60</f>
        <v>0.5</v>
      </c>
      <c r="I61" s="114"/>
      <c r="J61" s="29">
        <f>H61/10*100</f>
        <v>5</v>
      </c>
      <c r="K61" s="30"/>
      <c r="L61" s="29"/>
      <c r="M61" s="114"/>
      <c r="N61" s="29"/>
      <c r="O61" s="30"/>
      <c r="P61" s="29">
        <f>(26+16)/60</f>
        <v>0.7</v>
      </c>
      <c r="Q61" s="114"/>
      <c r="R61" s="29">
        <f>P61/10*100</f>
        <v>6.9999999999999991</v>
      </c>
      <c r="S61" s="30"/>
      <c r="T61" s="27">
        <f t="shared" si="7"/>
        <v>0</v>
      </c>
    </row>
    <row r="62" spans="1:20" s="7" customFormat="1" ht="20.100000000000001" customHeight="1">
      <c r="A62" s="154"/>
      <c r="B62" s="155" t="s">
        <v>170</v>
      </c>
      <c r="C62" s="433" t="s">
        <v>223</v>
      </c>
      <c r="D62" s="29">
        <f>10-H62-L62-P62</f>
        <v>9.5666666666666664</v>
      </c>
      <c r="E62" s="114"/>
      <c r="F62" s="28">
        <f>D62/10*100</f>
        <v>95.666666666666671</v>
      </c>
      <c r="G62" s="30"/>
      <c r="H62" s="28">
        <f>(2+12+12)/60</f>
        <v>0.43333333333333335</v>
      </c>
      <c r="I62" s="114"/>
      <c r="J62" s="29">
        <f>H62/10*100</f>
        <v>4.3333333333333339</v>
      </c>
      <c r="K62" s="30"/>
      <c r="L62" s="29"/>
      <c r="M62" s="114"/>
      <c r="N62" s="29">
        <f>L62/10*100</f>
        <v>0</v>
      </c>
      <c r="O62" s="30"/>
      <c r="P62" s="29"/>
      <c r="Q62" s="114"/>
      <c r="R62" s="29">
        <f>P62/10*100</f>
        <v>0</v>
      </c>
      <c r="S62" s="30"/>
      <c r="T62" s="27">
        <f t="shared" si="7"/>
        <v>0</v>
      </c>
    </row>
    <row r="63" spans="1:20" s="7" customFormat="1" ht="20.100000000000001" customHeight="1">
      <c r="A63" s="156"/>
      <c r="B63" s="157"/>
      <c r="C63" s="158"/>
      <c r="D63" s="26">
        <f>D61+D62</f>
        <v>18.366666666666667</v>
      </c>
      <c r="E63" s="115">
        <f>D63+E60</f>
        <v>283.68366666666668</v>
      </c>
      <c r="F63" s="26">
        <f>(F61+F62)/2</f>
        <v>91.833333333333343</v>
      </c>
      <c r="G63" s="27">
        <f>E63/352*100</f>
        <v>80.591950757575759</v>
      </c>
      <c r="H63" s="26">
        <f>H61+H62</f>
        <v>0.93333333333333335</v>
      </c>
      <c r="I63" s="115">
        <f>H63+I60</f>
        <v>38.366333333333337</v>
      </c>
      <c r="J63" s="26">
        <f>(J61+J62)/2</f>
        <v>4.666666666666667</v>
      </c>
      <c r="K63" s="27">
        <f>I63/352*100</f>
        <v>10.899526515151516</v>
      </c>
      <c r="L63" s="26">
        <f>L61+L62</f>
        <v>0</v>
      </c>
      <c r="M63" s="115">
        <f>L63+M60</f>
        <v>0.73333333333333339</v>
      </c>
      <c r="N63" s="26">
        <f>(N61+N62)/2</f>
        <v>0</v>
      </c>
      <c r="O63" s="27">
        <f>M63/352*100</f>
        <v>0.20833333333333334</v>
      </c>
      <c r="P63" s="26">
        <f>P61+P62</f>
        <v>0.7</v>
      </c>
      <c r="Q63" s="115">
        <f>P63+Q60</f>
        <v>29.216666666666669</v>
      </c>
      <c r="R63" s="26">
        <f>(R61+R62)/2</f>
        <v>3.4999999999999996</v>
      </c>
      <c r="S63" s="27">
        <f>Q63/352*100</f>
        <v>8.3001893939393945</v>
      </c>
      <c r="T63" s="27">
        <f t="shared" si="7"/>
        <v>100</v>
      </c>
    </row>
    <row r="64" spans="1:20" s="7" customFormat="1" ht="20.100000000000001" customHeight="1">
      <c r="A64" s="269" t="s">
        <v>291</v>
      </c>
      <c r="B64" s="143" t="s">
        <v>26</v>
      </c>
      <c r="C64" s="433" t="s">
        <v>223</v>
      </c>
      <c r="D64" s="29">
        <f>10-H64-L64-P64</f>
        <v>9.5</v>
      </c>
      <c r="E64" s="114"/>
      <c r="F64" s="28">
        <f>D64/10*100</f>
        <v>95</v>
      </c>
      <c r="G64" s="30"/>
      <c r="H64" s="28">
        <f>+(15+15)/60</f>
        <v>0.5</v>
      </c>
      <c r="I64" s="114"/>
      <c r="J64" s="29">
        <f>H64/10*100</f>
        <v>5</v>
      </c>
      <c r="K64" s="30"/>
      <c r="L64" s="29"/>
      <c r="M64" s="114"/>
      <c r="N64" s="29"/>
      <c r="O64" s="30"/>
      <c r="P64" s="29"/>
      <c r="Q64" s="114"/>
      <c r="R64" s="29">
        <f>P64/10*100</f>
        <v>0</v>
      </c>
      <c r="S64" s="30"/>
      <c r="T64" s="27">
        <f t="shared" si="7"/>
        <v>0</v>
      </c>
    </row>
    <row r="65" spans="1:20" s="7" customFormat="1" ht="20.100000000000001" customHeight="1">
      <c r="A65" s="154"/>
      <c r="B65" s="155" t="s">
        <v>23</v>
      </c>
      <c r="C65" s="433" t="s">
        <v>294</v>
      </c>
      <c r="D65" s="29">
        <f>10-H65-L65-P65</f>
        <v>6.0666666666666664</v>
      </c>
      <c r="E65" s="114"/>
      <c r="F65" s="28">
        <f>D65/10*100</f>
        <v>60.666666666666671</v>
      </c>
      <c r="G65" s="30"/>
      <c r="H65" s="28">
        <f>(50+24+33+26)/60</f>
        <v>2.2166666666666668</v>
      </c>
      <c r="I65" s="114"/>
      <c r="J65" s="29">
        <f>H65/10*100</f>
        <v>22.166666666666668</v>
      </c>
      <c r="K65" s="30"/>
      <c r="L65" s="29"/>
      <c r="M65" s="114"/>
      <c r="N65" s="29">
        <f>L65/10*100</f>
        <v>0</v>
      </c>
      <c r="O65" s="30"/>
      <c r="P65" s="29">
        <f>103/60</f>
        <v>1.7166666666666666</v>
      </c>
      <c r="Q65" s="114"/>
      <c r="R65" s="29">
        <f>P65/10*100</f>
        <v>17.166666666666668</v>
      </c>
      <c r="S65" s="30"/>
      <c r="T65" s="27">
        <f t="shared" si="7"/>
        <v>0</v>
      </c>
    </row>
    <row r="66" spans="1:20" s="7" customFormat="1" ht="20.100000000000001" customHeight="1">
      <c r="A66" s="156"/>
      <c r="B66" s="157"/>
      <c r="C66" s="158"/>
      <c r="D66" s="26">
        <f>D64+D65</f>
        <v>15.566666666666666</v>
      </c>
      <c r="E66" s="115">
        <f>D66+E63</f>
        <v>299.25033333333334</v>
      </c>
      <c r="F66" s="26">
        <f>(F64+F65)/2</f>
        <v>77.833333333333343</v>
      </c>
      <c r="G66" s="27">
        <f>E66/372*100</f>
        <v>80.44363799283154</v>
      </c>
      <c r="H66" s="26">
        <f>H64+H65</f>
        <v>2.7166666666666668</v>
      </c>
      <c r="I66" s="115">
        <f>H66+I63</f>
        <v>41.083000000000006</v>
      </c>
      <c r="J66" s="26">
        <f>(J64+J65)/2</f>
        <v>13.583333333333334</v>
      </c>
      <c r="K66" s="27">
        <f>I66/372*100</f>
        <v>11.043817204301076</v>
      </c>
      <c r="L66" s="26">
        <f>L64+L65</f>
        <v>0</v>
      </c>
      <c r="M66" s="115">
        <f>L66+M63</f>
        <v>0.73333333333333339</v>
      </c>
      <c r="N66" s="26">
        <f>(N64+N65)/2</f>
        <v>0</v>
      </c>
      <c r="O66" s="27">
        <f>M66/372*100</f>
        <v>0.19713261648745523</v>
      </c>
      <c r="P66" s="26">
        <f>P64+P65</f>
        <v>1.7166666666666666</v>
      </c>
      <c r="Q66" s="115">
        <f>P66+Q63</f>
        <v>30.933333333333334</v>
      </c>
      <c r="R66" s="26">
        <f>(R64+R65)/2</f>
        <v>8.5833333333333339</v>
      </c>
      <c r="S66" s="27">
        <f>Q66/372*100</f>
        <v>8.3154121863799286</v>
      </c>
      <c r="T66" s="27">
        <f t="shared" si="7"/>
        <v>100</v>
      </c>
    </row>
    <row r="67" spans="1:20" s="7" customFormat="1" ht="20.100000000000001" customHeight="1">
      <c r="A67" s="269" t="s">
        <v>296</v>
      </c>
      <c r="B67" s="143"/>
      <c r="C67" s="433"/>
      <c r="D67" s="29"/>
      <c r="E67" s="114"/>
      <c r="F67" s="28">
        <f>D67/10*100</f>
        <v>0</v>
      </c>
      <c r="G67" s="30"/>
      <c r="H67" s="28"/>
      <c r="I67" s="114"/>
      <c r="J67" s="29">
        <f>H67/10*100</f>
        <v>0</v>
      </c>
      <c r="K67" s="30"/>
      <c r="L67" s="29"/>
      <c r="M67" s="114"/>
      <c r="N67" s="29"/>
      <c r="O67" s="30"/>
      <c r="P67" s="29"/>
      <c r="Q67" s="114"/>
      <c r="R67" s="29">
        <f>P67/10*100</f>
        <v>0</v>
      </c>
      <c r="S67" s="30"/>
      <c r="T67" s="27">
        <f t="shared" ref="T67:T72" si="8">S67+O67+K67+G67</f>
        <v>0</v>
      </c>
    </row>
    <row r="68" spans="1:20" s="7" customFormat="1" ht="20.100000000000001" customHeight="1">
      <c r="A68" s="154"/>
      <c r="B68" s="155" t="s">
        <v>26</v>
      </c>
      <c r="C68" s="433" t="s">
        <v>294</v>
      </c>
      <c r="D68" s="29">
        <f>10-H68-L68-P68</f>
        <v>7.166666666666667</v>
      </c>
      <c r="E68" s="114"/>
      <c r="F68" s="28">
        <f>D68/10*100</f>
        <v>71.666666666666671</v>
      </c>
      <c r="G68" s="30"/>
      <c r="H68" s="28">
        <f>(10+125+10)/60</f>
        <v>2.4166666666666665</v>
      </c>
      <c r="I68" s="114"/>
      <c r="J68" s="29">
        <f>H68/10*100</f>
        <v>24.166666666666664</v>
      </c>
      <c r="K68" s="30"/>
      <c r="L68" s="29"/>
      <c r="M68" s="114"/>
      <c r="N68" s="29">
        <f>L68/10*100</f>
        <v>0</v>
      </c>
      <c r="O68" s="30"/>
      <c r="P68" s="29">
        <f>25/60</f>
        <v>0.41666666666666669</v>
      </c>
      <c r="Q68" s="114"/>
      <c r="R68" s="29">
        <f>P68/10*100</f>
        <v>4.166666666666667</v>
      </c>
      <c r="S68" s="30"/>
      <c r="T68" s="27">
        <f t="shared" si="8"/>
        <v>0</v>
      </c>
    </row>
    <row r="69" spans="1:20" s="7" customFormat="1" ht="20.100000000000001" customHeight="1">
      <c r="A69" s="156"/>
      <c r="B69" s="157"/>
      <c r="C69" s="158"/>
      <c r="D69" s="26">
        <f>D67+D68</f>
        <v>7.166666666666667</v>
      </c>
      <c r="E69" s="115">
        <f>D69+E66</f>
        <v>306.41700000000003</v>
      </c>
      <c r="F69" s="26">
        <f>(F67+F68)/2</f>
        <v>35.833333333333336</v>
      </c>
      <c r="G69" s="27">
        <f>E69/382*100</f>
        <v>80.213874345549755</v>
      </c>
      <c r="H69" s="26">
        <f>H67+H68</f>
        <v>2.4166666666666665</v>
      </c>
      <c r="I69" s="115">
        <f>H69+I66</f>
        <v>43.49966666666667</v>
      </c>
      <c r="J69" s="26">
        <f>(J67+J68)/2</f>
        <v>12.083333333333332</v>
      </c>
      <c r="K69" s="27">
        <f>I69/382*100</f>
        <v>11.387347294938918</v>
      </c>
      <c r="L69" s="26">
        <f>L67+L68</f>
        <v>0</v>
      </c>
      <c r="M69" s="115">
        <f>L69+M66</f>
        <v>0.73333333333333339</v>
      </c>
      <c r="N69" s="26">
        <f>(N67+N68)/2</f>
        <v>0</v>
      </c>
      <c r="O69" s="27">
        <f>M69/382*100</f>
        <v>0.19197207678883074</v>
      </c>
      <c r="P69" s="26">
        <f>P67+P68</f>
        <v>0.41666666666666669</v>
      </c>
      <c r="Q69" s="115">
        <f>P69+Q66</f>
        <v>31.35</v>
      </c>
      <c r="R69" s="26">
        <f>(R67+R68)/2</f>
        <v>2.0833333333333335</v>
      </c>
      <c r="S69" s="27">
        <f>Q69/382*100</f>
        <v>8.2068062827225141</v>
      </c>
      <c r="T69" s="27">
        <f t="shared" si="8"/>
        <v>100.00000000000001</v>
      </c>
    </row>
    <row r="70" spans="1:20" s="7" customFormat="1" ht="20.100000000000001" customHeight="1">
      <c r="A70" s="269" t="s">
        <v>297</v>
      </c>
      <c r="B70" s="143" t="s">
        <v>170</v>
      </c>
      <c r="C70" s="433" t="s">
        <v>294</v>
      </c>
      <c r="D70" s="29">
        <f>10-H70-L70-P70</f>
        <v>7.3166666666666664</v>
      </c>
      <c r="E70" s="114"/>
      <c r="F70" s="28">
        <f>D70/10*100</f>
        <v>73.166666666666671</v>
      </c>
      <c r="G70" s="30"/>
      <c r="H70" s="28">
        <f>(2+9+16+80)/60</f>
        <v>1.7833333333333334</v>
      </c>
      <c r="I70" s="114"/>
      <c r="J70" s="29">
        <f>H70/10*100</f>
        <v>17.833333333333336</v>
      </c>
      <c r="K70" s="30"/>
      <c r="L70" s="29">
        <f>40/60</f>
        <v>0.66666666666666663</v>
      </c>
      <c r="M70" s="114"/>
      <c r="N70" s="29">
        <f>L70/10*100</f>
        <v>6.666666666666667</v>
      </c>
      <c r="O70" s="30"/>
      <c r="P70" s="29">
        <f>14/60</f>
        <v>0.23333333333333334</v>
      </c>
      <c r="Q70" s="114"/>
      <c r="R70" s="29">
        <f>P70/10*100</f>
        <v>2.3333333333333335</v>
      </c>
      <c r="S70" s="30"/>
      <c r="T70" s="27">
        <f t="shared" si="8"/>
        <v>0</v>
      </c>
    </row>
    <row r="71" spans="1:20" s="7" customFormat="1" ht="20.100000000000001" customHeight="1">
      <c r="A71" s="154"/>
      <c r="B71" s="155" t="s">
        <v>26</v>
      </c>
      <c r="C71" s="433" t="s">
        <v>294</v>
      </c>
      <c r="D71" s="29">
        <f>10-H71-L71-P71</f>
        <v>5.583333333333333</v>
      </c>
      <c r="E71" s="114"/>
      <c r="F71" s="28">
        <f>D71/10*100</f>
        <v>55.833333333333336</v>
      </c>
      <c r="G71" s="30"/>
      <c r="H71" s="28">
        <f>(245+20)/60</f>
        <v>4.416666666666667</v>
      </c>
      <c r="I71" s="114"/>
      <c r="J71" s="29">
        <f>H71/10*100</f>
        <v>44.166666666666671</v>
      </c>
      <c r="K71" s="30"/>
      <c r="L71" s="29"/>
      <c r="M71" s="114"/>
      <c r="N71" s="29">
        <f>L71/10*100</f>
        <v>0</v>
      </c>
      <c r="O71" s="30"/>
      <c r="P71" s="29"/>
      <c r="Q71" s="114"/>
      <c r="R71" s="29">
        <f>P71/10*100</f>
        <v>0</v>
      </c>
      <c r="S71" s="30"/>
      <c r="T71" s="27">
        <f t="shared" si="8"/>
        <v>0</v>
      </c>
    </row>
    <row r="72" spans="1:20" s="7" customFormat="1" ht="20.100000000000001" customHeight="1">
      <c r="A72" s="156"/>
      <c r="B72" s="157"/>
      <c r="C72" s="158"/>
      <c r="D72" s="26">
        <f>D70+D71</f>
        <v>12.899999999999999</v>
      </c>
      <c r="E72" s="115">
        <f>D72+E69</f>
        <v>319.31700000000001</v>
      </c>
      <c r="F72" s="26">
        <f>(F70+F71)/2</f>
        <v>64.5</v>
      </c>
      <c r="G72" s="27">
        <f>E72/402*100</f>
        <v>79.432089552238807</v>
      </c>
      <c r="H72" s="26">
        <f>H70+H71</f>
        <v>6.2</v>
      </c>
      <c r="I72" s="115">
        <f>H72+I69</f>
        <v>49.699666666666673</v>
      </c>
      <c r="J72" s="26">
        <f>(J70+J71)/2</f>
        <v>31.000000000000004</v>
      </c>
      <c r="K72" s="27">
        <f>I72/402*100</f>
        <v>12.363101160862357</v>
      </c>
      <c r="L72" s="26">
        <f>L70+L71</f>
        <v>0.66666666666666663</v>
      </c>
      <c r="M72" s="115">
        <f>L72+M69</f>
        <v>1.4</v>
      </c>
      <c r="N72" s="26">
        <f>(N70+N71)/2</f>
        <v>3.3333333333333335</v>
      </c>
      <c r="O72" s="27">
        <f>M72/402*100</f>
        <v>0.34825870646766166</v>
      </c>
      <c r="P72" s="26">
        <f>P70+P71</f>
        <v>0.23333333333333334</v>
      </c>
      <c r="Q72" s="115">
        <f>P72+Q69</f>
        <v>31.583333333333336</v>
      </c>
      <c r="R72" s="26">
        <f>(R70+R71)/2</f>
        <v>1.1666666666666667</v>
      </c>
      <c r="S72" s="27">
        <f>Q72/402*100</f>
        <v>7.8565505804311782</v>
      </c>
      <c r="T72" s="27">
        <f t="shared" si="8"/>
        <v>100</v>
      </c>
    </row>
    <row r="73" spans="1:20" s="7" customFormat="1" ht="20.100000000000001" customHeight="1">
      <c r="A73" s="269" t="s">
        <v>301</v>
      </c>
      <c r="B73" s="143" t="s">
        <v>23</v>
      </c>
      <c r="C73" s="433" t="s">
        <v>294</v>
      </c>
      <c r="D73" s="29">
        <f>10-H73-L73-P73</f>
        <v>7.4333333333333336</v>
      </c>
      <c r="E73" s="114"/>
      <c r="F73" s="28">
        <f>D73/10*100</f>
        <v>74.333333333333343</v>
      </c>
      <c r="G73" s="30"/>
      <c r="H73" s="28">
        <f>(24+8+22+10)/60</f>
        <v>1.0666666666666667</v>
      </c>
      <c r="I73" s="114"/>
      <c r="J73" s="29">
        <f>H73/10*100</f>
        <v>10.666666666666666</v>
      </c>
      <c r="K73" s="30"/>
      <c r="L73" s="29">
        <f>28/60</f>
        <v>0.46666666666666667</v>
      </c>
      <c r="M73" s="114"/>
      <c r="N73" s="29">
        <f>L73/10*100</f>
        <v>4.666666666666667</v>
      </c>
      <c r="O73" s="30"/>
      <c r="P73" s="29">
        <f>62/60</f>
        <v>1.0333333333333334</v>
      </c>
      <c r="Q73" s="114"/>
      <c r="R73" s="29">
        <f>P73/10*100</f>
        <v>10.333333333333334</v>
      </c>
      <c r="S73" s="30"/>
      <c r="T73" s="27">
        <f>S73+O73+K73+G73</f>
        <v>0</v>
      </c>
    </row>
    <row r="74" spans="1:20" s="7" customFormat="1" ht="20.100000000000001" customHeight="1">
      <c r="A74" s="154"/>
      <c r="B74" s="155" t="s">
        <v>170</v>
      </c>
      <c r="C74" s="433" t="s">
        <v>215</v>
      </c>
      <c r="D74" s="29">
        <f>10-H74-L74-P74</f>
        <v>0</v>
      </c>
      <c r="E74" s="114"/>
      <c r="F74" s="28">
        <f>D74/10*100</f>
        <v>0</v>
      </c>
      <c r="G74" s="30"/>
      <c r="H74" s="28"/>
      <c r="I74" s="114"/>
      <c r="J74" s="29">
        <f>H74/10*100</f>
        <v>0</v>
      </c>
      <c r="K74" s="30"/>
      <c r="L74" s="29"/>
      <c r="M74" s="114"/>
      <c r="N74" s="29">
        <f>L74/10*100</f>
        <v>0</v>
      </c>
      <c r="O74" s="30"/>
      <c r="P74" s="29">
        <f>600/60</f>
        <v>10</v>
      </c>
      <c r="Q74" s="114"/>
      <c r="R74" s="29">
        <f>P74/10*100</f>
        <v>100</v>
      </c>
      <c r="S74" s="30"/>
      <c r="T74" s="27">
        <f>S74+O74+K74+G74</f>
        <v>0</v>
      </c>
    </row>
    <row r="75" spans="1:20" s="7" customFormat="1" ht="20.100000000000001" customHeight="1">
      <c r="A75" s="156"/>
      <c r="B75" s="157"/>
      <c r="C75" s="158"/>
      <c r="D75" s="26">
        <f>D73+D74</f>
        <v>7.4333333333333336</v>
      </c>
      <c r="E75" s="115">
        <f>D75+E72</f>
        <v>326.75033333333334</v>
      </c>
      <c r="F75" s="26">
        <f>(F73+F74)/2</f>
        <v>37.166666666666671</v>
      </c>
      <c r="G75" s="27">
        <f>E75/422*100</f>
        <v>77.428988941548184</v>
      </c>
      <c r="H75" s="26">
        <f>H73+H74</f>
        <v>1.0666666666666667</v>
      </c>
      <c r="I75" s="115">
        <f>H75+I72</f>
        <v>50.766333333333343</v>
      </c>
      <c r="J75" s="26">
        <f>(J73+J74)/2</f>
        <v>5.333333333333333</v>
      </c>
      <c r="K75" s="27">
        <f>I75/422*100</f>
        <v>12.029936808846763</v>
      </c>
      <c r="L75" s="26">
        <f>L73+L74</f>
        <v>0.46666666666666667</v>
      </c>
      <c r="M75" s="115">
        <f>L75+M72</f>
        <v>1.8666666666666667</v>
      </c>
      <c r="N75" s="26">
        <f>(N73+N74)/2</f>
        <v>2.3333333333333335</v>
      </c>
      <c r="O75" s="27">
        <f>M75/422*100</f>
        <v>0.44233807266982628</v>
      </c>
      <c r="P75" s="26">
        <f>P73+P74</f>
        <v>11.033333333333333</v>
      </c>
      <c r="Q75" s="115">
        <f>P75+Q72</f>
        <v>42.616666666666667</v>
      </c>
      <c r="R75" s="26">
        <f>(R73+R74)/2</f>
        <v>55.166666666666664</v>
      </c>
      <c r="S75" s="27">
        <f>Q75/422*100</f>
        <v>10.098736176935228</v>
      </c>
      <c r="T75" s="27">
        <f>S75+O75+K75+G75</f>
        <v>100</v>
      </c>
    </row>
    <row r="76" spans="1:20" s="7" customFormat="1" ht="20.100000000000001" customHeight="1">
      <c r="A76" s="165"/>
      <c r="B76" s="166"/>
      <c r="C76" s="353"/>
      <c r="D76" s="3"/>
      <c r="E76" s="354"/>
      <c r="F76" s="3"/>
      <c r="G76" s="355"/>
      <c r="H76" s="3"/>
      <c r="I76" s="354"/>
      <c r="J76" s="3"/>
      <c r="K76" s="355"/>
      <c r="L76" s="3"/>
      <c r="M76" s="354"/>
      <c r="N76" s="3"/>
      <c r="O76" s="355"/>
      <c r="P76" s="3"/>
      <c r="Q76" s="354"/>
      <c r="R76" s="3"/>
      <c r="S76" s="355"/>
      <c r="T76" s="102"/>
    </row>
    <row r="77" spans="1:20" s="7" customFormat="1" ht="15.95" customHeight="1">
      <c r="A77" s="159" t="s">
        <v>84</v>
      </c>
      <c r="B77" s="160"/>
      <c r="C77" s="161"/>
      <c r="D77" s="162"/>
      <c r="E77" s="163"/>
      <c r="F77" s="162"/>
      <c r="G77" s="295"/>
      <c r="H77" s="162"/>
      <c r="I77" s="163"/>
      <c r="J77" s="162"/>
      <c r="K77" s="164"/>
      <c r="L77" s="162"/>
      <c r="M77" s="163"/>
      <c r="N77" s="162"/>
      <c r="O77" s="288"/>
      <c r="P77" s="287"/>
      <c r="Q77" s="163"/>
      <c r="R77" s="162"/>
      <c r="S77" s="164"/>
      <c r="T77" s="102"/>
    </row>
    <row r="78" spans="1:20" s="7" customFormat="1" ht="15.95" customHeight="1">
      <c r="A78" s="165" t="s">
        <v>295</v>
      </c>
      <c r="B78" s="166"/>
      <c r="C78" s="167"/>
      <c r="D78" s="168"/>
      <c r="E78" s="169"/>
      <c r="F78" s="168"/>
      <c r="G78" s="170"/>
      <c r="H78" s="162"/>
      <c r="I78" s="165" t="s">
        <v>289</v>
      </c>
      <c r="J78" s="166"/>
      <c r="K78" s="170"/>
      <c r="L78" s="168"/>
      <c r="M78" s="163"/>
      <c r="N78" s="162"/>
      <c r="O78" s="288"/>
      <c r="P78" s="287"/>
      <c r="Q78" s="163"/>
      <c r="R78" s="162"/>
      <c r="S78" s="164"/>
      <c r="T78" s="102"/>
    </row>
    <row r="79" spans="1:20" s="7" customFormat="1" ht="15.95" customHeight="1">
      <c r="A79" s="171" t="s">
        <v>68</v>
      </c>
      <c r="B79" s="172"/>
      <c r="C79" s="556"/>
      <c r="D79" s="557"/>
      <c r="E79" s="558"/>
      <c r="F79" s="557"/>
      <c r="G79" s="559"/>
      <c r="H79" s="557"/>
      <c r="I79" s="171" t="s">
        <v>68</v>
      </c>
      <c r="J79" s="172"/>
      <c r="K79" s="171"/>
      <c r="L79" s="162"/>
      <c r="M79" s="163"/>
      <c r="N79" s="162"/>
      <c r="O79" s="288"/>
      <c r="P79" s="287"/>
      <c r="Q79" s="163"/>
      <c r="R79" s="162"/>
      <c r="S79" s="164"/>
      <c r="T79" s="102"/>
    </row>
    <row r="80" spans="1:20" s="7" customFormat="1" ht="15.95" customHeight="1">
      <c r="A80" s="171" t="s">
        <v>85</v>
      </c>
      <c r="B80" s="172"/>
      <c r="C80" s="171"/>
      <c r="D80" s="162"/>
      <c r="E80" s="163"/>
      <c r="F80" s="162"/>
      <c r="G80" s="164"/>
      <c r="H80" s="162"/>
      <c r="I80" s="171" t="s">
        <v>85</v>
      </c>
      <c r="J80" s="171"/>
      <c r="K80" s="171"/>
      <c r="L80" s="162"/>
      <c r="M80" s="163"/>
      <c r="N80" s="162"/>
      <c r="O80" s="288"/>
      <c r="P80" s="287"/>
      <c r="Q80" s="163"/>
      <c r="R80" s="162"/>
      <c r="S80" s="164"/>
      <c r="T80" s="102"/>
    </row>
    <row r="81" spans="1:20" s="7" customFormat="1" ht="15.95" customHeight="1">
      <c r="A81" s="171" t="s">
        <v>89</v>
      </c>
      <c r="B81" s="172"/>
      <c r="C81" s="171"/>
      <c r="D81" s="162"/>
      <c r="E81" s="163"/>
      <c r="F81" s="162"/>
      <c r="G81" s="164"/>
      <c r="H81" s="162"/>
      <c r="I81" s="171" t="s">
        <v>89</v>
      </c>
      <c r="J81" s="172"/>
      <c r="K81" s="171"/>
      <c r="L81" s="162"/>
      <c r="M81" s="163"/>
      <c r="N81" s="162"/>
      <c r="O81" s="288"/>
      <c r="P81" s="287"/>
      <c r="Q81" s="163"/>
      <c r="R81" s="162"/>
      <c r="S81" s="164"/>
      <c r="T81" s="102"/>
    </row>
    <row r="82" spans="1:20" s="7" customFormat="1" ht="15.95" customHeight="1">
      <c r="A82" s="165" t="s">
        <v>306</v>
      </c>
      <c r="B82" s="166"/>
      <c r="C82" s="167"/>
      <c r="D82" s="168"/>
      <c r="E82" s="169"/>
      <c r="F82" s="168"/>
      <c r="G82" s="170"/>
      <c r="H82" s="162"/>
      <c r="I82" s="165" t="s">
        <v>307</v>
      </c>
      <c r="J82" s="166"/>
      <c r="K82" s="170"/>
      <c r="L82" s="162"/>
      <c r="M82" s="163"/>
      <c r="N82" s="162"/>
      <c r="O82" s="288"/>
      <c r="P82" s="287"/>
      <c r="Q82" s="163"/>
      <c r="R82" s="162"/>
      <c r="S82" s="164"/>
      <c r="T82" s="102"/>
    </row>
    <row r="83" spans="1:20" s="7" customFormat="1" ht="15.95" customHeight="1">
      <c r="A83" s="171" t="s">
        <v>68</v>
      </c>
      <c r="B83" s="172"/>
      <c r="C83" s="171" t="s">
        <v>309</v>
      </c>
      <c r="D83" s="162"/>
      <c r="E83" s="163"/>
      <c r="F83" s="162"/>
      <c r="G83" s="559"/>
      <c r="H83" s="557"/>
      <c r="I83" s="171" t="s">
        <v>68</v>
      </c>
      <c r="J83" s="172"/>
      <c r="K83" s="171"/>
      <c r="L83" s="162"/>
      <c r="M83" s="163"/>
      <c r="N83" s="162"/>
      <c r="O83" s="288"/>
      <c r="P83" s="287"/>
      <c r="Q83" s="163"/>
      <c r="R83" s="162"/>
      <c r="S83" s="164"/>
      <c r="T83" s="102"/>
    </row>
    <row r="84" spans="1:20" s="7" customFormat="1" ht="15.95" customHeight="1">
      <c r="A84" s="171" t="s">
        <v>85</v>
      </c>
      <c r="B84" s="172"/>
      <c r="C84" s="171" t="s">
        <v>308</v>
      </c>
      <c r="D84" s="162"/>
      <c r="E84" s="163"/>
      <c r="F84" s="162"/>
      <c r="G84" s="164"/>
      <c r="H84" s="162"/>
      <c r="I84" s="171" t="s">
        <v>85</v>
      </c>
      <c r="J84" s="171"/>
      <c r="K84" s="171"/>
      <c r="L84" s="162"/>
      <c r="M84" s="163"/>
      <c r="N84" s="162"/>
      <c r="O84" s="288"/>
      <c r="P84" s="287"/>
      <c r="Q84" s="163"/>
      <c r="R84" s="162"/>
      <c r="S84" s="164"/>
      <c r="T84" s="102"/>
    </row>
    <row r="85" spans="1:20" s="7" customFormat="1" ht="15.95" customHeight="1">
      <c r="A85" s="171" t="s">
        <v>89</v>
      </c>
      <c r="B85" s="172"/>
      <c r="C85" s="171" t="s">
        <v>310</v>
      </c>
      <c r="D85" s="162"/>
      <c r="E85" s="163"/>
      <c r="F85" s="162"/>
      <c r="G85" s="164"/>
      <c r="H85" s="162"/>
      <c r="I85" s="171" t="s">
        <v>89</v>
      </c>
      <c r="J85" s="172" t="s">
        <v>312</v>
      </c>
      <c r="K85" s="171"/>
      <c r="L85" s="162"/>
      <c r="M85" s="163"/>
      <c r="N85" s="162"/>
      <c r="O85" s="288"/>
      <c r="P85" s="287"/>
      <c r="Q85" s="163"/>
      <c r="R85" s="162"/>
      <c r="S85" s="164"/>
      <c r="T85" s="102"/>
    </row>
    <row r="86" spans="1:20" s="7" customFormat="1" ht="15.95" customHeight="1">
      <c r="A86" s="171"/>
      <c r="B86" s="172"/>
      <c r="C86" s="171" t="s">
        <v>311</v>
      </c>
      <c r="D86" s="162"/>
      <c r="E86" s="163"/>
      <c r="F86" s="162"/>
      <c r="G86" s="164"/>
      <c r="H86" s="162"/>
      <c r="I86" s="171"/>
      <c r="J86" s="172"/>
      <c r="K86" s="171"/>
      <c r="L86" s="162"/>
      <c r="M86" s="163"/>
      <c r="N86" s="162"/>
      <c r="O86" s="288"/>
      <c r="P86" s="287"/>
      <c r="Q86" s="163"/>
      <c r="R86" s="162"/>
      <c r="S86" s="164"/>
      <c r="T86" s="102"/>
    </row>
    <row r="87" spans="1:20" s="7" customFormat="1" ht="24.75" customHeight="1">
      <c r="A87" s="171"/>
      <c r="B87" s="172"/>
      <c r="C87" s="718" t="s">
        <v>25</v>
      </c>
      <c r="D87" s="718"/>
      <c r="E87" s="718"/>
      <c r="F87" s="718"/>
      <c r="G87" s="173"/>
      <c r="H87" s="174"/>
      <c r="I87" s="171"/>
      <c r="J87" s="172"/>
      <c r="K87" s="171"/>
      <c r="L87" s="162"/>
      <c r="M87" s="163"/>
      <c r="N87" s="162"/>
      <c r="O87" s="718" t="s">
        <v>24</v>
      </c>
      <c r="P87" s="718"/>
      <c r="Q87" s="718"/>
      <c r="R87" s="718"/>
      <c r="S87" s="718"/>
      <c r="T87" s="10"/>
    </row>
    <row r="88" spans="1:20" s="7" customFormat="1" ht="24.75" customHeight="1">
      <c r="A88" s="171"/>
      <c r="B88" s="172"/>
      <c r="C88" s="47"/>
      <c r="D88" s="47"/>
      <c r="E88" s="47"/>
      <c r="F88" s="47"/>
      <c r="G88" s="13"/>
      <c r="H88" s="2"/>
      <c r="I88" s="122"/>
      <c r="J88" s="5"/>
      <c r="K88" s="20"/>
      <c r="L88" s="19"/>
      <c r="M88" s="122"/>
      <c r="N88" s="2"/>
      <c r="O88" s="47"/>
      <c r="P88" s="47"/>
      <c r="Q88" s="47"/>
      <c r="R88" s="47"/>
      <c r="S88" s="47"/>
      <c r="T88" s="10"/>
    </row>
    <row r="89" spans="1:20" s="7" customFormat="1" ht="18" customHeight="1">
      <c r="A89" s="159"/>
      <c r="B89" s="160"/>
      <c r="C89" s="11"/>
      <c r="D89" s="11"/>
      <c r="E89" s="116"/>
      <c r="F89" s="5"/>
      <c r="G89" s="12"/>
      <c r="H89" s="2"/>
      <c r="I89" s="122"/>
      <c r="J89" s="5"/>
      <c r="K89" s="5"/>
      <c r="L89" s="18"/>
      <c r="M89" s="113"/>
      <c r="N89" s="5"/>
      <c r="O89" s="14"/>
      <c r="P89" s="53"/>
      <c r="Q89" s="123"/>
      <c r="R89" s="53"/>
      <c r="S89" s="53"/>
      <c r="T89" s="10"/>
    </row>
    <row r="90" spans="1:20" s="7" customFormat="1" ht="18" customHeight="1">
      <c r="A90" s="171"/>
      <c r="B90" s="332"/>
      <c r="C90" s="719" t="s">
        <v>61</v>
      </c>
      <c r="D90" s="719"/>
      <c r="E90" s="719"/>
      <c r="F90" s="719"/>
      <c r="G90" s="12"/>
      <c r="H90" s="5"/>
      <c r="I90" s="113"/>
      <c r="J90" s="5"/>
      <c r="K90" s="5"/>
      <c r="L90" s="18"/>
      <c r="M90" s="113"/>
      <c r="N90" s="5"/>
      <c r="O90" s="719" t="s">
        <v>28</v>
      </c>
      <c r="P90" s="719"/>
      <c r="Q90" s="719"/>
      <c r="R90" s="719"/>
      <c r="S90" s="719"/>
      <c r="T90" s="10"/>
    </row>
    <row r="91" spans="1:20" s="7" customFormat="1" ht="18" customHeight="1">
      <c r="A91" s="434"/>
      <c r="B91" s="172"/>
      <c r="C91" s="171"/>
      <c r="D91" s="162"/>
      <c r="E91" s="117"/>
      <c r="F91" s="5"/>
      <c r="G91" s="12"/>
      <c r="H91" s="5"/>
      <c r="I91" s="113"/>
      <c r="J91" s="5"/>
      <c r="K91" s="5"/>
      <c r="L91" s="18"/>
      <c r="M91" s="113"/>
      <c r="N91" s="5"/>
      <c r="O91" s="5"/>
      <c r="P91" s="31"/>
      <c r="Q91" s="117"/>
      <c r="R91" s="31"/>
      <c r="S91" s="5"/>
      <c r="T91" s="10"/>
    </row>
    <row r="92" spans="1:20" s="7" customFormat="1" ht="18" customHeight="1">
      <c r="A92" s="171"/>
      <c r="B92" s="172"/>
      <c r="C92" s="435"/>
      <c r="D92" s="436"/>
      <c r="E92" s="113"/>
      <c r="F92" s="5"/>
      <c r="G92" s="12"/>
      <c r="H92" s="5"/>
      <c r="I92" s="113"/>
      <c r="J92" s="5"/>
      <c r="K92" s="5"/>
      <c r="L92" s="18"/>
      <c r="M92" s="113"/>
      <c r="N92" s="5"/>
      <c r="O92" s="5"/>
      <c r="P92" s="5"/>
      <c r="Q92" s="113"/>
      <c r="R92" s="5"/>
      <c r="S92" s="5"/>
      <c r="T92" s="10"/>
    </row>
    <row r="93" spans="1:20" s="7" customFormat="1" ht="18" customHeight="1">
      <c r="A93" s="24"/>
      <c r="B93" s="259"/>
      <c r="C93" s="259"/>
      <c r="D93" s="5"/>
      <c r="E93" s="113"/>
      <c r="F93" s="5"/>
      <c r="G93" s="12"/>
      <c r="H93" s="5"/>
      <c r="I93" s="113"/>
      <c r="J93" s="5"/>
      <c r="K93" s="5"/>
      <c r="L93" s="18"/>
      <c r="M93" s="113"/>
      <c r="N93" s="5"/>
      <c r="O93" s="5"/>
      <c r="P93" s="5"/>
      <c r="Q93" s="113"/>
      <c r="R93" s="5"/>
      <c r="S93" s="5"/>
      <c r="T93" s="10"/>
    </row>
    <row r="94" spans="1:20" s="7" customFormat="1" ht="18" customHeight="1">
      <c r="A94" s="25"/>
      <c r="B94" s="5"/>
      <c r="C94" s="5"/>
      <c r="D94" s="5"/>
      <c r="E94" s="113"/>
      <c r="F94" s="5"/>
      <c r="G94" s="12"/>
      <c r="H94" s="5"/>
      <c r="I94" s="113"/>
      <c r="J94" s="5"/>
      <c r="K94" s="5"/>
      <c r="L94" s="18"/>
      <c r="M94" s="113"/>
      <c r="N94" s="5"/>
      <c r="O94" s="5"/>
      <c r="P94" s="5"/>
      <c r="Q94" s="113"/>
      <c r="R94" s="5"/>
      <c r="S94" s="5"/>
      <c r="T94" s="10"/>
    </row>
    <row r="95" spans="1:20" s="7" customFormat="1" ht="18" customHeight="1">
      <c r="A95" s="25"/>
      <c r="B95" s="5"/>
      <c r="C95" s="5"/>
      <c r="D95" s="5"/>
      <c r="E95" s="113"/>
      <c r="F95" s="5"/>
      <c r="G95" s="12"/>
      <c r="H95" s="5"/>
      <c r="I95" s="113"/>
      <c r="J95" s="5"/>
      <c r="K95" s="5"/>
      <c r="L95" s="18"/>
      <c r="M95" s="113"/>
      <c r="N95" s="5"/>
      <c r="O95" s="5"/>
      <c r="P95" s="5"/>
      <c r="Q95" s="113"/>
      <c r="R95" s="5"/>
      <c r="S95" s="5"/>
      <c r="T95" s="10"/>
    </row>
    <row r="96" spans="1:20" s="7" customFormat="1" ht="18" customHeight="1">
      <c r="A96" s="25"/>
      <c r="B96" s="5"/>
      <c r="C96" s="5"/>
      <c r="D96" s="5"/>
      <c r="E96" s="113"/>
      <c r="F96" s="5"/>
      <c r="G96" s="12"/>
      <c r="H96" s="5"/>
      <c r="I96" s="113"/>
      <c r="J96" s="5"/>
      <c r="K96" s="5"/>
      <c r="L96" s="18"/>
      <c r="M96" s="113"/>
      <c r="N96" s="5"/>
      <c r="O96" s="5"/>
      <c r="P96" s="5"/>
      <c r="Q96" s="113"/>
      <c r="R96" s="5"/>
      <c r="S96" s="5"/>
      <c r="T96" s="10"/>
    </row>
    <row r="97" spans="1:20" s="7" customFormat="1" ht="18" customHeight="1">
      <c r="A97" s="25"/>
      <c r="B97" s="5"/>
      <c r="C97" s="5"/>
      <c r="D97" s="5"/>
      <c r="E97" s="113"/>
      <c r="F97" s="5"/>
      <c r="G97" s="12"/>
      <c r="H97" s="5"/>
      <c r="I97" s="113"/>
      <c r="J97" s="5"/>
      <c r="K97" s="5"/>
      <c r="L97" s="18"/>
      <c r="M97" s="113"/>
      <c r="N97" s="5"/>
      <c r="O97" s="5"/>
      <c r="P97" s="5"/>
      <c r="Q97" s="113"/>
      <c r="R97" s="5"/>
      <c r="S97" s="5"/>
      <c r="T97" s="10"/>
    </row>
    <row r="98" spans="1:20" s="7" customFormat="1" ht="18" customHeight="1">
      <c r="A98" s="25"/>
      <c r="B98" s="5"/>
      <c r="C98" s="5"/>
      <c r="D98" s="5"/>
      <c r="E98" s="113"/>
      <c r="F98" s="5"/>
      <c r="G98" s="12"/>
      <c r="H98" s="5"/>
      <c r="I98" s="113"/>
      <c r="J98" s="5"/>
      <c r="K98" s="5"/>
      <c r="L98" s="18"/>
      <c r="M98" s="113"/>
      <c r="N98" s="5"/>
      <c r="O98" s="5"/>
      <c r="P98" s="5"/>
      <c r="Q98" s="113"/>
      <c r="R98" s="5"/>
      <c r="S98" s="5"/>
      <c r="T98" s="10"/>
    </row>
    <row r="99" spans="1:20" s="7" customFormat="1" ht="18" customHeight="1">
      <c r="A99" s="25"/>
      <c r="B99" s="5"/>
      <c r="C99" s="5"/>
      <c r="D99" s="5"/>
      <c r="E99" s="113"/>
      <c r="F99" s="5"/>
      <c r="G99" s="12"/>
      <c r="H99" s="5"/>
      <c r="I99" s="113"/>
      <c r="J99" s="5"/>
      <c r="K99" s="5"/>
      <c r="L99" s="18"/>
      <c r="M99" s="113"/>
      <c r="N99" s="5"/>
      <c r="O99" s="5"/>
      <c r="P99" s="5"/>
      <c r="Q99" s="113"/>
      <c r="R99" s="5"/>
      <c r="S99" s="5"/>
      <c r="T99" s="10"/>
    </row>
    <row r="100" spans="1:20" s="7" customFormat="1" ht="18" customHeight="1">
      <c r="A100" s="25"/>
      <c r="B100" s="5"/>
      <c r="C100" s="5"/>
      <c r="D100" s="5"/>
      <c r="E100" s="113"/>
      <c r="F100" s="5"/>
      <c r="G100" s="12"/>
      <c r="H100" s="5"/>
      <c r="I100" s="113"/>
      <c r="J100" s="5"/>
      <c r="K100" s="5"/>
      <c r="L100" s="18"/>
      <c r="M100" s="113"/>
      <c r="N100" s="5"/>
      <c r="O100" s="5"/>
      <c r="P100" s="5"/>
      <c r="Q100" s="113"/>
      <c r="R100" s="5"/>
      <c r="S100" s="5"/>
      <c r="T100" s="10"/>
    </row>
    <row r="101" spans="1:20" s="7" customFormat="1" ht="18" customHeight="1">
      <c r="A101" s="25"/>
      <c r="B101" s="5"/>
      <c r="C101" s="5"/>
      <c r="D101" s="5"/>
      <c r="E101" s="113"/>
      <c r="F101" s="5"/>
      <c r="G101" s="12"/>
      <c r="H101" s="5"/>
      <c r="I101" s="113"/>
      <c r="J101" s="5"/>
      <c r="K101" s="5"/>
      <c r="L101" s="18"/>
      <c r="M101" s="113"/>
      <c r="N101" s="5"/>
      <c r="O101" s="5"/>
      <c r="P101" s="5"/>
      <c r="Q101" s="113"/>
      <c r="R101" s="5"/>
      <c r="S101" s="5"/>
      <c r="T101" s="10"/>
    </row>
    <row r="102" spans="1:20" s="7" customFormat="1" ht="18" customHeight="1">
      <c r="A102" s="25"/>
      <c r="B102" s="5"/>
      <c r="C102" s="5"/>
      <c r="D102" s="5"/>
      <c r="E102" s="113"/>
      <c r="F102" s="5"/>
      <c r="G102" s="12"/>
      <c r="H102" s="5"/>
      <c r="I102" s="113"/>
      <c r="J102" s="5"/>
      <c r="K102" s="5"/>
      <c r="L102" s="18"/>
      <c r="M102" s="113"/>
      <c r="N102" s="5"/>
      <c r="O102" s="5"/>
      <c r="P102" s="5"/>
      <c r="Q102" s="113"/>
      <c r="R102" s="5"/>
      <c r="S102" s="5"/>
      <c r="T102" s="10"/>
    </row>
    <row r="103" spans="1:20" s="7" customFormat="1" ht="18" customHeight="1">
      <c r="A103" s="25"/>
      <c r="B103" s="5"/>
      <c r="C103" s="5"/>
      <c r="D103" s="5"/>
      <c r="E103" s="113"/>
      <c r="F103" s="5"/>
      <c r="G103" s="12"/>
      <c r="H103" s="5"/>
      <c r="I103" s="113"/>
      <c r="J103" s="5"/>
      <c r="K103" s="5"/>
      <c r="L103" s="18"/>
      <c r="M103" s="113"/>
      <c r="N103" s="5"/>
      <c r="O103" s="5"/>
      <c r="P103" s="5"/>
      <c r="Q103" s="113"/>
      <c r="R103" s="5"/>
      <c r="S103" s="5"/>
      <c r="T103" s="10"/>
    </row>
    <row r="104" spans="1:20" s="7" customFormat="1" ht="18" customHeight="1">
      <c r="A104" s="25"/>
      <c r="B104" s="5"/>
      <c r="C104" s="5"/>
      <c r="D104" s="5"/>
      <c r="E104" s="113"/>
      <c r="F104" s="5"/>
      <c r="G104" s="12"/>
      <c r="H104" s="5"/>
      <c r="I104" s="113"/>
      <c r="J104" s="5"/>
      <c r="K104" s="5"/>
      <c r="L104" s="18"/>
      <c r="M104" s="113"/>
      <c r="N104" s="5"/>
      <c r="O104" s="5"/>
      <c r="P104" s="5"/>
      <c r="Q104" s="113"/>
      <c r="R104" s="5"/>
      <c r="S104" s="5"/>
      <c r="T104" s="10"/>
    </row>
    <row r="105" spans="1:20" s="7" customFormat="1" ht="18" customHeight="1">
      <c r="A105" s="25"/>
      <c r="B105" s="5"/>
      <c r="C105" s="5"/>
      <c r="D105" s="5"/>
      <c r="E105" s="113"/>
      <c r="F105" s="5"/>
      <c r="G105" s="12"/>
      <c r="H105" s="5"/>
      <c r="I105" s="113"/>
      <c r="J105" s="5"/>
      <c r="K105" s="5"/>
      <c r="L105" s="18"/>
      <c r="M105" s="113"/>
      <c r="N105" s="5"/>
      <c r="O105" s="5"/>
      <c r="P105" s="5"/>
      <c r="Q105" s="113"/>
      <c r="R105" s="5"/>
      <c r="S105" s="5"/>
      <c r="T105" s="10"/>
    </row>
    <row r="106" spans="1:20" s="7" customFormat="1" ht="18" customHeight="1">
      <c r="A106" s="21"/>
      <c r="B106" s="5"/>
      <c r="C106" s="593"/>
      <c r="D106" s="594" t="s">
        <v>65</v>
      </c>
      <c r="E106" s="595" t="s">
        <v>66</v>
      </c>
      <c r="F106" s="596" t="s">
        <v>69</v>
      </c>
      <c r="G106" s="597" t="s">
        <v>27</v>
      </c>
      <c r="H106" s="596" t="s">
        <v>1</v>
      </c>
      <c r="I106" s="595"/>
      <c r="J106" s="596" t="s">
        <v>76</v>
      </c>
      <c r="K106" s="597" t="s">
        <v>317</v>
      </c>
      <c r="L106" s="18"/>
      <c r="M106" s="118"/>
      <c r="N106" s="2"/>
      <c r="O106" s="13"/>
      <c r="P106" s="2"/>
      <c r="Q106" s="118"/>
      <c r="R106" s="2"/>
      <c r="S106" s="2"/>
      <c r="T106" s="10"/>
    </row>
    <row r="107" spans="1:20">
      <c r="A107" s="21"/>
      <c r="B107" s="5"/>
      <c r="C107" s="598" t="s">
        <v>246</v>
      </c>
      <c r="D107" s="29">
        <f ca="1">SUMIF($C$10:$C$106,C107,$H$10:$H$39)</f>
        <v>6.9833333333333334</v>
      </c>
      <c r="E107" s="29">
        <f>SUMIF($C$10:$C$106,C107,$L$10:$L$106)</f>
        <v>0</v>
      </c>
      <c r="F107" s="29">
        <f>SUMIF($C$10:$C$106,C107,$P$10:$P$106)</f>
        <v>0</v>
      </c>
      <c r="G107" s="599">
        <f t="shared" ref="G107:G112" ca="1" si="9">SUM(D107:F107)</f>
        <v>6.9833333333333334</v>
      </c>
      <c r="H107" s="29">
        <f>COUNTIF($C$10:$C$106,C107)</f>
        <v>4</v>
      </c>
      <c r="I107" s="600"/>
      <c r="J107" s="29">
        <f>H107*10+1</f>
        <v>41</v>
      </c>
      <c r="K107" s="599">
        <f ca="1">J107-G107</f>
        <v>34.016666666666666</v>
      </c>
      <c r="L107" s="18"/>
      <c r="M107" s="118"/>
      <c r="N107" s="2"/>
      <c r="O107" s="13"/>
      <c r="P107" s="2"/>
      <c r="Q107" s="118"/>
      <c r="R107" s="2"/>
      <c r="S107" s="2"/>
    </row>
    <row r="108" spans="1:20">
      <c r="A108" s="22"/>
      <c r="B108" s="17"/>
      <c r="C108" s="598" t="s">
        <v>186</v>
      </c>
      <c r="D108" s="29">
        <f t="shared" ref="D108:D120" ca="1" si="10">SUMIF($C$10:$C$106,C108,$H$10:$H$39)</f>
        <v>6.333333333333333</v>
      </c>
      <c r="E108" s="29">
        <f t="shared" ref="E108:E120" si="11">SUMIF($C$10:$C$106,C108,$L$10:$L$106)</f>
        <v>0</v>
      </c>
      <c r="F108" s="29">
        <f t="shared" ref="F108:F120" si="12">SUMIF($C$10:$C$106,C108,$P$10:$P$106)</f>
        <v>12.266666666666667</v>
      </c>
      <c r="G108" s="599">
        <f t="shared" ca="1" si="9"/>
        <v>18.600000000000001</v>
      </c>
      <c r="H108" s="29">
        <f t="shared" ref="H108:H120" si="13">COUNTIF($C$10:$C$106,C108)</f>
        <v>9</v>
      </c>
      <c r="I108" s="601"/>
      <c r="J108" s="29">
        <f>H108*10</f>
        <v>90</v>
      </c>
      <c r="K108" s="599">
        <f t="shared" ref="K108:K122" ca="1" si="14">J108-G108</f>
        <v>71.400000000000006</v>
      </c>
      <c r="L108" s="18"/>
      <c r="M108" s="119"/>
      <c r="N108" s="17"/>
      <c r="O108" s="17"/>
      <c r="P108" s="17"/>
      <c r="Q108" s="119"/>
      <c r="R108" s="717"/>
      <c r="S108" s="3"/>
    </row>
    <row r="109" spans="1:20">
      <c r="A109" s="22"/>
      <c r="B109" s="17"/>
      <c r="C109" s="602" t="s">
        <v>294</v>
      </c>
      <c r="D109" s="29">
        <f t="shared" ca="1" si="10"/>
        <v>11.899999999999999</v>
      </c>
      <c r="E109" s="29">
        <f t="shared" si="11"/>
        <v>1.1333333333333333</v>
      </c>
      <c r="F109" s="29">
        <f t="shared" si="12"/>
        <v>3.4000000000000004</v>
      </c>
      <c r="G109" s="599">
        <f t="shared" ca="1" si="9"/>
        <v>16.43333333333333</v>
      </c>
      <c r="H109" s="29">
        <f t="shared" si="13"/>
        <v>5</v>
      </c>
      <c r="I109" s="601"/>
      <c r="J109" s="29">
        <f>H109*10</f>
        <v>50</v>
      </c>
      <c r="K109" s="599">
        <f t="shared" ca="1" si="14"/>
        <v>33.56666666666667</v>
      </c>
      <c r="L109" s="18"/>
      <c r="M109" s="119"/>
      <c r="N109" s="17"/>
      <c r="O109" s="17"/>
      <c r="P109" s="17"/>
      <c r="Q109" s="119"/>
      <c r="R109" s="717"/>
      <c r="S109" s="3"/>
    </row>
    <row r="110" spans="1:20">
      <c r="A110" s="22"/>
      <c r="B110" s="17"/>
      <c r="C110" s="602" t="s">
        <v>282</v>
      </c>
      <c r="D110" s="29">
        <f t="shared" ca="1" si="10"/>
        <v>1.6333333333333333</v>
      </c>
      <c r="E110" s="29">
        <f t="shared" si="11"/>
        <v>0</v>
      </c>
      <c r="F110" s="29">
        <f t="shared" si="12"/>
        <v>2.2833333333333332</v>
      </c>
      <c r="G110" s="599">
        <f t="shared" ca="1" si="9"/>
        <v>3.9166666666666665</v>
      </c>
      <c r="H110" s="29">
        <f t="shared" si="13"/>
        <v>1</v>
      </c>
      <c r="I110" s="601"/>
      <c r="J110" s="29">
        <f>H110*10</f>
        <v>10</v>
      </c>
      <c r="K110" s="599">
        <f t="shared" ca="1" si="14"/>
        <v>6.0833333333333339</v>
      </c>
      <c r="L110" s="18"/>
      <c r="M110" s="119"/>
      <c r="N110" s="17"/>
      <c r="O110" s="17"/>
      <c r="P110" s="17"/>
      <c r="Q110" s="119"/>
      <c r="R110" s="717"/>
      <c r="S110" s="3"/>
    </row>
    <row r="111" spans="1:20">
      <c r="A111" s="22"/>
      <c r="B111" s="17"/>
      <c r="C111" s="603" t="s">
        <v>205</v>
      </c>
      <c r="D111" s="29">
        <f t="shared" ca="1" si="10"/>
        <v>0</v>
      </c>
      <c r="E111" s="29">
        <f>SUMIF($C$10:$C$106,C111,$L$10:$L$106)</f>
        <v>0</v>
      </c>
      <c r="F111" s="29">
        <f>SUMIF($C$10:$C$106,C111,$P$10:$P$106)</f>
        <v>0</v>
      </c>
      <c r="G111" s="599">
        <f t="shared" ca="1" si="9"/>
        <v>0</v>
      </c>
      <c r="H111" s="29">
        <f t="shared" si="13"/>
        <v>0</v>
      </c>
      <c r="I111" s="601"/>
      <c r="J111" s="29">
        <f>H111*10</f>
        <v>0</v>
      </c>
      <c r="K111" s="599">
        <f t="shared" ca="1" si="14"/>
        <v>0</v>
      </c>
      <c r="L111" s="18"/>
      <c r="M111" s="119"/>
      <c r="N111" s="17"/>
      <c r="O111" s="17"/>
      <c r="P111" s="17"/>
      <c r="Q111" s="119"/>
      <c r="R111" s="717"/>
      <c r="S111" s="3"/>
    </row>
    <row r="112" spans="1:20">
      <c r="A112" s="22"/>
      <c r="B112" s="17"/>
      <c r="C112" s="603" t="s">
        <v>97</v>
      </c>
      <c r="D112" s="29">
        <f t="shared" ca="1" si="10"/>
        <v>8.5</v>
      </c>
      <c r="E112" s="29">
        <f>SUMIF($C$10:$C$106,C112,$L$10:$L$106)</f>
        <v>0</v>
      </c>
      <c r="F112" s="29">
        <f>SUMIF($C$10:$C$106,C112,$P$10:$P$106)</f>
        <v>6.7333333333333325</v>
      </c>
      <c r="G112" s="599">
        <f t="shared" ca="1" si="9"/>
        <v>15.233333333333333</v>
      </c>
      <c r="H112" s="29">
        <f t="shared" si="13"/>
        <v>7</v>
      </c>
      <c r="I112" s="601"/>
      <c r="J112" s="29">
        <f>H112*10</f>
        <v>70</v>
      </c>
      <c r="K112" s="599">
        <f t="shared" ca="1" si="14"/>
        <v>54.766666666666666</v>
      </c>
      <c r="L112" s="18"/>
      <c r="M112" s="119"/>
      <c r="N112" s="17"/>
      <c r="O112" s="17"/>
      <c r="P112" s="17"/>
      <c r="Q112" s="119"/>
      <c r="R112" s="717"/>
      <c r="S112" s="3"/>
    </row>
    <row r="113" spans="1:19">
      <c r="A113" s="22"/>
      <c r="B113" s="17"/>
      <c r="C113" s="603" t="s">
        <v>47</v>
      </c>
      <c r="D113" s="29">
        <f t="shared" ca="1" si="10"/>
        <v>3.8499999999999996</v>
      </c>
      <c r="E113" s="29">
        <f t="shared" si="11"/>
        <v>0</v>
      </c>
      <c r="F113" s="29">
        <f t="shared" si="12"/>
        <v>0</v>
      </c>
      <c r="G113" s="599">
        <f t="shared" ref="G113:G122" ca="1" si="15">SUM(D113:F113)</f>
        <v>3.8499999999999996</v>
      </c>
      <c r="H113" s="29">
        <f t="shared" si="13"/>
        <v>3</v>
      </c>
      <c r="I113" s="601"/>
      <c r="J113" s="29">
        <f t="shared" ref="J113:J122" si="16">H113*10</f>
        <v>30</v>
      </c>
      <c r="K113" s="599">
        <f t="shared" ca="1" si="14"/>
        <v>26.15</v>
      </c>
      <c r="L113" s="18"/>
      <c r="M113" s="119"/>
      <c r="N113" s="17"/>
      <c r="O113" s="17"/>
      <c r="P113" s="17"/>
      <c r="Q113" s="119"/>
      <c r="R113" s="717"/>
      <c r="S113" s="3"/>
    </row>
    <row r="114" spans="1:19">
      <c r="A114" s="22"/>
      <c r="B114" s="17"/>
      <c r="C114" s="603" t="s">
        <v>215</v>
      </c>
      <c r="D114" s="29">
        <f t="shared" ca="1" si="10"/>
        <v>0</v>
      </c>
      <c r="E114" s="29">
        <f t="shared" si="11"/>
        <v>0</v>
      </c>
      <c r="F114" s="29">
        <f t="shared" si="12"/>
        <v>10</v>
      </c>
      <c r="G114" s="599">
        <f t="shared" ca="1" si="15"/>
        <v>10</v>
      </c>
      <c r="H114" s="29">
        <f t="shared" si="13"/>
        <v>1</v>
      </c>
      <c r="I114" s="601"/>
      <c r="J114" s="29">
        <f t="shared" si="16"/>
        <v>10</v>
      </c>
      <c r="K114" s="599">
        <f t="shared" ca="1" si="14"/>
        <v>0</v>
      </c>
      <c r="L114" s="18"/>
      <c r="M114" s="119"/>
      <c r="N114" s="17"/>
      <c r="O114" s="17"/>
      <c r="P114" s="17"/>
      <c r="Q114" s="119"/>
      <c r="R114" s="717"/>
      <c r="S114" s="3"/>
    </row>
    <row r="115" spans="1:19">
      <c r="A115" s="22"/>
      <c r="B115" s="17"/>
      <c r="C115" s="603" t="s">
        <v>223</v>
      </c>
      <c r="D115" s="29">
        <f t="shared" ca="1" si="10"/>
        <v>2.1833333333333336</v>
      </c>
      <c r="E115" s="29">
        <f t="shared" si="11"/>
        <v>0</v>
      </c>
      <c r="F115" s="29">
        <f t="shared" si="12"/>
        <v>0</v>
      </c>
      <c r="G115" s="599">
        <f t="shared" ca="1" si="15"/>
        <v>2.1833333333333336</v>
      </c>
      <c r="H115" s="29">
        <f t="shared" si="13"/>
        <v>3</v>
      </c>
      <c r="I115" s="601"/>
      <c r="J115" s="29">
        <f t="shared" si="16"/>
        <v>30</v>
      </c>
      <c r="K115" s="599">
        <f t="shared" ca="1" si="14"/>
        <v>27.816666666666666</v>
      </c>
      <c r="L115" s="18"/>
      <c r="M115" s="119"/>
      <c r="N115" s="17"/>
      <c r="O115" s="17"/>
      <c r="P115" s="17"/>
      <c r="Q115" s="119"/>
      <c r="R115" s="518"/>
      <c r="S115" s="3"/>
    </row>
    <row r="116" spans="1:19">
      <c r="A116" s="22"/>
      <c r="B116" s="17"/>
      <c r="C116" s="602" t="s">
        <v>216</v>
      </c>
      <c r="D116" s="29">
        <f t="shared" ca="1" si="10"/>
        <v>5.6</v>
      </c>
      <c r="E116" s="29">
        <f t="shared" si="11"/>
        <v>0.73333333333333339</v>
      </c>
      <c r="F116" s="29">
        <f t="shared" si="12"/>
        <v>4.0166666666666666</v>
      </c>
      <c r="G116" s="599">
        <f t="shared" ca="1" si="15"/>
        <v>10.35</v>
      </c>
      <c r="H116" s="29">
        <f t="shared" si="13"/>
        <v>5</v>
      </c>
      <c r="I116" s="601"/>
      <c r="J116" s="29">
        <f>H116*10+1</f>
        <v>51</v>
      </c>
      <c r="K116" s="599">
        <f t="shared" ca="1" si="14"/>
        <v>40.65</v>
      </c>
      <c r="L116" s="18"/>
      <c r="M116" s="119"/>
      <c r="N116" s="17"/>
      <c r="O116" s="17"/>
      <c r="P116" s="17"/>
      <c r="Q116" s="119"/>
      <c r="R116" s="518"/>
      <c r="S116" s="3"/>
    </row>
    <row r="117" spans="1:19">
      <c r="A117" s="22"/>
      <c r="B117" s="17"/>
      <c r="C117" s="603" t="s">
        <v>228</v>
      </c>
      <c r="D117" s="29">
        <f t="shared" ca="1" si="10"/>
        <v>2.3666666666666667</v>
      </c>
      <c r="E117" s="29">
        <f t="shared" si="11"/>
        <v>0</v>
      </c>
      <c r="F117" s="29">
        <f t="shared" si="12"/>
        <v>1.0166666666666666</v>
      </c>
      <c r="G117" s="599">
        <f t="shared" ca="1" si="15"/>
        <v>3.3833333333333333</v>
      </c>
      <c r="H117" s="29">
        <f t="shared" si="13"/>
        <v>2</v>
      </c>
      <c r="I117" s="601"/>
      <c r="J117" s="29">
        <f t="shared" si="16"/>
        <v>20</v>
      </c>
      <c r="K117" s="599">
        <f t="shared" ca="1" si="14"/>
        <v>16.616666666666667</v>
      </c>
      <c r="L117" s="18"/>
      <c r="M117" s="119"/>
      <c r="N117" s="17"/>
      <c r="O117" s="17"/>
      <c r="P117" s="17"/>
      <c r="Q117" s="119"/>
      <c r="R117" s="518"/>
      <c r="S117" s="3"/>
    </row>
    <row r="118" spans="1:19">
      <c r="A118" s="22"/>
      <c r="B118" s="17"/>
      <c r="C118" s="603" t="s">
        <v>37</v>
      </c>
      <c r="D118" s="29">
        <f t="shared" ca="1" si="10"/>
        <v>0</v>
      </c>
      <c r="E118" s="29">
        <f t="shared" si="11"/>
        <v>0</v>
      </c>
      <c r="F118" s="29">
        <f t="shared" si="12"/>
        <v>0</v>
      </c>
      <c r="G118" s="599">
        <f t="shared" ca="1" si="15"/>
        <v>0</v>
      </c>
      <c r="H118" s="29">
        <f t="shared" si="13"/>
        <v>0</v>
      </c>
      <c r="I118" s="601"/>
      <c r="J118" s="29">
        <f t="shared" si="16"/>
        <v>0</v>
      </c>
      <c r="K118" s="599">
        <f t="shared" ca="1" si="14"/>
        <v>0</v>
      </c>
      <c r="L118" s="18"/>
      <c r="M118" s="119"/>
      <c r="N118" s="17"/>
      <c r="O118" s="17"/>
      <c r="P118" s="17"/>
      <c r="Q118" s="119"/>
      <c r="R118" s="518"/>
      <c r="S118" s="3"/>
    </row>
    <row r="119" spans="1:19">
      <c r="A119" s="22"/>
      <c r="B119" s="17"/>
      <c r="C119" s="603" t="s">
        <v>259</v>
      </c>
      <c r="D119" s="29">
        <f t="shared" ca="1" si="10"/>
        <v>8.3000000000000004E-2</v>
      </c>
      <c r="E119" s="29">
        <f t="shared" si="11"/>
        <v>0</v>
      </c>
      <c r="F119" s="29">
        <f t="shared" si="12"/>
        <v>2.9</v>
      </c>
      <c r="G119" s="599">
        <f t="shared" ca="1" si="15"/>
        <v>2.9830000000000001</v>
      </c>
      <c r="H119" s="29">
        <f t="shared" si="13"/>
        <v>1</v>
      </c>
      <c r="I119" s="601"/>
      <c r="J119" s="29">
        <f t="shared" si="16"/>
        <v>10</v>
      </c>
      <c r="K119" s="599">
        <f t="shared" ca="1" si="14"/>
        <v>7.0169999999999995</v>
      </c>
      <c r="L119" s="18"/>
      <c r="M119" s="119"/>
      <c r="N119" s="17"/>
      <c r="O119" s="17"/>
      <c r="P119" s="17"/>
      <c r="Q119" s="119"/>
      <c r="R119" s="518"/>
      <c r="S119" s="3"/>
    </row>
    <row r="120" spans="1:19">
      <c r="A120" s="22"/>
      <c r="B120" s="17"/>
      <c r="C120" s="603" t="s">
        <v>277</v>
      </c>
      <c r="D120" s="29">
        <f t="shared" ca="1" si="10"/>
        <v>1.3333333333333333</v>
      </c>
      <c r="E120" s="29">
        <f t="shared" si="11"/>
        <v>0</v>
      </c>
      <c r="F120" s="29">
        <f t="shared" si="12"/>
        <v>0</v>
      </c>
      <c r="G120" s="599">
        <f t="shared" ca="1" si="15"/>
        <v>1.3333333333333333</v>
      </c>
      <c r="H120" s="29">
        <f t="shared" si="13"/>
        <v>1</v>
      </c>
      <c r="I120" s="601"/>
      <c r="J120" s="29">
        <f t="shared" si="16"/>
        <v>10</v>
      </c>
      <c r="K120" s="599">
        <f t="shared" ca="1" si="14"/>
        <v>8.6666666666666661</v>
      </c>
      <c r="L120" s="18"/>
      <c r="M120" s="119"/>
      <c r="N120" s="17"/>
      <c r="O120" s="17"/>
      <c r="P120" s="17"/>
      <c r="Q120" s="119"/>
      <c r="R120" s="518"/>
      <c r="S120" s="3"/>
    </row>
    <row r="121" spans="1:19">
      <c r="A121" s="22"/>
      <c r="B121" s="17"/>
      <c r="C121" s="603"/>
      <c r="D121" s="29"/>
      <c r="E121" s="29"/>
      <c r="F121" s="29"/>
      <c r="G121" s="599"/>
      <c r="H121" s="29"/>
      <c r="I121" s="601"/>
      <c r="J121" s="29"/>
      <c r="K121" s="599">
        <f t="shared" si="14"/>
        <v>0</v>
      </c>
      <c r="L121" s="18"/>
      <c r="M121" s="119"/>
      <c r="N121" s="17"/>
      <c r="O121" s="17"/>
      <c r="P121" s="17"/>
      <c r="Q121" s="119"/>
      <c r="R121" s="518"/>
      <c r="S121" s="3"/>
    </row>
    <row r="122" spans="1:19">
      <c r="A122" s="21"/>
      <c r="B122" s="8"/>
      <c r="C122" s="604" t="s">
        <v>37</v>
      </c>
      <c r="D122" s="29">
        <f>SUMIF($C$10:$C$39,C122,$H$10:$H$39)</f>
        <v>0</v>
      </c>
      <c r="E122" s="29">
        <f>SUMIF($C$10:$C$39,C122,$L$10:$L$106)</f>
        <v>0</v>
      </c>
      <c r="F122" s="29">
        <f>SUMIF($C$10:$C$39,C122,$P$10:$P$106)</f>
        <v>0</v>
      </c>
      <c r="G122" s="599">
        <f t="shared" si="15"/>
        <v>0</v>
      </c>
      <c r="H122" s="29">
        <f>COUNTIF($C$10:$C$39,C122)</f>
        <v>0</v>
      </c>
      <c r="I122" s="605"/>
      <c r="J122" s="29">
        <f t="shared" si="16"/>
        <v>0</v>
      </c>
      <c r="K122" s="599">
        <f t="shared" si="14"/>
        <v>0</v>
      </c>
      <c r="L122" s="18"/>
      <c r="M122" s="120"/>
      <c r="N122" s="3"/>
      <c r="O122" s="3"/>
      <c r="P122" s="3"/>
      <c r="Q122" s="120"/>
      <c r="R122" s="3"/>
      <c r="S122" s="3"/>
    </row>
    <row r="123" spans="1:19">
      <c r="A123" s="21"/>
      <c r="B123" s="5"/>
      <c r="C123" s="606"/>
      <c r="D123" s="7"/>
      <c r="E123" s="600"/>
      <c r="F123" s="29"/>
      <c r="G123" s="599"/>
      <c r="H123" s="599"/>
      <c r="I123" s="599"/>
      <c r="J123" s="599">
        <f>SUM(J107:J122)</f>
        <v>422</v>
      </c>
      <c r="K123" s="599"/>
      <c r="L123" s="18"/>
      <c r="M123" s="118"/>
      <c r="N123" s="2"/>
      <c r="O123" s="13"/>
      <c r="P123" s="2"/>
      <c r="Q123" s="118"/>
      <c r="R123" s="2"/>
      <c r="S123" s="13"/>
    </row>
    <row r="124" spans="1:19">
      <c r="A124" s="21"/>
      <c r="B124" s="5"/>
      <c r="C124" s="607"/>
      <c r="D124" s="608">
        <f ca="1">SUM(D107:D123)</f>
        <v>50.766333333333328</v>
      </c>
      <c r="E124" s="608">
        <f>SUM(E107:E123)</f>
        <v>1.8666666666666667</v>
      </c>
      <c r="F124" s="608">
        <f>SUM(F107:F123)</f>
        <v>42.616666666666667</v>
      </c>
      <c r="G124" s="609"/>
      <c r="H124" s="608"/>
      <c r="I124" s="610"/>
      <c r="J124" s="608">
        <f>G123/J123*100</f>
        <v>0</v>
      </c>
      <c r="K124" s="609"/>
      <c r="L124" s="2"/>
      <c r="M124" s="118"/>
      <c r="N124" s="2"/>
      <c r="O124" s="13"/>
      <c r="P124" s="2"/>
      <c r="Q124" s="118"/>
      <c r="R124" s="2"/>
      <c r="S124" s="13"/>
    </row>
    <row r="125" spans="1:19">
      <c r="A125" s="21"/>
      <c r="B125" s="5"/>
      <c r="C125" s="12"/>
      <c r="D125" s="5"/>
      <c r="E125" s="118"/>
      <c r="F125" s="2"/>
      <c r="G125" s="13"/>
      <c r="H125" s="2"/>
      <c r="I125" s="118"/>
      <c r="J125" s="2"/>
      <c r="K125" s="13"/>
      <c r="L125" s="2"/>
      <c r="M125" s="118"/>
      <c r="N125" s="2"/>
      <c r="O125" s="13"/>
      <c r="P125" s="2"/>
      <c r="Q125" s="118"/>
      <c r="R125" s="2"/>
      <c r="S125" s="13"/>
    </row>
    <row r="126" spans="1:19">
      <c r="A126" s="21"/>
      <c r="B126" s="8"/>
      <c r="C126" s="11"/>
      <c r="D126" s="8"/>
      <c r="E126" s="120"/>
      <c r="F126" s="3"/>
      <c r="G126" s="15"/>
      <c r="H126" s="3"/>
      <c r="I126" s="120"/>
      <c r="J126" s="3"/>
      <c r="K126" s="3"/>
      <c r="L126" s="3"/>
      <c r="M126" s="120"/>
      <c r="N126" s="3"/>
      <c r="O126" s="3"/>
      <c r="P126" s="3"/>
      <c r="Q126" s="120"/>
      <c r="R126" s="3"/>
      <c r="S126" s="3"/>
    </row>
    <row r="127" spans="1:19">
      <c r="A127" s="21"/>
      <c r="B127" s="5"/>
      <c r="C127" s="12"/>
      <c r="D127" s="5"/>
      <c r="E127" s="118"/>
      <c r="F127" s="2"/>
      <c r="G127" s="13"/>
      <c r="H127" s="2"/>
      <c r="I127" s="118"/>
      <c r="J127" s="2"/>
      <c r="K127" s="13"/>
      <c r="L127" s="2"/>
      <c r="M127" s="118"/>
      <c r="N127" s="2"/>
      <c r="O127" s="13"/>
      <c r="P127" s="2"/>
      <c r="Q127" s="118"/>
      <c r="R127" s="2"/>
      <c r="S127" s="13"/>
    </row>
    <row r="128" spans="1:19">
      <c r="A128" s="21"/>
      <c r="B128" s="8"/>
      <c r="C128" s="11"/>
      <c r="D128" s="8"/>
      <c r="E128" s="120"/>
      <c r="F128" s="3"/>
      <c r="G128" s="15"/>
      <c r="H128" s="3"/>
      <c r="I128" s="120"/>
      <c r="J128" s="3"/>
      <c r="K128" s="3"/>
      <c r="L128" s="3"/>
      <c r="M128" s="120"/>
      <c r="N128" s="3"/>
      <c r="O128" s="3"/>
      <c r="P128" s="3"/>
      <c r="Q128" s="120"/>
      <c r="R128" s="3"/>
      <c r="S128" s="3"/>
    </row>
    <row r="129" spans="1:19">
      <c r="A129" s="21"/>
      <c r="B129" s="8"/>
      <c r="C129" s="11"/>
      <c r="D129" s="8"/>
      <c r="E129" s="120"/>
      <c r="F129" s="3"/>
      <c r="G129" s="15"/>
      <c r="H129" s="3"/>
      <c r="I129" s="120"/>
      <c r="J129" s="3"/>
      <c r="K129" s="3"/>
      <c r="L129" s="3"/>
      <c r="M129" s="120"/>
      <c r="N129" s="3"/>
      <c r="O129" s="3"/>
      <c r="P129" s="3"/>
      <c r="Q129" s="120"/>
      <c r="R129" s="3"/>
      <c r="S129" s="3"/>
    </row>
    <row r="130" spans="1:19">
      <c r="A130" s="21"/>
      <c r="B130" s="8"/>
      <c r="C130" s="11"/>
      <c r="D130" s="8"/>
      <c r="E130" s="120"/>
      <c r="F130" s="3"/>
      <c r="G130" s="15"/>
      <c r="H130" s="3"/>
      <c r="I130" s="120"/>
      <c r="J130" s="3"/>
      <c r="K130" s="3"/>
      <c r="L130" s="3"/>
      <c r="M130" s="120"/>
      <c r="N130" s="3"/>
      <c r="O130" s="3"/>
      <c r="P130" s="3"/>
      <c r="Q130" s="120"/>
      <c r="R130" s="3"/>
      <c r="S130" s="3"/>
    </row>
    <row r="131" spans="1:19">
      <c r="A131" s="21"/>
      <c r="B131" s="5"/>
      <c r="C131" s="696"/>
      <c r="D131" s="696"/>
      <c r="E131" s="696"/>
      <c r="F131" s="5"/>
      <c r="G131" s="12"/>
      <c r="H131" s="5"/>
      <c r="I131" s="113"/>
      <c r="J131" s="5"/>
      <c r="K131" s="5"/>
      <c r="L131" s="5"/>
      <c r="M131" s="113"/>
      <c r="N131" s="5"/>
      <c r="O131" s="5"/>
      <c r="P131" s="696"/>
      <c r="Q131" s="696"/>
      <c r="R131" s="696"/>
      <c r="S131" s="5"/>
    </row>
    <row r="132" spans="1:19">
      <c r="A132" s="21"/>
      <c r="B132" s="5"/>
      <c r="C132" s="5"/>
      <c r="D132" s="5"/>
      <c r="E132" s="113"/>
      <c r="F132" s="5"/>
      <c r="G132" s="12"/>
      <c r="H132" s="5"/>
      <c r="I132" s="113"/>
      <c r="J132" s="5"/>
      <c r="K132" s="5"/>
      <c r="L132" s="5"/>
      <c r="M132" s="113"/>
      <c r="N132" s="5"/>
      <c r="O132" s="5"/>
      <c r="P132" s="5"/>
      <c r="Q132" s="113"/>
      <c r="R132" s="5"/>
      <c r="S132" s="5"/>
    </row>
    <row r="133" spans="1:19" ht="15.75">
      <c r="A133" s="21"/>
      <c r="B133" s="5"/>
      <c r="C133" s="715"/>
      <c r="D133" s="715"/>
      <c r="E133" s="715"/>
      <c r="F133" s="5"/>
      <c r="G133" s="12"/>
      <c r="H133" s="5"/>
      <c r="I133" s="113"/>
      <c r="J133" s="5"/>
      <c r="K133" s="5"/>
      <c r="L133" s="5"/>
      <c r="M133" s="113"/>
      <c r="N133" s="5"/>
      <c r="O133" s="5"/>
      <c r="P133" s="715"/>
      <c r="Q133" s="715"/>
      <c r="R133" s="715"/>
      <c r="S133" s="5"/>
    </row>
    <row r="134" spans="1:19">
      <c r="A134" s="21"/>
      <c r="B134" s="5"/>
      <c r="C134" s="5"/>
      <c r="D134" s="5"/>
      <c r="E134" s="113"/>
      <c r="F134" s="5"/>
      <c r="G134" s="12"/>
      <c r="H134" s="5"/>
      <c r="I134" s="113"/>
      <c r="J134" s="5"/>
      <c r="K134" s="5"/>
      <c r="L134" s="5"/>
      <c r="M134" s="113"/>
      <c r="N134" s="5"/>
      <c r="O134" s="5"/>
      <c r="P134" s="5"/>
      <c r="Q134" s="113"/>
      <c r="R134" s="5"/>
      <c r="S134" s="5"/>
    </row>
    <row r="135" spans="1:19">
      <c r="A135" s="23"/>
    </row>
    <row r="136" spans="1:19">
      <c r="A136" s="23"/>
    </row>
    <row r="137" spans="1:19">
      <c r="A137" s="23"/>
    </row>
    <row r="138" spans="1:19">
      <c r="A138" s="23"/>
    </row>
    <row r="139" spans="1:19">
      <c r="A139" s="23"/>
    </row>
    <row r="140" spans="1:19">
      <c r="A140" s="23"/>
    </row>
    <row r="141" spans="1:19">
      <c r="A141" s="23"/>
    </row>
    <row r="142" spans="1:19">
      <c r="A142" s="23"/>
    </row>
    <row r="143" spans="1:19">
      <c r="A143" s="23"/>
    </row>
    <row r="144" spans="1:19">
      <c r="A144" s="23"/>
    </row>
    <row r="145" spans="1:1">
      <c r="A145" s="23"/>
    </row>
    <row r="146" spans="1:1">
      <c r="A146" s="23"/>
    </row>
    <row r="147" spans="1:1">
      <c r="A147" s="23"/>
    </row>
    <row r="148" spans="1:1">
      <c r="A148" s="23"/>
    </row>
    <row r="149" spans="1:1">
      <c r="A149" s="23"/>
    </row>
    <row r="150" spans="1:1">
      <c r="A150" s="23"/>
    </row>
    <row r="151" spans="1:1">
      <c r="A151" s="23"/>
    </row>
    <row r="152" spans="1:1">
      <c r="A152" s="23"/>
    </row>
    <row r="153" spans="1:1">
      <c r="A153" s="23"/>
    </row>
    <row r="154" spans="1:1">
      <c r="A154" s="23"/>
    </row>
    <row r="155" spans="1:1">
      <c r="A155" s="23"/>
    </row>
    <row r="156" spans="1:1">
      <c r="A156" s="23"/>
    </row>
    <row r="157" spans="1:1">
      <c r="A157" s="23"/>
    </row>
    <row r="158" spans="1:1">
      <c r="A158" s="23"/>
    </row>
    <row r="159" spans="1:1">
      <c r="A159" s="23"/>
    </row>
    <row r="160" spans="1:1">
      <c r="A160" s="23"/>
    </row>
    <row r="161" spans="1:1">
      <c r="A161" s="23"/>
    </row>
    <row r="162" spans="1:1">
      <c r="A162" s="23"/>
    </row>
    <row r="163" spans="1:1">
      <c r="A163" s="23"/>
    </row>
    <row r="164" spans="1:1">
      <c r="A164" s="23"/>
    </row>
    <row r="165" spans="1:1">
      <c r="A165" s="23"/>
    </row>
    <row r="166" spans="1:1">
      <c r="A166" s="23"/>
    </row>
    <row r="167" spans="1:1">
      <c r="A167" s="23"/>
    </row>
    <row r="168" spans="1:1">
      <c r="A168" s="23"/>
    </row>
    <row r="169" spans="1:1">
      <c r="A169" s="23"/>
    </row>
    <row r="170" spans="1:1">
      <c r="A170" s="23"/>
    </row>
    <row r="171" spans="1:1">
      <c r="A171" s="23"/>
    </row>
  </sheetData>
  <mergeCells count="25">
    <mergeCell ref="Q1:S1"/>
    <mergeCell ref="Q2:S2"/>
    <mergeCell ref="A4:R4"/>
    <mergeCell ref="A5:S5"/>
    <mergeCell ref="C87:F87"/>
    <mergeCell ref="O87:S87"/>
    <mergeCell ref="C90:F90"/>
    <mergeCell ref="O90:S90"/>
    <mergeCell ref="D7:G7"/>
    <mergeCell ref="H7:K7"/>
    <mergeCell ref="L7:O7"/>
    <mergeCell ref="P7:S7"/>
    <mergeCell ref="L8:M8"/>
    <mergeCell ref="N8:O8"/>
    <mergeCell ref="P8:Q8"/>
    <mergeCell ref="R8:S8"/>
    <mergeCell ref="D8:E8"/>
    <mergeCell ref="F8:G8"/>
    <mergeCell ref="H8:I8"/>
    <mergeCell ref="J8:K8"/>
    <mergeCell ref="R108:R114"/>
    <mergeCell ref="C131:E131"/>
    <mergeCell ref="P131:R131"/>
    <mergeCell ref="C133:E133"/>
    <mergeCell ref="P133:R133"/>
  </mergeCells>
  <phoneticPr fontId="0" type="noConversion"/>
  <pageMargins left="0.22" right="0.24" top="1.03" bottom="0.49" header="0.87" footer="0.5"/>
  <pageSetup orientation="portrait" r:id="rId1"/>
  <headerFooter alignWithMargins="0">
    <oddFooter xml:space="preserve">&amp;L&amp;".VnTime, Bold"&amp;10&amp;UN¬i göi:&amp;".VnTime,Regular"&amp;12&amp;U     &amp;".VnTime,  Italic"&amp;9Ban gi¸m ®èc
                   L­u P/X c¸n </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67"/>
  <sheetViews>
    <sheetView topLeftCell="C1" workbookViewId="0"/>
  </sheetViews>
  <sheetFormatPr defaultRowHeight="15"/>
  <cols>
    <col min="1" max="1" width="5" hidden="1" customWidth="1"/>
    <col min="2" max="2" width="4.5" hidden="1" customWidth="1"/>
    <col min="3" max="3" width="9.625" customWidth="1"/>
    <col min="4" max="4" width="7.875" customWidth="1"/>
    <col min="5" max="5" width="8.125" style="121" customWidth="1"/>
    <col min="6" max="6" width="9.75" customWidth="1"/>
    <col min="7" max="7" width="8" style="16" customWidth="1"/>
    <col min="8" max="8" width="9" style="16"/>
    <col min="9" max="9" width="6.375" customWidth="1"/>
    <col min="10" max="10" width="5.75" style="121" customWidth="1"/>
    <col min="11" max="11" width="7.75" customWidth="1"/>
    <col min="12" max="12" width="8" customWidth="1"/>
    <col min="13" max="13" width="7.75" customWidth="1"/>
    <col min="14" max="14" width="7.125" style="121" customWidth="1"/>
    <col min="15" max="15" width="6.5" customWidth="1"/>
    <col min="16" max="16" width="5.875" customWidth="1"/>
    <col min="17" max="17" width="6.5" customWidth="1"/>
    <col min="18" max="18" width="7.75" style="121" customWidth="1"/>
    <col min="19" max="19" width="5.625" customWidth="1"/>
    <col min="20" max="20" width="7.875" customWidth="1"/>
  </cols>
  <sheetData>
    <row r="1" spans="1:21" s="7" customFormat="1" ht="18" customHeight="1">
      <c r="A1" s="4"/>
      <c r="B1" s="5"/>
      <c r="C1" s="5"/>
      <c r="D1" s="5"/>
      <c r="E1" s="113"/>
      <c r="F1" s="6"/>
      <c r="G1" s="12"/>
      <c r="H1" s="12"/>
      <c r="I1" s="5"/>
      <c r="J1" s="113"/>
      <c r="K1" s="5"/>
      <c r="L1" s="5"/>
      <c r="M1" s="5"/>
      <c r="N1" s="5"/>
      <c r="O1" s="5"/>
      <c r="P1" s="5"/>
      <c r="Q1" s="5"/>
      <c r="R1" s="731" t="s">
        <v>201</v>
      </c>
      <c r="S1" s="731"/>
      <c r="T1" s="731"/>
      <c r="U1" s="5"/>
    </row>
    <row r="2" spans="1:21" s="7" customFormat="1" ht="18" customHeight="1">
      <c r="A2" s="4"/>
      <c r="B2" s="5"/>
      <c r="C2" s="5"/>
      <c r="D2" s="5"/>
      <c r="E2" s="113"/>
      <c r="F2" s="6"/>
      <c r="G2" s="12"/>
      <c r="H2" s="12"/>
      <c r="I2" s="5"/>
      <c r="J2" s="113"/>
      <c r="K2" s="5"/>
      <c r="L2" s="5"/>
      <c r="M2" s="5"/>
      <c r="N2" s="5"/>
      <c r="O2" s="5"/>
      <c r="P2" s="5"/>
      <c r="Q2" s="5"/>
      <c r="R2" s="732" t="s">
        <v>202</v>
      </c>
      <c r="S2" s="732"/>
      <c r="T2" s="732"/>
      <c r="U2" s="427"/>
    </row>
    <row r="3" spans="1:21" s="7" customFormat="1" ht="26.25" customHeight="1">
      <c r="A3" s="203" t="s">
        <v>87</v>
      </c>
      <c r="B3" s="5"/>
      <c r="C3" s="5"/>
      <c r="D3" s="5"/>
      <c r="E3" s="113"/>
      <c r="F3" s="6"/>
      <c r="G3" s="12"/>
      <c r="H3" s="12"/>
      <c r="I3" s="5"/>
      <c r="J3" s="113"/>
      <c r="K3" s="5"/>
      <c r="L3" s="5"/>
      <c r="M3" s="5"/>
      <c r="N3" s="5"/>
      <c r="O3" s="5"/>
      <c r="P3" s="5"/>
      <c r="Q3" s="5"/>
      <c r="R3" s="5"/>
      <c r="S3" s="5"/>
      <c r="T3" s="5"/>
      <c r="U3" s="10"/>
    </row>
    <row r="4" spans="1:21" s="7" customFormat="1" ht="25.5" customHeight="1">
      <c r="A4" s="720" t="s">
        <v>83</v>
      </c>
      <c r="B4" s="720"/>
      <c r="C4" s="720"/>
      <c r="D4" s="720"/>
      <c r="E4" s="720"/>
      <c r="F4" s="720"/>
      <c r="G4" s="720"/>
      <c r="H4" s="720"/>
      <c r="I4" s="720"/>
      <c r="J4" s="720"/>
      <c r="K4" s="720"/>
      <c r="L4" s="720"/>
      <c r="M4" s="720"/>
      <c r="N4" s="720"/>
      <c r="O4" s="720"/>
      <c r="P4" s="720"/>
      <c r="Q4" s="720"/>
      <c r="R4" s="720"/>
      <c r="S4" s="720"/>
      <c r="T4" s="5"/>
      <c r="U4" s="10"/>
    </row>
    <row r="5" spans="1:21" s="7" customFormat="1" ht="18" customHeight="1">
      <c r="A5" s="721" t="s">
        <v>346</v>
      </c>
      <c r="B5" s="721"/>
      <c r="C5" s="721"/>
      <c r="D5" s="721"/>
      <c r="E5" s="721"/>
      <c r="F5" s="721"/>
      <c r="G5" s="721"/>
      <c r="H5" s="721"/>
      <c r="I5" s="721"/>
      <c r="J5" s="721"/>
      <c r="K5" s="721"/>
      <c r="L5" s="721"/>
      <c r="M5" s="721"/>
      <c r="N5" s="721"/>
      <c r="O5" s="721"/>
      <c r="P5" s="721"/>
      <c r="Q5" s="721"/>
      <c r="R5" s="721"/>
      <c r="S5" s="721"/>
      <c r="T5" s="721"/>
      <c r="U5" s="10"/>
    </row>
    <row r="6" spans="1:21" s="7" customFormat="1" ht="18" customHeight="1">
      <c r="A6" s="139"/>
      <c r="B6" s="142"/>
      <c r="C6" s="142"/>
      <c r="D6" s="141"/>
      <c r="E6" s="140"/>
      <c r="F6" s="9"/>
      <c r="G6" s="9"/>
      <c r="H6" s="9"/>
      <c r="I6" s="9"/>
      <c r="J6" s="140"/>
      <c r="K6" s="9"/>
      <c r="L6" s="9" t="s">
        <v>88</v>
      </c>
      <c r="M6" s="9"/>
      <c r="N6" s="140"/>
      <c r="O6" s="9"/>
      <c r="P6" s="9"/>
      <c r="Q6" s="9"/>
      <c r="R6" s="140"/>
      <c r="S6" s="9"/>
      <c r="T6" s="139"/>
      <c r="U6" s="10"/>
    </row>
    <row r="7" spans="1:21" s="7" customFormat="1" ht="17.100000000000001" customHeight="1">
      <c r="A7" s="144" t="s">
        <v>0</v>
      </c>
      <c r="B7" s="144" t="s">
        <v>1</v>
      </c>
      <c r="C7" s="145" t="s">
        <v>13</v>
      </c>
      <c r="D7" s="722" t="s">
        <v>14</v>
      </c>
      <c r="E7" s="722"/>
      <c r="F7" s="722"/>
      <c r="G7" s="722"/>
      <c r="H7" s="613"/>
      <c r="I7" s="722" t="s">
        <v>15</v>
      </c>
      <c r="J7" s="722"/>
      <c r="K7" s="722"/>
      <c r="L7" s="722"/>
      <c r="M7" s="722" t="s">
        <v>16</v>
      </c>
      <c r="N7" s="722"/>
      <c r="O7" s="722"/>
      <c r="P7" s="722"/>
      <c r="Q7" s="722" t="s">
        <v>17</v>
      </c>
      <c r="R7" s="722"/>
      <c r="S7" s="722"/>
      <c r="T7" s="722"/>
    </row>
    <row r="8" spans="1:21" s="7" customFormat="1" ht="17.100000000000001" customHeight="1">
      <c r="A8" s="206"/>
      <c r="B8" s="146" t="s">
        <v>18</v>
      </c>
      <c r="C8" s="147" t="s">
        <v>19</v>
      </c>
      <c r="D8" s="716" t="s">
        <v>21</v>
      </c>
      <c r="E8" s="716"/>
      <c r="F8" s="716" t="s">
        <v>20</v>
      </c>
      <c r="G8" s="716"/>
      <c r="H8" s="612"/>
      <c r="I8" s="716" t="s">
        <v>21</v>
      </c>
      <c r="J8" s="716"/>
      <c r="K8" s="716" t="s">
        <v>20</v>
      </c>
      <c r="L8" s="716"/>
      <c r="M8" s="716" t="s">
        <v>21</v>
      </c>
      <c r="N8" s="716"/>
      <c r="O8" s="716" t="s">
        <v>20</v>
      </c>
      <c r="P8" s="716"/>
      <c r="Q8" s="716" t="s">
        <v>21</v>
      </c>
      <c r="R8" s="716"/>
      <c r="S8" s="716" t="s">
        <v>20</v>
      </c>
      <c r="T8" s="716"/>
    </row>
    <row r="9" spans="1:21" s="7" customFormat="1" ht="17.100000000000001" customHeight="1">
      <c r="A9" s="148"/>
      <c r="B9" s="149"/>
      <c r="C9" s="150"/>
      <c r="D9" s="151" t="s">
        <v>22</v>
      </c>
      <c r="E9" s="152" t="s">
        <v>7</v>
      </c>
      <c r="F9" s="151" t="s">
        <v>0</v>
      </c>
      <c r="G9" s="151" t="s">
        <v>7</v>
      </c>
      <c r="H9" s="151"/>
      <c r="I9" s="151" t="s">
        <v>0</v>
      </c>
      <c r="J9" s="152" t="s">
        <v>7</v>
      </c>
      <c r="K9" s="151" t="s">
        <v>0</v>
      </c>
      <c r="L9" s="151" t="s">
        <v>7</v>
      </c>
      <c r="M9" s="151" t="s">
        <v>0</v>
      </c>
      <c r="N9" s="152" t="s">
        <v>7</v>
      </c>
      <c r="O9" s="151" t="s">
        <v>0</v>
      </c>
      <c r="P9" s="151" t="s">
        <v>7</v>
      </c>
      <c r="Q9" s="151" t="s">
        <v>0</v>
      </c>
      <c r="R9" s="152" t="s">
        <v>7</v>
      </c>
      <c r="S9" s="151" t="s">
        <v>0</v>
      </c>
      <c r="T9" s="151" t="s">
        <v>7</v>
      </c>
    </row>
    <row r="10" spans="1:21" s="7" customFormat="1" ht="20.100000000000001" customHeight="1">
      <c r="A10" s="269">
        <v>29560</v>
      </c>
      <c r="B10" s="143" t="s">
        <v>26</v>
      </c>
      <c r="C10" s="426" t="s">
        <v>246</v>
      </c>
      <c r="D10" s="29">
        <f>12.5-I10-M10-Q10</f>
        <v>1.1000000000000005</v>
      </c>
      <c r="E10" s="114"/>
      <c r="F10" s="28">
        <f>D10/10*100</f>
        <v>11.000000000000005</v>
      </c>
      <c r="G10" s="30"/>
      <c r="H10" s="30"/>
      <c r="I10" s="28">
        <f>(600-20+60)/60</f>
        <v>10.666666666666666</v>
      </c>
      <c r="J10" s="114"/>
      <c r="K10" s="29">
        <f>I10/10*100</f>
        <v>106.66666666666667</v>
      </c>
      <c r="L10" s="30"/>
      <c r="M10" s="29">
        <f>44/60</f>
        <v>0.73333333333333328</v>
      </c>
      <c r="N10" s="114"/>
      <c r="O10" s="29">
        <f>M10/10*100</f>
        <v>7.333333333333333</v>
      </c>
      <c r="P10" s="30"/>
      <c r="Q10" s="29"/>
      <c r="R10" s="114"/>
      <c r="S10" s="29">
        <f>Q10/10*100</f>
        <v>0</v>
      </c>
      <c r="T10" s="30"/>
      <c r="U10" s="27">
        <f t="shared" ref="U10:U15" si="0">T10+P10+L10+G10</f>
        <v>0</v>
      </c>
    </row>
    <row r="11" spans="1:21" s="7" customFormat="1" ht="20.100000000000001" customHeight="1">
      <c r="A11" s="154"/>
      <c r="B11" s="155" t="s">
        <v>23</v>
      </c>
      <c r="C11" s="426" t="s">
        <v>246</v>
      </c>
      <c r="D11" s="29">
        <f>10-I11-M11-Q11</f>
        <v>7.05</v>
      </c>
      <c r="E11" s="114"/>
      <c r="F11" s="28">
        <f>D11/10*100</f>
        <v>70.5</v>
      </c>
      <c r="G11" s="30"/>
      <c r="H11" s="30"/>
      <c r="I11" s="28">
        <f>(26+8+13+11+13+30)/60</f>
        <v>1.6833333333333333</v>
      </c>
      <c r="J11" s="114"/>
      <c r="K11" s="29">
        <f>I11/10*100</f>
        <v>16.833333333333332</v>
      </c>
      <c r="L11" s="30"/>
      <c r="M11" s="29">
        <f>(51/60)</f>
        <v>0.85</v>
      </c>
      <c r="N11" s="114"/>
      <c r="O11" s="29">
        <f>M11/10*100</f>
        <v>8.5</v>
      </c>
      <c r="P11" s="30"/>
      <c r="Q11" s="29">
        <f>(10+15)/60</f>
        <v>0.41666666666666669</v>
      </c>
      <c r="R11" s="114"/>
      <c r="S11" s="29">
        <f>Q11/10*100</f>
        <v>4.166666666666667</v>
      </c>
      <c r="T11" s="30"/>
      <c r="U11" s="27">
        <f t="shared" si="0"/>
        <v>0</v>
      </c>
    </row>
    <row r="12" spans="1:21" s="7" customFormat="1" ht="20.100000000000001" customHeight="1">
      <c r="A12" s="156"/>
      <c r="B12" s="157"/>
      <c r="C12" s="158"/>
      <c r="D12" s="26">
        <f>D10+D11</f>
        <v>8.15</v>
      </c>
      <c r="E12" s="115">
        <f>D12</f>
        <v>8.15</v>
      </c>
      <c r="F12" s="26">
        <f>(F10+F11)/2</f>
        <v>40.75</v>
      </c>
      <c r="G12" s="27">
        <f>E12/22.5*100</f>
        <v>36.222222222222221</v>
      </c>
      <c r="H12" s="27"/>
      <c r="I12" s="26">
        <f>I10+I11</f>
        <v>12.35</v>
      </c>
      <c r="J12" s="115">
        <f>I12</f>
        <v>12.35</v>
      </c>
      <c r="K12" s="26">
        <f>(K10+K11)/2</f>
        <v>61.75</v>
      </c>
      <c r="L12" s="27">
        <f>J12/22.5*100</f>
        <v>54.888888888888886</v>
      </c>
      <c r="M12" s="26">
        <f>M10+M11</f>
        <v>1.5833333333333333</v>
      </c>
      <c r="N12" s="115">
        <f>M12</f>
        <v>1.5833333333333333</v>
      </c>
      <c r="O12" s="26">
        <f>(O10+O11)/2</f>
        <v>7.9166666666666661</v>
      </c>
      <c r="P12" s="27">
        <f>N12/22.5*100</f>
        <v>7.0370370370370363</v>
      </c>
      <c r="Q12" s="26">
        <f>Q10+Q11</f>
        <v>0.41666666666666669</v>
      </c>
      <c r="R12" s="115">
        <f>Q12</f>
        <v>0.41666666666666669</v>
      </c>
      <c r="S12" s="26">
        <f>(S10+S11)/2</f>
        <v>2.0833333333333335</v>
      </c>
      <c r="T12" s="27">
        <f>R12/22.5*100</f>
        <v>1.8518518518518521</v>
      </c>
      <c r="U12" s="27">
        <f t="shared" si="0"/>
        <v>100</v>
      </c>
    </row>
    <row r="13" spans="1:21" s="7" customFormat="1" ht="20.100000000000001" customHeight="1">
      <c r="A13" s="269" t="s">
        <v>315</v>
      </c>
      <c r="B13" s="143" t="s">
        <v>26</v>
      </c>
      <c r="C13" s="426" t="s">
        <v>246</v>
      </c>
      <c r="D13" s="29">
        <f>10-I13-M13-Q13</f>
        <v>4.166666666666667</v>
      </c>
      <c r="E13" s="114"/>
      <c r="F13" s="28">
        <f>D13/10*100</f>
        <v>41.666666666666671</v>
      </c>
      <c r="G13" s="30"/>
      <c r="H13" s="30"/>
      <c r="I13" s="28">
        <f>(25+25+25+20+35+25+15+180)/60</f>
        <v>5.833333333333333</v>
      </c>
      <c r="J13" s="114"/>
      <c r="K13" s="29">
        <f>I13/10*100</f>
        <v>58.333333333333329</v>
      </c>
      <c r="L13" s="30"/>
      <c r="M13" s="29"/>
      <c r="N13" s="114"/>
      <c r="O13" s="29">
        <f>M13/10*100</f>
        <v>0</v>
      </c>
      <c r="P13" s="30"/>
      <c r="Q13" s="29"/>
      <c r="R13" s="114"/>
      <c r="S13" s="29">
        <f>Q13/10*100</f>
        <v>0</v>
      </c>
      <c r="T13" s="30"/>
      <c r="U13" s="27">
        <f t="shared" si="0"/>
        <v>0</v>
      </c>
    </row>
    <row r="14" spans="1:21" s="7" customFormat="1" ht="20.100000000000001" customHeight="1">
      <c r="A14" s="154"/>
      <c r="B14" s="155" t="s">
        <v>23</v>
      </c>
      <c r="C14" s="426" t="s">
        <v>246</v>
      </c>
      <c r="D14" s="29">
        <f>10-I14-M14-Q14</f>
        <v>8.5666666666666664</v>
      </c>
      <c r="E14" s="114"/>
      <c r="F14" s="28">
        <f>D14/10*100</f>
        <v>85.666666666666671</v>
      </c>
      <c r="G14" s="30"/>
      <c r="H14" s="30"/>
      <c r="I14" s="28">
        <f>(5+11+43+27)/60</f>
        <v>1.4333333333333333</v>
      </c>
      <c r="J14" s="114"/>
      <c r="K14" s="29">
        <f>I14/10*100</f>
        <v>14.333333333333334</v>
      </c>
      <c r="L14" s="30"/>
      <c r="M14" s="29"/>
      <c r="N14" s="114"/>
      <c r="O14" s="29"/>
      <c r="P14" s="30"/>
      <c r="Q14" s="29"/>
      <c r="R14" s="114"/>
      <c r="S14" s="29"/>
      <c r="T14" s="30"/>
      <c r="U14" s="27">
        <f t="shared" si="0"/>
        <v>0</v>
      </c>
    </row>
    <row r="15" spans="1:21" s="7" customFormat="1" ht="20.100000000000001" customHeight="1">
      <c r="A15" s="156"/>
      <c r="B15" s="157"/>
      <c r="C15" s="158"/>
      <c r="D15" s="26">
        <f>D13+D14</f>
        <v>12.733333333333334</v>
      </c>
      <c r="E15" s="115">
        <f>D15+E12</f>
        <v>20.883333333333333</v>
      </c>
      <c r="F15" s="26">
        <f>(F13+F14)/2</f>
        <v>63.666666666666671</v>
      </c>
      <c r="G15" s="27">
        <f>E15/42.5*100</f>
        <v>49.13725490196078</v>
      </c>
      <c r="H15" s="27"/>
      <c r="I15" s="26">
        <f>I13+I14</f>
        <v>7.2666666666666666</v>
      </c>
      <c r="J15" s="115">
        <f>I15+J12</f>
        <v>19.616666666666667</v>
      </c>
      <c r="K15" s="26">
        <f>(K13+K14)/2</f>
        <v>36.333333333333329</v>
      </c>
      <c r="L15" s="27">
        <f>J15/42.5*100</f>
        <v>46.156862745098046</v>
      </c>
      <c r="M15" s="26">
        <f>M13+M14</f>
        <v>0</v>
      </c>
      <c r="N15" s="115">
        <f>M15+N12</f>
        <v>1.5833333333333333</v>
      </c>
      <c r="O15" s="26">
        <f>(O13+O14)/2</f>
        <v>0</v>
      </c>
      <c r="P15" s="27">
        <f>N15/42.5*100</f>
        <v>3.7254901960784315</v>
      </c>
      <c r="Q15" s="26">
        <f>Q13+Q14</f>
        <v>0</v>
      </c>
      <c r="R15" s="115">
        <f>Q15+R12</f>
        <v>0.41666666666666669</v>
      </c>
      <c r="S15" s="26">
        <f>(S13+S14)/2</f>
        <v>0</v>
      </c>
      <c r="T15" s="27">
        <f>R15/42.5*100</f>
        <v>0.98039215686274506</v>
      </c>
      <c r="U15" s="27">
        <f t="shared" si="0"/>
        <v>100</v>
      </c>
    </row>
    <row r="16" spans="1:21" s="7" customFormat="1" ht="20.100000000000001" customHeight="1">
      <c r="A16" s="269" t="s">
        <v>316</v>
      </c>
      <c r="B16" s="143" t="s">
        <v>170</v>
      </c>
      <c r="C16" s="426" t="s">
        <v>246</v>
      </c>
      <c r="D16" s="29">
        <f>10-I16-M16-Q16</f>
        <v>9.35</v>
      </c>
      <c r="E16" s="114"/>
      <c r="F16" s="28">
        <f>D16/10*100</f>
        <v>93.5</v>
      </c>
      <c r="G16" s="30"/>
      <c r="H16" s="30"/>
      <c r="I16" s="28">
        <f>(15+8+26-15)/60</f>
        <v>0.56666666666666665</v>
      </c>
      <c r="J16" s="114"/>
      <c r="K16" s="29">
        <f>I16/10*100</f>
        <v>5.6666666666666661</v>
      </c>
      <c r="L16" s="30"/>
      <c r="M16" s="29"/>
      <c r="N16" s="114"/>
      <c r="O16" s="29">
        <f>M16/10*100</f>
        <v>0</v>
      </c>
      <c r="P16" s="30"/>
      <c r="Q16" s="29">
        <f>5/60</f>
        <v>8.3333333333333329E-2</v>
      </c>
      <c r="R16" s="114"/>
      <c r="S16" s="29">
        <f>Q16/10*100</f>
        <v>0.83333333333333337</v>
      </c>
      <c r="T16" s="30"/>
      <c r="U16" s="27">
        <f t="shared" ref="U16:U24" si="1">T16+P16+L16+G16</f>
        <v>0</v>
      </c>
    </row>
    <row r="17" spans="1:21" s="7" customFormat="1" ht="20.100000000000001" customHeight="1">
      <c r="A17" s="154"/>
      <c r="B17" s="155" t="s">
        <v>26</v>
      </c>
      <c r="C17" s="426" t="s">
        <v>246</v>
      </c>
      <c r="D17" s="29">
        <f>10-I17-M17-Q17</f>
        <v>7.3333333333333339</v>
      </c>
      <c r="E17" s="114"/>
      <c r="F17" s="28">
        <f>D17/10*100</f>
        <v>73.333333333333343</v>
      </c>
      <c r="G17" s="30"/>
      <c r="H17" s="30"/>
      <c r="I17" s="28">
        <f>10/60</f>
        <v>0.16666666666666666</v>
      </c>
      <c r="J17" s="114"/>
      <c r="K17" s="29">
        <f>I17/10*100</f>
        <v>1.6666666666666667</v>
      </c>
      <c r="L17" s="30"/>
      <c r="M17" s="29"/>
      <c r="N17" s="114"/>
      <c r="O17" s="29"/>
      <c r="P17" s="30"/>
      <c r="Q17" s="29">
        <f>150/60</f>
        <v>2.5</v>
      </c>
      <c r="R17" s="114"/>
      <c r="S17" s="29"/>
      <c r="T17" s="30"/>
      <c r="U17" s="27">
        <f t="shared" si="1"/>
        <v>0</v>
      </c>
    </row>
    <row r="18" spans="1:21" s="7" customFormat="1" ht="20.100000000000001" customHeight="1">
      <c r="A18" s="156"/>
      <c r="B18" s="157"/>
      <c r="C18" s="158"/>
      <c r="D18" s="26">
        <f>D16+D17</f>
        <v>16.683333333333334</v>
      </c>
      <c r="E18" s="115">
        <f>D18+E15</f>
        <v>37.566666666666663</v>
      </c>
      <c r="F18" s="26">
        <f>(F16+F17)/2</f>
        <v>83.416666666666671</v>
      </c>
      <c r="G18" s="27">
        <f>E18/62.5*100</f>
        <v>60.106666666666662</v>
      </c>
      <c r="H18" s="27"/>
      <c r="I18" s="26">
        <f>I16+I17</f>
        <v>0.73333333333333328</v>
      </c>
      <c r="J18" s="115">
        <f>I18+J15</f>
        <v>20.350000000000001</v>
      </c>
      <c r="K18" s="26">
        <f>(K16+K17)/2</f>
        <v>3.6666666666666665</v>
      </c>
      <c r="L18" s="27">
        <f>J18/62.5*100</f>
        <v>32.56</v>
      </c>
      <c r="M18" s="26">
        <f>M16+M17</f>
        <v>0</v>
      </c>
      <c r="N18" s="115">
        <f>M18+N15</f>
        <v>1.5833333333333333</v>
      </c>
      <c r="O18" s="26">
        <f>(O16+O17)/2</f>
        <v>0</v>
      </c>
      <c r="P18" s="27">
        <f>N18/62.5*100</f>
        <v>2.5333333333333332</v>
      </c>
      <c r="Q18" s="26">
        <f>Q16+Q17</f>
        <v>2.5833333333333335</v>
      </c>
      <c r="R18" s="115">
        <f>Q18+R15</f>
        <v>3</v>
      </c>
      <c r="S18" s="26">
        <f>(S16+S17)/2</f>
        <v>0.41666666666666669</v>
      </c>
      <c r="T18" s="27">
        <f>R18/62.5*100</f>
        <v>4.8</v>
      </c>
      <c r="U18" s="27">
        <f t="shared" si="1"/>
        <v>100</v>
      </c>
    </row>
    <row r="19" spans="1:21" s="7" customFormat="1" ht="20.100000000000001" customHeight="1">
      <c r="A19" s="269" t="s">
        <v>318</v>
      </c>
      <c r="B19" s="143" t="s">
        <v>170</v>
      </c>
      <c r="C19" s="426" t="s">
        <v>246</v>
      </c>
      <c r="D19" s="29">
        <f>10-I19-M19-Q19</f>
        <v>5.8833333333333329</v>
      </c>
      <c r="E19" s="114"/>
      <c r="F19" s="28">
        <f>D19/10*100</f>
        <v>58.833333333333329</v>
      </c>
      <c r="G19" s="30"/>
      <c r="H19" s="30"/>
      <c r="I19" s="28">
        <f>(15+10+15+21+10+6)/60</f>
        <v>1.2833333333333334</v>
      </c>
      <c r="J19" s="114"/>
      <c r="K19" s="29">
        <f>I19/10*100</f>
        <v>12.833333333333336</v>
      </c>
      <c r="L19" s="30"/>
      <c r="M19" s="29"/>
      <c r="N19" s="114"/>
      <c r="O19" s="29">
        <f>M19/10*100</f>
        <v>0</v>
      </c>
      <c r="P19" s="30"/>
      <c r="Q19" s="29">
        <f>(30+140)/60</f>
        <v>2.8333333333333335</v>
      </c>
      <c r="R19" s="114"/>
      <c r="S19" s="29">
        <f>Q19/10*100</f>
        <v>28.333333333333332</v>
      </c>
      <c r="T19" s="30"/>
      <c r="U19" s="27">
        <f t="shared" si="1"/>
        <v>0</v>
      </c>
    </row>
    <row r="20" spans="1:21" s="7" customFormat="1" ht="20.100000000000001" customHeight="1">
      <c r="A20" s="154"/>
      <c r="B20" s="155" t="s">
        <v>26</v>
      </c>
      <c r="C20" s="426" t="s">
        <v>246</v>
      </c>
      <c r="D20" s="29">
        <f>10-I20-M20-Q20</f>
        <v>7.3333333333333339</v>
      </c>
      <c r="E20" s="114"/>
      <c r="F20" s="28">
        <f>D20/10*100</f>
        <v>73.333333333333343</v>
      </c>
      <c r="G20" s="30"/>
      <c r="H20" s="30"/>
      <c r="I20" s="28"/>
      <c r="J20" s="114"/>
      <c r="K20" s="29">
        <f>I20/10*100</f>
        <v>0</v>
      </c>
      <c r="L20" s="30"/>
      <c r="M20" s="29"/>
      <c r="N20" s="114"/>
      <c r="O20" s="29"/>
      <c r="P20" s="30"/>
      <c r="Q20" s="29">
        <f>160/60</f>
        <v>2.6666666666666665</v>
      </c>
      <c r="R20" s="114"/>
      <c r="S20" s="29"/>
      <c r="T20" s="30"/>
      <c r="U20" s="27">
        <f t="shared" si="1"/>
        <v>0</v>
      </c>
    </row>
    <row r="21" spans="1:21" s="7" customFormat="1" ht="20.100000000000001" customHeight="1">
      <c r="A21" s="156"/>
      <c r="B21" s="157"/>
      <c r="C21" s="158"/>
      <c r="D21" s="26">
        <f>D19+D20</f>
        <v>13.216666666666667</v>
      </c>
      <c r="E21" s="115">
        <f>D21+E18</f>
        <v>50.783333333333331</v>
      </c>
      <c r="F21" s="26">
        <f>(F19+F20)/2</f>
        <v>66.083333333333343</v>
      </c>
      <c r="G21" s="27">
        <f>E21/82.5*100</f>
        <v>61.55555555555555</v>
      </c>
      <c r="H21" s="27"/>
      <c r="I21" s="26">
        <f>I19+I20</f>
        <v>1.2833333333333334</v>
      </c>
      <c r="J21" s="115">
        <f>I21+J18</f>
        <v>21.633333333333336</v>
      </c>
      <c r="K21" s="26">
        <f>(K19+K20)/2</f>
        <v>6.4166666666666679</v>
      </c>
      <c r="L21" s="27">
        <f>J21/82.5*100</f>
        <v>26.222222222222225</v>
      </c>
      <c r="M21" s="26">
        <f>M19+M20</f>
        <v>0</v>
      </c>
      <c r="N21" s="115">
        <f>M21+N18</f>
        <v>1.5833333333333333</v>
      </c>
      <c r="O21" s="26">
        <f>(O19+O20)/2</f>
        <v>0</v>
      </c>
      <c r="P21" s="27">
        <f>N21/82.5*100</f>
        <v>1.9191919191919191</v>
      </c>
      <c r="Q21" s="26">
        <f>Q19+Q20</f>
        <v>5.5</v>
      </c>
      <c r="R21" s="115">
        <f>Q21+R18</f>
        <v>8.5</v>
      </c>
      <c r="S21" s="26">
        <f>(S19+S20)/2</f>
        <v>14.166666666666666</v>
      </c>
      <c r="T21" s="27">
        <f>R21/82.5*100</f>
        <v>10.303030303030303</v>
      </c>
      <c r="U21" s="27">
        <f t="shared" si="1"/>
        <v>100</v>
      </c>
    </row>
    <row r="22" spans="1:21" s="7" customFormat="1" ht="20.100000000000001" customHeight="1">
      <c r="A22" s="269" t="s">
        <v>319</v>
      </c>
      <c r="B22" s="143" t="s">
        <v>23</v>
      </c>
      <c r="C22" s="426" t="s">
        <v>246</v>
      </c>
      <c r="D22" s="29">
        <f>10-I22-M22-Q22</f>
        <v>8.8833333333333329</v>
      </c>
      <c r="E22" s="114"/>
      <c r="F22" s="28">
        <f>D22/10*100</f>
        <v>88.833333333333329</v>
      </c>
      <c r="G22" s="30"/>
      <c r="H22" s="30"/>
      <c r="I22" s="28">
        <f>(9+7+10+31+10)/60</f>
        <v>1.1166666666666667</v>
      </c>
      <c r="J22" s="114"/>
      <c r="K22" s="29">
        <f>I22/10*100</f>
        <v>11.166666666666666</v>
      </c>
      <c r="L22" s="30"/>
      <c r="M22" s="29"/>
      <c r="N22" s="114"/>
      <c r="O22" s="29">
        <f>M22/10*100</f>
        <v>0</v>
      </c>
      <c r="P22" s="30"/>
      <c r="Q22" s="29"/>
      <c r="R22" s="114"/>
      <c r="S22" s="29">
        <f>Q22/10*100</f>
        <v>0</v>
      </c>
      <c r="T22" s="30"/>
      <c r="U22" s="27">
        <f t="shared" si="1"/>
        <v>0</v>
      </c>
    </row>
    <row r="23" spans="1:21" s="7" customFormat="1" ht="20.100000000000001" customHeight="1">
      <c r="A23" s="154"/>
      <c r="B23" s="155" t="s">
        <v>170</v>
      </c>
      <c r="C23" s="426" t="s">
        <v>186</v>
      </c>
      <c r="D23" s="29">
        <f>10-I23-M23-Q23</f>
        <v>8.0666666666666664</v>
      </c>
      <c r="E23" s="114"/>
      <c r="F23" s="28">
        <f>D23/10*100</f>
        <v>80.666666666666657</v>
      </c>
      <c r="G23" s="30"/>
      <c r="H23" s="30"/>
      <c r="I23" s="28">
        <f>(60+20+9+14)/60</f>
        <v>1.7166666666666666</v>
      </c>
      <c r="J23" s="114"/>
      <c r="K23" s="29">
        <f>I23/10*100</f>
        <v>17.166666666666668</v>
      </c>
      <c r="L23" s="30"/>
      <c r="M23" s="29">
        <f>13/60</f>
        <v>0.21666666666666667</v>
      </c>
      <c r="N23" s="114"/>
      <c r="O23" s="29"/>
      <c r="P23" s="30"/>
      <c r="Q23" s="29"/>
      <c r="R23" s="114"/>
      <c r="S23" s="29"/>
      <c r="T23" s="30"/>
      <c r="U23" s="27">
        <f t="shared" si="1"/>
        <v>0</v>
      </c>
    </row>
    <row r="24" spans="1:21" s="7" customFormat="1" ht="20.100000000000001" customHeight="1">
      <c r="A24" s="156"/>
      <c r="B24" s="157"/>
      <c r="C24" s="158"/>
      <c r="D24" s="26">
        <f>D22+D23</f>
        <v>16.95</v>
      </c>
      <c r="E24" s="115">
        <f>D24+E21</f>
        <v>67.733333333333334</v>
      </c>
      <c r="F24" s="26">
        <f>(F22+F23)/2</f>
        <v>84.75</v>
      </c>
      <c r="G24" s="27">
        <f>E24/102.5*100</f>
        <v>66.081300813008127</v>
      </c>
      <c r="H24" s="27"/>
      <c r="I24" s="26">
        <f>I22+I23</f>
        <v>2.833333333333333</v>
      </c>
      <c r="J24" s="115">
        <f>I24+J21</f>
        <v>24.466666666666669</v>
      </c>
      <c r="K24" s="26">
        <f>(K22+K23)/2</f>
        <v>14.166666666666668</v>
      </c>
      <c r="L24" s="27">
        <f>J24/102.5*100</f>
        <v>23.869918699186993</v>
      </c>
      <c r="M24" s="26">
        <f>M22+M23</f>
        <v>0.21666666666666667</v>
      </c>
      <c r="N24" s="115">
        <f>M24+N21</f>
        <v>1.7999999999999998</v>
      </c>
      <c r="O24" s="26">
        <f>(O22+O23)/2</f>
        <v>0</v>
      </c>
      <c r="P24" s="27">
        <f>N24/102.5*100</f>
        <v>1.7560975609756095</v>
      </c>
      <c r="Q24" s="26">
        <f>Q22+Q23</f>
        <v>0</v>
      </c>
      <c r="R24" s="115">
        <f>Q24+R21</f>
        <v>8.5</v>
      </c>
      <c r="S24" s="26">
        <f>(S22+S23)/2</f>
        <v>0</v>
      </c>
      <c r="T24" s="27">
        <f>R24/102.5*100</f>
        <v>8.2926829268292686</v>
      </c>
      <c r="U24" s="27">
        <f t="shared" si="1"/>
        <v>100</v>
      </c>
    </row>
    <row r="25" spans="1:21" s="7" customFormat="1" ht="20.100000000000001" customHeight="1">
      <c r="A25" s="269" t="s">
        <v>320</v>
      </c>
      <c r="B25" s="143" t="s">
        <v>23</v>
      </c>
      <c r="C25" s="426" t="s">
        <v>186</v>
      </c>
      <c r="D25" s="29">
        <f>10-I25-M25-Q25</f>
        <v>9.1999999999999993</v>
      </c>
      <c r="E25" s="114"/>
      <c r="F25" s="28">
        <f>D25/10*100</f>
        <v>92</v>
      </c>
      <c r="G25" s="30"/>
      <c r="H25" s="30"/>
      <c r="I25" s="28">
        <f>(12+25+11)/60</f>
        <v>0.8</v>
      </c>
      <c r="J25" s="114"/>
      <c r="K25" s="29">
        <f>I25/10*100</f>
        <v>8</v>
      </c>
      <c r="L25" s="30"/>
      <c r="M25" s="29"/>
      <c r="N25" s="114"/>
      <c r="O25" s="29">
        <f>M25/10*100</f>
        <v>0</v>
      </c>
      <c r="P25" s="30"/>
      <c r="Q25" s="29"/>
      <c r="R25" s="114"/>
      <c r="S25" s="29">
        <f>Q25/10*100</f>
        <v>0</v>
      </c>
      <c r="T25" s="30"/>
      <c r="U25" s="27">
        <f t="shared" ref="U25:U30" si="2">T25+P25+L25+G25</f>
        <v>0</v>
      </c>
    </row>
    <row r="26" spans="1:21" s="7" customFormat="1" ht="20.100000000000001" customHeight="1">
      <c r="A26" s="154"/>
      <c r="B26" s="155" t="s">
        <v>170</v>
      </c>
      <c r="C26" s="426" t="s">
        <v>186</v>
      </c>
      <c r="D26" s="29">
        <f>10-I26-M26-Q26</f>
        <v>8.65</v>
      </c>
      <c r="E26" s="114"/>
      <c r="F26" s="28">
        <f>D26/10*100</f>
        <v>86.5</v>
      </c>
      <c r="G26" s="30"/>
      <c r="H26" s="30"/>
      <c r="I26" s="28">
        <f>(10+51+6)/60</f>
        <v>1.1166666666666667</v>
      </c>
      <c r="J26" s="114"/>
      <c r="K26" s="29">
        <f>I26/10*100</f>
        <v>11.166666666666666</v>
      </c>
      <c r="L26" s="30"/>
      <c r="M26" s="29">
        <f>14/60</f>
        <v>0.23333333333333334</v>
      </c>
      <c r="N26" s="114"/>
      <c r="O26" s="29"/>
      <c r="P26" s="30"/>
      <c r="Q26" s="29"/>
      <c r="R26" s="114"/>
      <c r="S26" s="29"/>
      <c r="T26" s="30"/>
      <c r="U26" s="27">
        <f t="shared" si="2"/>
        <v>0</v>
      </c>
    </row>
    <row r="27" spans="1:21" s="7" customFormat="1" ht="20.100000000000001" customHeight="1">
      <c r="A27" s="156"/>
      <c r="B27" s="157"/>
      <c r="C27" s="158"/>
      <c r="D27" s="26">
        <f>D25+D26</f>
        <v>17.850000000000001</v>
      </c>
      <c r="E27" s="115">
        <f>D27+E24</f>
        <v>85.583333333333343</v>
      </c>
      <c r="F27" s="26">
        <f>(F25+F26)/2</f>
        <v>89.25</v>
      </c>
      <c r="G27" s="27">
        <f>E27/122.5*100</f>
        <v>69.863945578231295</v>
      </c>
      <c r="H27" s="27"/>
      <c r="I27" s="26">
        <f>I25+I26</f>
        <v>1.9166666666666667</v>
      </c>
      <c r="J27" s="115">
        <f>I27+J24</f>
        <v>26.383333333333336</v>
      </c>
      <c r="K27" s="26">
        <f>(K25+K26)/2</f>
        <v>9.5833333333333321</v>
      </c>
      <c r="L27" s="27">
        <f>J27/122.5*100</f>
        <v>21.537414965986397</v>
      </c>
      <c r="M27" s="26">
        <f>M25+M26</f>
        <v>0.23333333333333334</v>
      </c>
      <c r="N27" s="115">
        <f>M27+N24</f>
        <v>2.0333333333333332</v>
      </c>
      <c r="O27" s="26">
        <f>(O25+O26)/2</f>
        <v>0</v>
      </c>
      <c r="P27" s="27">
        <f>N27/122.5*100</f>
        <v>1.6598639455782314</v>
      </c>
      <c r="Q27" s="26">
        <f>Q25+Q26</f>
        <v>0</v>
      </c>
      <c r="R27" s="115">
        <f>Q27+R24</f>
        <v>8.5</v>
      </c>
      <c r="S27" s="26">
        <f>(S25+S26)/2</f>
        <v>0</v>
      </c>
      <c r="T27" s="27">
        <f>R27/122.5*100</f>
        <v>6.9387755102040813</v>
      </c>
      <c r="U27" s="27">
        <f t="shared" si="2"/>
        <v>100</v>
      </c>
    </row>
    <row r="28" spans="1:21" s="7" customFormat="1" ht="20.100000000000001" customHeight="1">
      <c r="A28" s="269" t="s">
        <v>321</v>
      </c>
      <c r="B28" s="143" t="s">
        <v>26</v>
      </c>
      <c r="C28" s="426" t="s">
        <v>186</v>
      </c>
      <c r="D28" s="29">
        <f>12-I28-M28-Q28</f>
        <v>11.25</v>
      </c>
      <c r="E28" s="114"/>
      <c r="F28" s="28">
        <f>D28/10*100</f>
        <v>112.5</v>
      </c>
      <c r="G28" s="30"/>
      <c r="H28" s="30"/>
      <c r="I28" s="28">
        <f>(25+10)/60</f>
        <v>0.58333333333333337</v>
      </c>
      <c r="J28" s="114"/>
      <c r="K28" s="29">
        <f>I28/10*100</f>
        <v>5.833333333333333</v>
      </c>
      <c r="L28" s="30"/>
      <c r="M28" s="29"/>
      <c r="N28" s="114"/>
      <c r="O28" s="29">
        <f>M28/10*100</f>
        <v>0</v>
      </c>
      <c r="P28" s="30"/>
      <c r="Q28" s="29">
        <f>10/60</f>
        <v>0.16666666666666666</v>
      </c>
      <c r="R28" s="114"/>
      <c r="S28" s="29">
        <f>Q28/10*100</f>
        <v>1.6666666666666667</v>
      </c>
      <c r="T28" s="30"/>
      <c r="U28" s="27">
        <f t="shared" si="2"/>
        <v>0</v>
      </c>
    </row>
    <row r="29" spans="1:21" s="7" customFormat="1" ht="20.100000000000001" customHeight="1">
      <c r="A29" s="154"/>
      <c r="B29" s="155" t="s">
        <v>23</v>
      </c>
      <c r="C29" s="426" t="s">
        <v>186</v>
      </c>
      <c r="D29" s="29">
        <f>10-I29-M29-Q29</f>
        <v>8.7333333333333325</v>
      </c>
      <c r="E29" s="114"/>
      <c r="F29" s="28">
        <f>D29/10*100</f>
        <v>87.333333333333329</v>
      </c>
      <c r="G29" s="30"/>
      <c r="H29" s="30"/>
      <c r="I29" s="28">
        <f>(25+10+8+20)/60</f>
        <v>1.05</v>
      </c>
      <c r="J29" s="114"/>
      <c r="K29" s="29">
        <f>I29/10*100</f>
        <v>10.500000000000002</v>
      </c>
      <c r="L29" s="30"/>
      <c r="M29" s="29"/>
      <c r="N29" s="114"/>
      <c r="O29" s="29"/>
      <c r="P29" s="30"/>
      <c r="Q29" s="29">
        <f>13/60</f>
        <v>0.21666666666666667</v>
      </c>
      <c r="R29" s="114"/>
      <c r="S29" s="29"/>
      <c r="T29" s="30"/>
      <c r="U29" s="27">
        <f t="shared" si="2"/>
        <v>0</v>
      </c>
    </row>
    <row r="30" spans="1:21" s="7" customFormat="1" ht="20.100000000000001" customHeight="1">
      <c r="A30" s="156"/>
      <c r="B30" s="157"/>
      <c r="C30" s="158"/>
      <c r="D30" s="26">
        <f>D28+D29</f>
        <v>19.983333333333334</v>
      </c>
      <c r="E30" s="115">
        <f>D30+E27</f>
        <v>105.56666666666668</v>
      </c>
      <c r="F30" s="26">
        <f>(F28+F29)/2</f>
        <v>99.916666666666657</v>
      </c>
      <c r="G30" s="27">
        <f>E30/144.5*100</f>
        <v>73.056516724336802</v>
      </c>
      <c r="H30" s="27"/>
      <c r="I30" s="26">
        <f>I28+I29</f>
        <v>1.6333333333333333</v>
      </c>
      <c r="J30" s="115">
        <f>I30+J27</f>
        <v>28.016666666666669</v>
      </c>
      <c r="K30" s="26">
        <f>(K28+K29)/2</f>
        <v>8.1666666666666679</v>
      </c>
      <c r="L30" s="27">
        <f>J30/144.5*100</f>
        <v>19.388696655132641</v>
      </c>
      <c r="M30" s="26">
        <f>M28+M29</f>
        <v>0</v>
      </c>
      <c r="N30" s="115">
        <f>M30+N27</f>
        <v>2.0333333333333332</v>
      </c>
      <c r="O30" s="26">
        <f>(O28+O29)/2</f>
        <v>0</v>
      </c>
      <c r="P30" s="27">
        <f>N30/144.5*100</f>
        <v>1.4071510957324107</v>
      </c>
      <c r="Q30" s="26">
        <f>Q28+Q29</f>
        <v>0.3833333333333333</v>
      </c>
      <c r="R30" s="115">
        <f>Q30+R27</f>
        <v>8.8833333333333329</v>
      </c>
      <c r="S30" s="26">
        <f>(S28+S29)/2</f>
        <v>0.83333333333333337</v>
      </c>
      <c r="T30" s="27">
        <f>R30/144.5*100</f>
        <v>6.1476355247981544</v>
      </c>
      <c r="U30" s="27">
        <f t="shared" si="2"/>
        <v>100</v>
      </c>
    </row>
    <row r="31" spans="1:21" s="7" customFormat="1" ht="20.100000000000001" customHeight="1">
      <c r="A31" s="269" t="s">
        <v>322</v>
      </c>
      <c r="B31" s="143" t="s">
        <v>26</v>
      </c>
      <c r="C31" s="426" t="s">
        <v>186</v>
      </c>
      <c r="D31" s="29">
        <f>10.5-I31-M31-Q31</f>
        <v>8.0833333333333339</v>
      </c>
      <c r="E31" s="114"/>
      <c r="F31" s="28">
        <f>D31/10*100</f>
        <v>80.833333333333329</v>
      </c>
      <c r="G31" s="30"/>
      <c r="H31" s="30"/>
      <c r="I31" s="28">
        <f>(95+20+15+15)/60</f>
        <v>2.4166666666666665</v>
      </c>
      <c r="J31" s="114"/>
      <c r="K31" s="29">
        <f>I31/10*100</f>
        <v>24.166666666666664</v>
      </c>
      <c r="L31" s="30"/>
      <c r="M31" s="29"/>
      <c r="N31" s="114"/>
      <c r="O31" s="29">
        <f>M31/10*100</f>
        <v>0</v>
      </c>
      <c r="P31" s="30"/>
      <c r="Q31" s="29"/>
      <c r="R31" s="114"/>
      <c r="S31" s="29">
        <f>Q31/10*100</f>
        <v>0</v>
      </c>
      <c r="T31" s="30"/>
      <c r="U31" s="27">
        <f t="shared" ref="U31:U36" si="3">T31+P31+L31+G31</f>
        <v>0</v>
      </c>
    </row>
    <row r="32" spans="1:21" s="7" customFormat="1" ht="20.100000000000001" customHeight="1">
      <c r="A32" s="154"/>
      <c r="B32" s="155" t="s">
        <v>23</v>
      </c>
      <c r="C32" s="426" t="s">
        <v>186</v>
      </c>
      <c r="D32" s="29">
        <f>10-I32-M32-Q32</f>
        <v>6.3666666666666663</v>
      </c>
      <c r="E32" s="114"/>
      <c r="F32" s="28">
        <f>D32/10*100</f>
        <v>63.666666666666657</v>
      </c>
      <c r="G32" s="30"/>
      <c r="H32" s="30"/>
      <c r="I32" s="28">
        <f>(10+21+20+12+7+16+11)/60</f>
        <v>1.6166666666666667</v>
      </c>
      <c r="J32" s="114"/>
      <c r="K32" s="29">
        <f>I32/10*100</f>
        <v>16.166666666666668</v>
      </c>
      <c r="L32" s="30"/>
      <c r="M32" s="29"/>
      <c r="N32" s="114"/>
      <c r="O32" s="29"/>
      <c r="P32" s="30"/>
      <c r="Q32" s="29">
        <f>(13+108)/60</f>
        <v>2.0166666666666666</v>
      </c>
      <c r="R32" s="114"/>
      <c r="S32" s="29"/>
      <c r="T32" s="30"/>
      <c r="U32" s="27">
        <f t="shared" si="3"/>
        <v>0</v>
      </c>
    </row>
    <row r="33" spans="1:21" s="7" customFormat="1" ht="20.100000000000001" customHeight="1">
      <c r="A33" s="156"/>
      <c r="B33" s="157"/>
      <c r="C33" s="158"/>
      <c r="D33" s="26">
        <f>D31+D32</f>
        <v>14.45</v>
      </c>
      <c r="E33" s="115">
        <f>D33+E30</f>
        <v>120.01666666666668</v>
      </c>
      <c r="F33" s="26">
        <f>(F31+F32)/2</f>
        <v>72.25</v>
      </c>
      <c r="G33" s="27">
        <f>E33/165*100</f>
        <v>72.737373737373744</v>
      </c>
      <c r="H33" s="27"/>
      <c r="I33" s="26">
        <f>I31+I32</f>
        <v>4.0333333333333332</v>
      </c>
      <c r="J33" s="115">
        <f>I33+J30</f>
        <v>32.050000000000004</v>
      </c>
      <c r="K33" s="26">
        <f>(K31+K32)/2</f>
        <v>20.166666666666664</v>
      </c>
      <c r="L33" s="27">
        <f>J33/165*100</f>
        <v>19.424242424242426</v>
      </c>
      <c r="M33" s="26">
        <f>M31+M32</f>
        <v>0</v>
      </c>
      <c r="N33" s="115">
        <f>M33+N30</f>
        <v>2.0333333333333332</v>
      </c>
      <c r="O33" s="26">
        <f>(O31+O32)/2</f>
        <v>0</v>
      </c>
      <c r="P33" s="27">
        <f>N33/165*100</f>
        <v>1.2323232323232323</v>
      </c>
      <c r="Q33" s="26">
        <f>Q31+Q32</f>
        <v>2.0166666666666666</v>
      </c>
      <c r="R33" s="115">
        <f>Q33+R30</f>
        <v>10.899999999999999</v>
      </c>
      <c r="S33" s="26">
        <f>(S31+S32)/2</f>
        <v>0</v>
      </c>
      <c r="T33" s="27">
        <f>R33/165*100</f>
        <v>6.6060606060606055</v>
      </c>
      <c r="U33" s="27">
        <f t="shared" si="3"/>
        <v>100</v>
      </c>
    </row>
    <row r="34" spans="1:21" s="7" customFormat="1" ht="20.100000000000001" customHeight="1">
      <c r="A34" s="269" t="s">
        <v>323</v>
      </c>
      <c r="B34" s="143" t="s">
        <v>170</v>
      </c>
      <c r="C34" s="426" t="s">
        <v>186</v>
      </c>
      <c r="D34" s="29">
        <f>10.5-I34-M34-Q34</f>
        <v>7.2</v>
      </c>
      <c r="E34" s="114"/>
      <c r="F34" s="28">
        <f>D34/10*100</f>
        <v>72</v>
      </c>
      <c r="G34" s="30"/>
      <c r="H34" s="30"/>
      <c r="I34" s="28">
        <f>(20+56+10+13+6+14+12+5+48+14)/60</f>
        <v>3.3</v>
      </c>
      <c r="J34" s="114"/>
      <c r="K34" s="29">
        <f>I34/10*100</f>
        <v>32.999999999999993</v>
      </c>
      <c r="L34" s="30"/>
      <c r="M34" s="29"/>
      <c r="N34" s="114"/>
      <c r="O34" s="29">
        <f>M34/10*100</f>
        <v>0</v>
      </c>
      <c r="P34" s="30"/>
      <c r="Q34" s="29"/>
      <c r="R34" s="114"/>
      <c r="S34" s="29">
        <f>Q34/10*100</f>
        <v>0</v>
      </c>
      <c r="T34" s="30"/>
      <c r="U34" s="27">
        <f t="shared" si="3"/>
        <v>0</v>
      </c>
    </row>
    <row r="35" spans="1:21" s="7" customFormat="1" ht="20.100000000000001" customHeight="1">
      <c r="A35" s="154"/>
      <c r="B35" s="155" t="s">
        <v>26</v>
      </c>
      <c r="C35" s="426" t="s">
        <v>186</v>
      </c>
      <c r="D35" s="29">
        <f>10-I35-M35-Q35</f>
        <v>4.9166666666666679</v>
      </c>
      <c r="E35" s="114"/>
      <c r="F35" s="28">
        <f>D35/10*100</f>
        <v>49.166666666666679</v>
      </c>
      <c r="G35" s="30"/>
      <c r="H35" s="30"/>
      <c r="I35" s="28">
        <f>(70+60)/60</f>
        <v>2.1666666666666665</v>
      </c>
      <c r="J35" s="114"/>
      <c r="K35" s="29">
        <f>I35/10*100</f>
        <v>21.666666666666664</v>
      </c>
      <c r="L35" s="30"/>
      <c r="M35" s="29">
        <f>(145+30)/60</f>
        <v>2.9166666666666665</v>
      </c>
      <c r="N35" s="114"/>
      <c r="O35" s="29"/>
      <c r="P35" s="30"/>
      <c r="Q35" s="29"/>
      <c r="R35" s="114"/>
      <c r="S35" s="29"/>
      <c r="T35" s="30"/>
      <c r="U35" s="27">
        <f t="shared" si="3"/>
        <v>0</v>
      </c>
    </row>
    <row r="36" spans="1:21" s="7" customFormat="1" ht="20.100000000000001" customHeight="1">
      <c r="A36" s="156"/>
      <c r="B36" s="157"/>
      <c r="C36" s="158"/>
      <c r="D36" s="26">
        <f>D34+D35</f>
        <v>12.116666666666667</v>
      </c>
      <c r="E36" s="115">
        <f>D36+E33</f>
        <v>132.13333333333335</v>
      </c>
      <c r="F36" s="26">
        <f>(F34+F35)/2</f>
        <v>60.583333333333343</v>
      </c>
      <c r="G36" s="27">
        <f>E36/185.5*100</f>
        <v>71.230907457322573</v>
      </c>
      <c r="H36" s="27"/>
      <c r="I36" s="26">
        <f>I34+I35</f>
        <v>5.4666666666666668</v>
      </c>
      <c r="J36" s="115">
        <f>I36+J33</f>
        <v>37.516666666666673</v>
      </c>
      <c r="K36" s="26">
        <f>(K34+K35)/2</f>
        <v>27.333333333333329</v>
      </c>
      <c r="L36" s="27">
        <f>J36/185.5*100</f>
        <v>20.224618149146455</v>
      </c>
      <c r="M36" s="26">
        <f>M34+M35</f>
        <v>2.9166666666666665</v>
      </c>
      <c r="N36" s="115">
        <f>M36+N33</f>
        <v>4.9499999999999993</v>
      </c>
      <c r="O36" s="26">
        <f>(O34+O35)/2</f>
        <v>0</v>
      </c>
      <c r="P36" s="27">
        <f>N36/185.5*100</f>
        <v>2.6684636118598379</v>
      </c>
      <c r="Q36" s="26">
        <f>Q34+Q35</f>
        <v>0</v>
      </c>
      <c r="R36" s="115">
        <f>Q36+R33</f>
        <v>10.899999999999999</v>
      </c>
      <c r="S36" s="26">
        <f>(S34+S35)/2</f>
        <v>0</v>
      </c>
      <c r="T36" s="27">
        <f>R36/185.5*100</f>
        <v>5.876010781671158</v>
      </c>
      <c r="U36" s="27">
        <f t="shared" si="3"/>
        <v>100.00000000000003</v>
      </c>
    </row>
    <row r="37" spans="1:21" s="7" customFormat="1" ht="20.100000000000001" customHeight="1">
      <c r="A37" s="269" t="s">
        <v>324</v>
      </c>
      <c r="B37" s="143" t="s">
        <v>170</v>
      </c>
      <c r="C37" s="426" t="s">
        <v>186</v>
      </c>
      <c r="D37" s="29">
        <f>10-I37-M37-Q37</f>
        <v>5.2166666666666668</v>
      </c>
      <c r="E37" s="114"/>
      <c r="F37" s="28">
        <f>D37/10*100</f>
        <v>52.166666666666671</v>
      </c>
      <c r="G37" s="30"/>
      <c r="H37" s="30"/>
      <c r="I37" s="28">
        <f>(170+48+9+7+8+10+10+25)/60</f>
        <v>4.7833333333333332</v>
      </c>
      <c r="J37" s="114"/>
      <c r="K37" s="29">
        <f>I37/10*100</f>
        <v>47.833333333333336</v>
      </c>
      <c r="L37" s="30"/>
      <c r="M37" s="29"/>
      <c r="N37" s="114"/>
      <c r="O37" s="29">
        <f>M37/10*100</f>
        <v>0</v>
      </c>
      <c r="P37" s="30"/>
      <c r="Q37" s="29"/>
      <c r="R37" s="114"/>
      <c r="S37" s="29">
        <f>Q37/10*100</f>
        <v>0</v>
      </c>
      <c r="T37" s="30"/>
      <c r="U37" s="27">
        <f t="shared" ref="U37:U48" si="4">T37+P37+L37+G37</f>
        <v>0</v>
      </c>
    </row>
    <row r="38" spans="1:21" s="7" customFormat="1" ht="20.100000000000001" customHeight="1">
      <c r="A38" s="154"/>
      <c r="B38" s="155" t="s">
        <v>26</v>
      </c>
      <c r="C38" s="426" t="s">
        <v>186</v>
      </c>
      <c r="D38" s="29">
        <f>10-I38-M38-Q38</f>
        <v>8.0833333333333339</v>
      </c>
      <c r="E38" s="114"/>
      <c r="F38" s="28">
        <f>D38/10*100</f>
        <v>80.833333333333329</v>
      </c>
      <c r="G38" s="30"/>
      <c r="H38" s="30"/>
      <c r="I38" s="28">
        <f>(25+35+20+15+20)/60</f>
        <v>1.9166666666666667</v>
      </c>
      <c r="J38" s="114"/>
      <c r="K38" s="29">
        <f>I38/10*100</f>
        <v>19.166666666666668</v>
      </c>
      <c r="L38" s="30"/>
      <c r="M38" s="29"/>
      <c r="N38" s="114"/>
      <c r="O38" s="29"/>
      <c r="P38" s="30"/>
      <c r="Q38" s="29"/>
      <c r="R38" s="114"/>
      <c r="S38" s="29"/>
      <c r="T38" s="30"/>
      <c r="U38" s="27">
        <f t="shared" si="4"/>
        <v>0</v>
      </c>
    </row>
    <row r="39" spans="1:21" s="7" customFormat="1" ht="20.100000000000001" customHeight="1">
      <c r="A39" s="156"/>
      <c r="B39" s="157"/>
      <c r="C39" s="158"/>
      <c r="D39" s="26">
        <f>D37+D38</f>
        <v>13.3</v>
      </c>
      <c r="E39" s="115">
        <f>D39+E36</f>
        <v>145.43333333333337</v>
      </c>
      <c r="F39" s="26">
        <f>(F37+F38)/2</f>
        <v>66.5</v>
      </c>
      <c r="G39" s="27">
        <f>E39/205.5*100</f>
        <v>70.770478507704809</v>
      </c>
      <c r="H39" s="27"/>
      <c r="I39" s="26">
        <f>I37+I38</f>
        <v>6.7</v>
      </c>
      <c r="J39" s="115">
        <f>I39+J36</f>
        <v>44.216666666666676</v>
      </c>
      <c r="K39" s="26">
        <f>(K37+K38)/2</f>
        <v>33.5</v>
      </c>
      <c r="L39" s="27">
        <f>J39/205.5*100</f>
        <v>21.516626115166265</v>
      </c>
      <c r="M39" s="26">
        <f>M37+M38</f>
        <v>0</v>
      </c>
      <c r="N39" s="115">
        <f>M39+N36</f>
        <v>4.9499999999999993</v>
      </c>
      <c r="O39" s="26">
        <f>(O37+O38)/2</f>
        <v>0</v>
      </c>
      <c r="P39" s="27">
        <f>N39/205.5*100</f>
        <v>2.4087591240875907</v>
      </c>
      <c r="Q39" s="26">
        <f>Q37+Q38</f>
        <v>0</v>
      </c>
      <c r="R39" s="115">
        <f>Q39+R36</f>
        <v>10.899999999999999</v>
      </c>
      <c r="S39" s="26">
        <f>(S37+S38)/2</f>
        <v>0</v>
      </c>
      <c r="T39" s="27">
        <f>R39/205.5*100</f>
        <v>5.3041362530413618</v>
      </c>
      <c r="U39" s="27">
        <f t="shared" si="4"/>
        <v>100.00000000000003</v>
      </c>
    </row>
    <row r="40" spans="1:21" s="7" customFormat="1" ht="20.100000000000001" customHeight="1">
      <c r="A40" s="269" t="s">
        <v>326</v>
      </c>
      <c r="B40" s="143" t="s">
        <v>23</v>
      </c>
      <c r="C40" s="426" t="s">
        <v>186</v>
      </c>
      <c r="D40" s="29">
        <f>10-I40-M40-Q40</f>
        <v>7.45</v>
      </c>
      <c r="E40" s="114"/>
      <c r="F40" s="28">
        <f>D40/10*100</f>
        <v>74.5</v>
      </c>
      <c r="G40" s="30"/>
      <c r="H40" s="30"/>
      <c r="I40" s="28">
        <f>(46+44+46+12+5)/60</f>
        <v>2.5499999999999998</v>
      </c>
      <c r="J40" s="114"/>
      <c r="K40" s="29">
        <f>I40/10*100</f>
        <v>25.5</v>
      </c>
      <c r="L40" s="30"/>
      <c r="M40" s="29"/>
      <c r="N40" s="114"/>
      <c r="O40" s="29">
        <f>M40/10*100</f>
        <v>0</v>
      </c>
      <c r="P40" s="30"/>
      <c r="Q40" s="29"/>
      <c r="R40" s="114"/>
      <c r="S40" s="29">
        <f>Q40/10*100</f>
        <v>0</v>
      </c>
      <c r="T40" s="30"/>
      <c r="U40" s="27">
        <f t="shared" si="4"/>
        <v>0</v>
      </c>
    </row>
    <row r="41" spans="1:21" s="7" customFormat="1" ht="20.100000000000001" customHeight="1">
      <c r="A41" s="154"/>
      <c r="B41" s="155" t="s">
        <v>170</v>
      </c>
      <c r="C41" s="426" t="s">
        <v>186</v>
      </c>
      <c r="D41" s="29">
        <f>10-I41-M41-Q41</f>
        <v>8.6</v>
      </c>
      <c r="E41" s="114"/>
      <c r="F41" s="28">
        <f>D41/10*100</f>
        <v>86</v>
      </c>
      <c r="G41" s="30"/>
      <c r="H41" s="30"/>
      <c r="I41" s="28">
        <f>(5+6+14+14+10+13+22)/60</f>
        <v>1.4</v>
      </c>
      <c r="J41" s="114"/>
      <c r="K41" s="29">
        <f>I41/10*100</f>
        <v>13.999999999999998</v>
      </c>
      <c r="L41" s="30"/>
      <c r="M41" s="29"/>
      <c r="N41" s="114"/>
      <c r="O41" s="29"/>
      <c r="P41" s="30"/>
      <c r="Q41" s="29"/>
      <c r="R41" s="114"/>
      <c r="S41" s="29"/>
      <c r="T41" s="30"/>
      <c r="U41" s="27">
        <f t="shared" si="4"/>
        <v>0</v>
      </c>
    </row>
    <row r="42" spans="1:21" s="7" customFormat="1" ht="20.100000000000001" customHeight="1">
      <c r="A42" s="156"/>
      <c r="B42" s="157"/>
      <c r="C42" s="158"/>
      <c r="D42" s="26">
        <f>D40+D41</f>
        <v>16.05</v>
      </c>
      <c r="E42" s="115">
        <f>D42+E39</f>
        <v>161.48333333333338</v>
      </c>
      <c r="F42" s="26">
        <f>(F40+F41)/2</f>
        <v>80.25</v>
      </c>
      <c r="G42" s="27">
        <f>E42/225.5*100</f>
        <v>71.611234294161136</v>
      </c>
      <c r="H42" s="27"/>
      <c r="I42" s="26">
        <f>I40+I41</f>
        <v>3.9499999999999997</v>
      </c>
      <c r="J42" s="115">
        <f>I42+J39</f>
        <v>48.166666666666679</v>
      </c>
      <c r="K42" s="26">
        <f>(K40+K41)/2</f>
        <v>19.75</v>
      </c>
      <c r="L42" s="27">
        <f>J42/225.5*100</f>
        <v>21.359940872136001</v>
      </c>
      <c r="M42" s="26">
        <f>M40+M41</f>
        <v>0</v>
      </c>
      <c r="N42" s="115">
        <f>M42+N39</f>
        <v>4.9499999999999993</v>
      </c>
      <c r="O42" s="26">
        <f>(O40+O41)/2</f>
        <v>0</v>
      </c>
      <c r="P42" s="27">
        <f>N42/225.5*100</f>
        <v>2.1951219512195119</v>
      </c>
      <c r="Q42" s="26">
        <f>Q40+Q41</f>
        <v>0</v>
      </c>
      <c r="R42" s="115">
        <f>Q42+R39</f>
        <v>10.899999999999999</v>
      </c>
      <c r="S42" s="26">
        <f>(S40+S41)/2</f>
        <v>0</v>
      </c>
      <c r="T42" s="27">
        <f>R42/225.5*100</f>
        <v>4.8337028824833697</v>
      </c>
      <c r="U42" s="27">
        <f t="shared" si="4"/>
        <v>100.00000000000001</v>
      </c>
    </row>
    <row r="43" spans="1:21" s="7" customFormat="1" ht="20.100000000000001" customHeight="1">
      <c r="A43" s="269" t="s">
        <v>327</v>
      </c>
      <c r="B43" s="143" t="s">
        <v>23</v>
      </c>
      <c r="C43" s="426" t="s">
        <v>186</v>
      </c>
      <c r="D43" s="29">
        <f>11-I43-M43-Q43</f>
        <v>6.533333333333335</v>
      </c>
      <c r="E43" s="114"/>
      <c r="F43" s="28">
        <f>D43/10*100</f>
        <v>65.333333333333357</v>
      </c>
      <c r="G43" s="30"/>
      <c r="H43" s="30"/>
      <c r="I43" s="28">
        <f>(18+70+3)/60</f>
        <v>1.5166666666666666</v>
      </c>
      <c r="J43" s="114"/>
      <c r="K43" s="29">
        <f>I43/10*100</f>
        <v>15.166666666666668</v>
      </c>
      <c r="L43" s="30"/>
      <c r="M43" s="29">
        <f>17/60</f>
        <v>0.28333333333333333</v>
      </c>
      <c r="N43" s="114"/>
      <c r="O43" s="29">
        <f>M43/10*100</f>
        <v>2.833333333333333</v>
      </c>
      <c r="P43" s="30"/>
      <c r="Q43" s="29">
        <f>160/60</f>
        <v>2.6666666666666665</v>
      </c>
      <c r="R43" s="114"/>
      <c r="S43" s="29">
        <f>Q43/10*100</f>
        <v>26.666666666666668</v>
      </c>
      <c r="T43" s="30"/>
      <c r="U43" s="27">
        <f t="shared" si="4"/>
        <v>0</v>
      </c>
    </row>
    <row r="44" spans="1:21" s="7" customFormat="1" ht="20.100000000000001" customHeight="1">
      <c r="A44" s="154"/>
      <c r="B44" s="155" t="s">
        <v>170</v>
      </c>
      <c r="C44" s="426" t="s">
        <v>186</v>
      </c>
      <c r="D44" s="29">
        <f>10.5-I44-M44-Q44</f>
        <v>8.8833333333333329</v>
      </c>
      <c r="E44" s="114"/>
      <c r="F44" s="28">
        <f>D44/10*100</f>
        <v>88.833333333333329</v>
      </c>
      <c r="G44" s="30"/>
      <c r="H44" s="30"/>
      <c r="I44" s="28">
        <f>(49+10+10+9+13+6)/60</f>
        <v>1.6166666666666667</v>
      </c>
      <c r="J44" s="114"/>
      <c r="K44" s="29">
        <f>I44/10*100</f>
        <v>16.166666666666668</v>
      </c>
      <c r="L44" s="30"/>
      <c r="M44" s="29"/>
      <c r="N44" s="114"/>
      <c r="O44" s="29"/>
      <c r="P44" s="30"/>
      <c r="Q44" s="29"/>
      <c r="R44" s="114"/>
      <c r="S44" s="29"/>
      <c r="T44" s="30"/>
      <c r="U44" s="27">
        <f t="shared" si="4"/>
        <v>0</v>
      </c>
    </row>
    <row r="45" spans="1:21" s="7" customFormat="1" ht="20.100000000000001" customHeight="1">
      <c r="A45" s="156"/>
      <c r="B45" s="157"/>
      <c r="C45" s="158"/>
      <c r="D45" s="26">
        <f>D43+D44</f>
        <v>15.416666666666668</v>
      </c>
      <c r="E45" s="115">
        <f>D45+E42</f>
        <v>176.90000000000003</v>
      </c>
      <c r="F45" s="26">
        <f>(F43+F44)/2</f>
        <v>77.083333333333343</v>
      </c>
      <c r="G45" s="27">
        <f>E45/247*100</f>
        <v>71.619433198380577</v>
      </c>
      <c r="H45" s="27"/>
      <c r="I45" s="26">
        <f>I43+I44</f>
        <v>3.1333333333333333</v>
      </c>
      <c r="J45" s="115">
        <f>I45+J42</f>
        <v>51.300000000000011</v>
      </c>
      <c r="K45" s="26">
        <f>(K43+K44)/2</f>
        <v>15.666666666666668</v>
      </c>
      <c r="L45" s="27">
        <f>J45/247*100</f>
        <v>20.769230769230774</v>
      </c>
      <c r="M45" s="26">
        <f>M43+M44</f>
        <v>0.28333333333333333</v>
      </c>
      <c r="N45" s="115">
        <f>M45+N42</f>
        <v>5.2333333333333325</v>
      </c>
      <c r="O45" s="26">
        <f>(O43+O44)/2</f>
        <v>1.4166666666666665</v>
      </c>
      <c r="P45" s="27">
        <f>N45/247*100</f>
        <v>2.118758434547908</v>
      </c>
      <c r="Q45" s="26">
        <f>Q43+Q44</f>
        <v>2.6666666666666665</v>
      </c>
      <c r="R45" s="115">
        <f>Q45+R42</f>
        <v>13.566666666666665</v>
      </c>
      <c r="S45" s="26">
        <f>(S43+S44)/2</f>
        <v>13.333333333333334</v>
      </c>
      <c r="T45" s="27">
        <f>R45/247*100</f>
        <v>5.4925775978407554</v>
      </c>
      <c r="U45" s="27">
        <f t="shared" si="4"/>
        <v>100.00000000000001</v>
      </c>
    </row>
    <row r="46" spans="1:21" s="7" customFormat="1" ht="20.100000000000001" customHeight="1">
      <c r="A46" s="269" t="s">
        <v>328</v>
      </c>
      <c r="B46" s="143" t="s">
        <v>26</v>
      </c>
      <c r="C46" s="426" t="s">
        <v>186</v>
      </c>
      <c r="D46" s="29">
        <f>10-I46-M46-Q46</f>
        <v>8.8333333333333339</v>
      </c>
      <c r="E46" s="114"/>
      <c r="F46" s="28">
        <f>D46/10*100</f>
        <v>88.333333333333343</v>
      </c>
      <c r="G46" s="30"/>
      <c r="H46" s="30"/>
      <c r="I46" s="28">
        <f>(25+10+20+15)/60</f>
        <v>1.1666666666666667</v>
      </c>
      <c r="J46" s="114"/>
      <c r="K46" s="29">
        <f>I46/10*100</f>
        <v>11.666666666666666</v>
      </c>
      <c r="L46" s="30"/>
      <c r="M46" s="29"/>
      <c r="N46" s="114"/>
      <c r="O46" s="29">
        <f>M46/10*100</f>
        <v>0</v>
      </c>
      <c r="P46" s="30"/>
      <c r="Q46" s="29"/>
      <c r="R46" s="114"/>
      <c r="S46" s="29">
        <f>Q46/10*100</f>
        <v>0</v>
      </c>
      <c r="T46" s="30"/>
      <c r="U46" s="27">
        <f t="shared" si="4"/>
        <v>0</v>
      </c>
    </row>
    <row r="47" spans="1:21" s="7" customFormat="1" ht="20.100000000000001" customHeight="1">
      <c r="A47" s="154"/>
      <c r="B47" s="155" t="s">
        <v>23</v>
      </c>
      <c r="C47" s="426" t="s">
        <v>246</v>
      </c>
      <c r="D47" s="29">
        <f>10-I47-M47-Q47</f>
        <v>2.0499999999999994</v>
      </c>
      <c r="E47" s="114"/>
      <c r="F47" s="28">
        <f>D47/10*100</f>
        <v>20.499999999999993</v>
      </c>
      <c r="G47" s="30"/>
      <c r="H47" s="30"/>
      <c r="I47" s="28">
        <f>(6+68+59+37+16+28+64)/60</f>
        <v>4.6333333333333337</v>
      </c>
      <c r="J47" s="114"/>
      <c r="K47" s="29">
        <f>I47/10*100</f>
        <v>46.333333333333336</v>
      </c>
      <c r="L47" s="30"/>
      <c r="M47" s="29"/>
      <c r="N47" s="114"/>
      <c r="O47" s="29"/>
      <c r="P47" s="30"/>
      <c r="Q47" s="29">
        <f>(13+17+65+2+12+60+30)/60</f>
        <v>3.3166666666666669</v>
      </c>
      <c r="R47" s="114"/>
      <c r="S47" s="29"/>
      <c r="T47" s="30"/>
      <c r="U47" s="27">
        <f t="shared" si="4"/>
        <v>0</v>
      </c>
    </row>
    <row r="48" spans="1:21" s="7" customFormat="1" ht="20.100000000000001" customHeight="1">
      <c r="A48" s="156"/>
      <c r="B48" s="157"/>
      <c r="C48" s="158"/>
      <c r="D48" s="26">
        <f>D46+D47</f>
        <v>10.883333333333333</v>
      </c>
      <c r="E48" s="115">
        <f>D48+E45</f>
        <v>187.78333333333336</v>
      </c>
      <c r="F48" s="26">
        <f>(F46+F47)/2</f>
        <v>54.416666666666671</v>
      </c>
      <c r="G48" s="27">
        <f>E48/267*100</f>
        <v>70.33083645443196</v>
      </c>
      <c r="H48" s="27"/>
      <c r="I48" s="26">
        <f>I46+I47</f>
        <v>5.8000000000000007</v>
      </c>
      <c r="J48" s="115">
        <f>I48+J45</f>
        <v>57.100000000000009</v>
      </c>
      <c r="K48" s="26">
        <f>(K46+K47)/2</f>
        <v>29</v>
      </c>
      <c r="L48" s="27">
        <f>J48/267*100</f>
        <v>21.385767790262175</v>
      </c>
      <c r="M48" s="26">
        <f>M46+M47</f>
        <v>0</v>
      </c>
      <c r="N48" s="115">
        <f>M48+N45</f>
        <v>5.2333333333333325</v>
      </c>
      <c r="O48" s="26">
        <f>(O46+O47)/2</f>
        <v>0</v>
      </c>
      <c r="P48" s="27">
        <f>N48/267*100</f>
        <v>1.9600499375780271</v>
      </c>
      <c r="Q48" s="26">
        <f>Q46+Q47</f>
        <v>3.3166666666666669</v>
      </c>
      <c r="R48" s="115">
        <f>Q48+R45</f>
        <v>16.883333333333333</v>
      </c>
      <c r="S48" s="26">
        <f>(S46+S47)/2</f>
        <v>0</v>
      </c>
      <c r="T48" s="27">
        <f>R48/267*100</f>
        <v>6.3233458177278408</v>
      </c>
      <c r="U48" s="27">
        <f t="shared" si="4"/>
        <v>100</v>
      </c>
    </row>
    <row r="49" spans="1:21" s="7" customFormat="1" ht="20.100000000000001" customHeight="1">
      <c r="A49" s="269" t="s">
        <v>335</v>
      </c>
      <c r="B49" s="143" t="s">
        <v>26</v>
      </c>
      <c r="C49" s="426" t="s">
        <v>186</v>
      </c>
      <c r="D49" s="29">
        <f>10-I49-M49-Q49</f>
        <v>0.33333333333333393</v>
      </c>
      <c r="E49" s="114"/>
      <c r="F49" s="28">
        <f>D49/10*100</f>
        <v>3.3333333333333397</v>
      </c>
      <c r="G49" s="30"/>
      <c r="H49" s="30"/>
      <c r="I49" s="28"/>
      <c r="J49" s="114"/>
      <c r="K49" s="29">
        <f>I49/10*100</f>
        <v>0</v>
      </c>
      <c r="L49" s="30"/>
      <c r="M49" s="29"/>
      <c r="N49" s="114"/>
      <c r="O49" s="29">
        <f>M49/10*100</f>
        <v>0</v>
      </c>
      <c r="P49" s="30"/>
      <c r="Q49" s="29">
        <f>580/60</f>
        <v>9.6666666666666661</v>
      </c>
      <c r="R49" s="114"/>
      <c r="S49" s="29">
        <f>Q49/10*100</f>
        <v>96.666666666666657</v>
      </c>
      <c r="T49" s="30"/>
      <c r="U49" s="27">
        <f t="shared" ref="U49:U54" si="5">T49+P49+L49+G49</f>
        <v>0</v>
      </c>
    </row>
    <row r="50" spans="1:21" s="7" customFormat="1" ht="20.100000000000001" customHeight="1">
      <c r="A50" s="154"/>
      <c r="B50" s="155" t="s">
        <v>23</v>
      </c>
      <c r="C50" s="433" t="s">
        <v>97</v>
      </c>
      <c r="D50" s="29">
        <f>10-I50-M50-Q50</f>
        <v>7.1666666666666679</v>
      </c>
      <c r="E50" s="114"/>
      <c r="F50" s="28">
        <f>D50/10*100</f>
        <v>71.666666666666686</v>
      </c>
      <c r="G50" s="30"/>
      <c r="H50" s="30"/>
      <c r="I50" s="28">
        <f>(35+3+15+23)/60</f>
        <v>1.2666666666666666</v>
      </c>
      <c r="J50" s="114"/>
      <c r="K50" s="29">
        <f>I50/10*100</f>
        <v>12.666666666666664</v>
      </c>
      <c r="L50" s="30"/>
      <c r="M50" s="29"/>
      <c r="N50" s="114"/>
      <c r="O50" s="29"/>
      <c r="P50" s="30"/>
      <c r="Q50" s="29">
        <f>(14+24+15+20+21)/60</f>
        <v>1.5666666666666667</v>
      </c>
      <c r="R50" s="114"/>
      <c r="S50" s="29"/>
      <c r="T50" s="30"/>
      <c r="U50" s="27">
        <f t="shared" si="5"/>
        <v>0</v>
      </c>
    </row>
    <row r="51" spans="1:21" s="7" customFormat="1" ht="20.100000000000001" customHeight="1">
      <c r="A51" s="156"/>
      <c r="B51" s="157"/>
      <c r="C51" s="158"/>
      <c r="D51" s="26">
        <f>D49+D50</f>
        <v>7.5000000000000018</v>
      </c>
      <c r="E51" s="115">
        <f>D51+E48</f>
        <v>195.28333333333336</v>
      </c>
      <c r="F51" s="26">
        <f>(F49+F50)/2</f>
        <v>37.500000000000014</v>
      </c>
      <c r="G51" s="27">
        <f>E51/287*100</f>
        <v>68.042973286875736</v>
      </c>
      <c r="H51" s="27"/>
      <c r="I51" s="26">
        <f>I49+I50</f>
        <v>1.2666666666666666</v>
      </c>
      <c r="J51" s="115">
        <f>I51+J48</f>
        <v>58.366666666666674</v>
      </c>
      <c r="K51" s="26">
        <f>(K49+K50)/2</f>
        <v>6.3333333333333321</v>
      </c>
      <c r="L51" s="27">
        <f>J51/287*100</f>
        <v>20.336817653890826</v>
      </c>
      <c r="M51" s="26">
        <f>M49+M50</f>
        <v>0</v>
      </c>
      <c r="N51" s="115">
        <f>M51+N48</f>
        <v>5.2333333333333325</v>
      </c>
      <c r="O51" s="26">
        <f>(O49+O50)/2</f>
        <v>0</v>
      </c>
      <c r="P51" s="27">
        <f>N51/287*100</f>
        <v>1.8234610917537746</v>
      </c>
      <c r="Q51" s="26">
        <f>Q49+Q50</f>
        <v>11.233333333333333</v>
      </c>
      <c r="R51" s="115">
        <f>Q51+R48</f>
        <v>28.116666666666667</v>
      </c>
      <c r="S51" s="26">
        <f>(S49+S50)/2</f>
        <v>48.333333333333329</v>
      </c>
      <c r="T51" s="27">
        <f>R51/287*100</f>
        <v>9.7967479674796749</v>
      </c>
      <c r="U51" s="27">
        <f t="shared" si="5"/>
        <v>100.00000000000001</v>
      </c>
    </row>
    <row r="52" spans="1:21" s="7" customFormat="1" ht="20.100000000000001" customHeight="1">
      <c r="A52" s="269" t="s">
        <v>336</v>
      </c>
      <c r="B52" s="143" t="s">
        <v>170</v>
      </c>
      <c r="C52" s="433" t="s">
        <v>97</v>
      </c>
      <c r="D52" s="29">
        <f>10-I52-M52-Q52</f>
        <v>1.7166666666666677</v>
      </c>
      <c r="E52" s="114"/>
      <c r="F52" s="28">
        <f>D52/10*100</f>
        <v>17.166666666666679</v>
      </c>
      <c r="G52" s="30"/>
      <c r="H52" s="30"/>
      <c r="I52" s="28">
        <f>25/60</f>
        <v>0.41666666666666669</v>
      </c>
      <c r="J52" s="114"/>
      <c r="K52" s="29">
        <f>I52/10*100</f>
        <v>4.166666666666667</v>
      </c>
      <c r="L52" s="30"/>
      <c r="M52" s="29"/>
      <c r="N52" s="114"/>
      <c r="O52" s="29">
        <f>M52/10*100</f>
        <v>0</v>
      </c>
      <c r="P52" s="30"/>
      <c r="Q52" s="29">
        <f>(11+28+52+450-5-27-10-27)/60</f>
        <v>7.8666666666666663</v>
      </c>
      <c r="R52" s="114"/>
      <c r="S52" s="29">
        <f>Q52/10*100</f>
        <v>78.666666666666657</v>
      </c>
      <c r="T52" s="30"/>
      <c r="U52" s="27">
        <f t="shared" si="5"/>
        <v>0</v>
      </c>
    </row>
    <row r="53" spans="1:21" s="7" customFormat="1" ht="20.100000000000001" customHeight="1">
      <c r="A53" s="154"/>
      <c r="B53" s="155" t="s">
        <v>26</v>
      </c>
      <c r="C53" s="433" t="s">
        <v>97</v>
      </c>
      <c r="D53" s="29">
        <f>10-I53-M53-Q53</f>
        <v>8.1666666666666661</v>
      </c>
      <c r="E53" s="114"/>
      <c r="F53" s="28">
        <f>D53/10*100</f>
        <v>81.666666666666671</v>
      </c>
      <c r="G53" s="30"/>
      <c r="H53" s="30"/>
      <c r="I53" s="28">
        <f>(35+25)/60</f>
        <v>1</v>
      </c>
      <c r="J53" s="114"/>
      <c r="K53" s="29">
        <f>I53/10*100</f>
        <v>10</v>
      </c>
      <c r="L53" s="30"/>
      <c r="M53" s="29"/>
      <c r="N53" s="114"/>
      <c r="O53" s="29"/>
      <c r="P53" s="30"/>
      <c r="Q53" s="29">
        <f>50/60</f>
        <v>0.83333333333333337</v>
      </c>
      <c r="R53" s="114"/>
      <c r="S53" s="29"/>
      <c r="T53" s="30"/>
      <c r="U53" s="27">
        <f t="shared" si="5"/>
        <v>0</v>
      </c>
    </row>
    <row r="54" spans="1:21" s="7" customFormat="1" ht="20.100000000000001" customHeight="1">
      <c r="A54" s="156"/>
      <c r="B54" s="157"/>
      <c r="C54" s="158"/>
      <c r="D54" s="26">
        <f>D52+D53</f>
        <v>9.8833333333333329</v>
      </c>
      <c r="E54" s="115">
        <f>D54+E51</f>
        <v>205.16666666666669</v>
      </c>
      <c r="F54" s="26">
        <f>(F52+F53)/2</f>
        <v>49.416666666666671</v>
      </c>
      <c r="G54" s="27">
        <f>E54/307*100</f>
        <v>66.829533116178069</v>
      </c>
      <c r="H54" s="27"/>
      <c r="I54" s="26">
        <f>I52+I53</f>
        <v>1.4166666666666667</v>
      </c>
      <c r="J54" s="115">
        <f>I54+J51</f>
        <v>59.783333333333339</v>
      </c>
      <c r="K54" s="26">
        <f>(K52+K53)/2</f>
        <v>7.0833333333333339</v>
      </c>
      <c r="L54" s="27">
        <f>J54/307*100</f>
        <v>19.47339847991314</v>
      </c>
      <c r="M54" s="26">
        <f>M52+M53</f>
        <v>0</v>
      </c>
      <c r="N54" s="115">
        <f>M54+N51</f>
        <v>5.2333333333333325</v>
      </c>
      <c r="O54" s="26">
        <f>(O52+O53)/2</f>
        <v>0</v>
      </c>
      <c r="P54" s="27">
        <f>N54/307*100</f>
        <v>1.7046688382193265</v>
      </c>
      <c r="Q54" s="26">
        <f>Q52+Q53</f>
        <v>8.6999999999999993</v>
      </c>
      <c r="R54" s="115">
        <f>Q54+R51</f>
        <v>36.816666666666663</v>
      </c>
      <c r="S54" s="26">
        <f>(S52+S53)/2</f>
        <v>39.333333333333329</v>
      </c>
      <c r="T54" s="27">
        <f>R54/307*100</f>
        <v>11.992399565689468</v>
      </c>
      <c r="U54" s="27">
        <f t="shared" si="5"/>
        <v>100</v>
      </c>
    </row>
    <row r="55" spans="1:21" s="7" customFormat="1" ht="20.100000000000001" customHeight="1">
      <c r="A55" s="269" t="s">
        <v>337</v>
      </c>
      <c r="B55" s="143" t="s">
        <v>170</v>
      </c>
      <c r="C55" s="433" t="s">
        <v>97</v>
      </c>
      <c r="D55" s="29">
        <f>10-I55-M55-Q55</f>
        <v>7.8833333333333337</v>
      </c>
      <c r="E55" s="114"/>
      <c r="F55" s="28">
        <f>D55/10*100</f>
        <v>78.833333333333329</v>
      </c>
      <c r="G55" s="30"/>
      <c r="H55" s="30"/>
      <c r="I55" s="28"/>
      <c r="J55" s="114"/>
      <c r="K55" s="29">
        <f>I55/10*100</f>
        <v>0</v>
      </c>
      <c r="L55" s="30"/>
      <c r="M55" s="29">
        <f>(38+15)/60</f>
        <v>0.8833333333333333</v>
      </c>
      <c r="N55" s="114"/>
      <c r="O55" s="29">
        <f>M55/10*100</f>
        <v>8.8333333333333339</v>
      </c>
      <c r="P55" s="30"/>
      <c r="Q55" s="29">
        <f>(24+20+30)/60</f>
        <v>1.2333333333333334</v>
      </c>
      <c r="R55" s="114"/>
      <c r="S55" s="29">
        <f>Q55/10*100</f>
        <v>12.333333333333334</v>
      </c>
      <c r="T55" s="30"/>
      <c r="U55" s="27">
        <f t="shared" ref="U55:U60" si="6">T55+P55+L55+G55</f>
        <v>0</v>
      </c>
    </row>
    <row r="56" spans="1:21" s="7" customFormat="1" ht="20.100000000000001" customHeight="1">
      <c r="A56" s="154"/>
      <c r="B56" s="155" t="s">
        <v>26</v>
      </c>
      <c r="C56" s="433" t="s">
        <v>215</v>
      </c>
      <c r="D56" s="29">
        <f>10-I56-M56-Q56</f>
        <v>6.9166666666666661</v>
      </c>
      <c r="E56" s="114"/>
      <c r="F56" s="28">
        <f>D56/10*100</f>
        <v>69.166666666666671</v>
      </c>
      <c r="G56" s="30"/>
      <c r="H56" s="30"/>
      <c r="I56" s="28"/>
      <c r="J56" s="114"/>
      <c r="K56" s="29">
        <f>I56/10*100</f>
        <v>0</v>
      </c>
      <c r="L56" s="30"/>
      <c r="M56" s="29"/>
      <c r="N56" s="114"/>
      <c r="O56" s="29"/>
      <c r="P56" s="30"/>
      <c r="Q56" s="29">
        <f>(100+25+30+15+15)/60</f>
        <v>3.0833333333333335</v>
      </c>
      <c r="R56" s="114"/>
      <c r="S56" s="29"/>
      <c r="T56" s="30"/>
      <c r="U56" s="27">
        <f t="shared" si="6"/>
        <v>0</v>
      </c>
    </row>
    <row r="57" spans="1:21" s="7" customFormat="1" ht="20.100000000000001" customHeight="1">
      <c r="A57" s="156"/>
      <c r="B57" s="157"/>
      <c r="C57" s="158"/>
      <c r="D57" s="26">
        <f>D55+D56</f>
        <v>14.8</v>
      </c>
      <c r="E57" s="115">
        <f>D57+E54</f>
        <v>219.9666666666667</v>
      </c>
      <c r="F57" s="26">
        <f>(F55+F56)/2</f>
        <v>74</v>
      </c>
      <c r="G57" s="27">
        <f>E57/327*100</f>
        <v>67.268093781855256</v>
      </c>
      <c r="H57" s="27"/>
      <c r="I57" s="26">
        <f>I55+I56</f>
        <v>0</v>
      </c>
      <c r="J57" s="115">
        <f>I57+J54</f>
        <v>59.783333333333339</v>
      </c>
      <c r="K57" s="26">
        <f>(K55+K56)/2</f>
        <v>0</v>
      </c>
      <c r="L57" s="27">
        <f>J57/327*100</f>
        <v>18.282364933741082</v>
      </c>
      <c r="M57" s="26">
        <f>M55+M56</f>
        <v>0.8833333333333333</v>
      </c>
      <c r="N57" s="115">
        <f>M57+N54</f>
        <v>6.1166666666666654</v>
      </c>
      <c r="O57" s="26">
        <f>(O55+O56)/2</f>
        <v>4.416666666666667</v>
      </c>
      <c r="P57" s="27">
        <f>N57/327*100</f>
        <v>1.8705402650356775</v>
      </c>
      <c r="Q57" s="26">
        <f>Q55+Q56</f>
        <v>4.3166666666666664</v>
      </c>
      <c r="R57" s="115">
        <f>Q57+R54</f>
        <v>41.133333333333326</v>
      </c>
      <c r="S57" s="26">
        <f>(S55+S56)/2</f>
        <v>6.166666666666667</v>
      </c>
      <c r="T57" s="27">
        <f>R57/327*100</f>
        <v>12.579001019367988</v>
      </c>
      <c r="U57" s="27">
        <f t="shared" si="6"/>
        <v>100</v>
      </c>
    </row>
    <row r="58" spans="1:21" s="7" customFormat="1" ht="20.100000000000001" customHeight="1">
      <c r="A58" s="269" t="s">
        <v>338</v>
      </c>
      <c r="B58" s="143" t="s">
        <v>23</v>
      </c>
      <c r="C58" s="433" t="s">
        <v>215</v>
      </c>
      <c r="D58" s="29">
        <f>10-I58-M58-Q58</f>
        <v>9.2166666666666668</v>
      </c>
      <c r="E58" s="114"/>
      <c r="F58" s="28">
        <f>D58/10*100</f>
        <v>92.166666666666657</v>
      </c>
      <c r="G58" s="30"/>
      <c r="H58" s="30"/>
      <c r="I58" s="28">
        <f>(7+3+4+10)/60</f>
        <v>0.4</v>
      </c>
      <c r="J58" s="114"/>
      <c r="K58" s="29">
        <f>I58/10*100</f>
        <v>4</v>
      </c>
      <c r="L58" s="30"/>
      <c r="M58" s="29"/>
      <c r="N58" s="114"/>
      <c r="O58" s="29">
        <f>M58/10*100</f>
        <v>0</v>
      </c>
      <c r="P58" s="30"/>
      <c r="Q58" s="29">
        <f>(5+18)/60</f>
        <v>0.38333333333333336</v>
      </c>
      <c r="R58" s="114"/>
      <c r="S58" s="29">
        <f>Q58/10*100</f>
        <v>3.8333333333333339</v>
      </c>
      <c r="T58" s="30"/>
      <c r="U58" s="27">
        <f t="shared" si="6"/>
        <v>0</v>
      </c>
    </row>
    <row r="59" spans="1:21" s="7" customFormat="1" ht="20.100000000000001" customHeight="1">
      <c r="A59" s="154"/>
      <c r="B59" s="155" t="s">
        <v>170</v>
      </c>
      <c r="C59" s="433" t="s">
        <v>215</v>
      </c>
      <c r="D59" s="29">
        <f>10-I59-M59-Q59</f>
        <v>7.4</v>
      </c>
      <c r="E59" s="114"/>
      <c r="F59" s="28">
        <f>D59/10*100</f>
        <v>74</v>
      </c>
      <c r="G59" s="30"/>
      <c r="H59" s="30"/>
      <c r="I59" s="28">
        <f>(12+26)/60</f>
        <v>0.6333333333333333</v>
      </c>
      <c r="J59" s="114"/>
      <c r="K59" s="29">
        <f>I59/10*100</f>
        <v>6.3333333333333321</v>
      </c>
      <c r="L59" s="30"/>
      <c r="M59" s="29"/>
      <c r="N59" s="114"/>
      <c r="O59" s="29"/>
      <c r="P59" s="30"/>
      <c r="Q59" s="29">
        <f>(5+39+74)/60</f>
        <v>1.9666666666666666</v>
      </c>
      <c r="R59" s="114"/>
      <c r="S59" s="29"/>
      <c r="T59" s="30"/>
      <c r="U59" s="27">
        <f t="shared" si="6"/>
        <v>0</v>
      </c>
    </row>
    <row r="60" spans="1:21" s="7" customFormat="1" ht="20.100000000000001" customHeight="1">
      <c r="A60" s="156"/>
      <c r="B60" s="157"/>
      <c r="C60" s="158"/>
      <c r="D60" s="26">
        <f>D58+D59</f>
        <v>16.616666666666667</v>
      </c>
      <c r="E60" s="115">
        <f>D60+E57</f>
        <v>236.58333333333337</v>
      </c>
      <c r="F60" s="26">
        <f>(F58+F59)/2</f>
        <v>83.083333333333329</v>
      </c>
      <c r="G60" s="27">
        <f>E60/347*100</f>
        <v>68.179634966378487</v>
      </c>
      <c r="H60" s="27"/>
      <c r="I60" s="26">
        <f>I58+I59</f>
        <v>1.0333333333333332</v>
      </c>
      <c r="J60" s="115">
        <f>I60+J57</f>
        <v>60.81666666666667</v>
      </c>
      <c r="K60" s="26">
        <f>(K58+K59)/2</f>
        <v>5.1666666666666661</v>
      </c>
      <c r="L60" s="27">
        <f>J60/347*100</f>
        <v>17.526416906820366</v>
      </c>
      <c r="M60" s="26">
        <f>M58+M59</f>
        <v>0</v>
      </c>
      <c r="N60" s="115">
        <f>M60+N57</f>
        <v>6.1166666666666654</v>
      </c>
      <c r="O60" s="26">
        <f>(O58+O59)/2</f>
        <v>0</v>
      </c>
      <c r="P60" s="27">
        <f>N60/347*100</f>
        <v>1.7627281460134481</v>
      </c>
      <c r="Q60" s="26">
        <f>Q58+Q59</f>
        <v>2.35</v>
      </c>
      <c r="R60" s="115">
        <f>Q60+R57</f>
        <v>43.483333333333327</v>
      </c>
      <c r="S60" s="26">
        <f>(S58+S59)/2</f>
        <v>1.916666666666667</v>
      </c>
      <c r="T60" s="27">
        <f>R60/347*100</f>
        <v>12.531219980787704</v>
      </c>
      <c r="U60" s="27">
        <f t="shared" si="6"/>
        <v>100</v>
      </c>
    </row>
    <row r="61" spans="1:21" s="7" customFormat="1" ht="20.100000000000001" customHeight="1">
      <c r="A61" s="269" t="s">
        <v>339</v>
      </c>
      <c r="B61" s="143" t="s">
        <v>23</v>
      </c>
      <c r="C61" s="433" t="s">
        <v>215</v>
      </c>
      <c r="D61" s="29">
        <f>10-I61-M61-Q61</f>
        <v>8.1666666666666661</v>
      </c>
      <c r="E61" s="114"/>
      <c r="F61" s="28">
        <f>D61/10*100</f>
        <v>81.666666666666671</v>
      </c>
      <c r="G61" s="30"/>
      <c r="H61" s="30"/>
      <c r="I61" s="28">
        <f>(14+4+5+7+7+32+4+30+7)/60</f>
        <v>1.8333333333333333</v>
      </c>
      <c r="J61" s="114"/>
      <c r="K61" s="29">
        <f>I61/10*100</f>
        <v>18.333333333333332</v>
      </c>
      <c r="L61" s="30"/>
      <c r="M61" s="29"/>
      <c r="N61" s="114"/>
      <c r="O61" s="29">
        <f>M61/10*100</f>
        <v>0</v>
      </c>
      <c r="P61" s="30"/>
      <c r="Q61" s="29"/>
      <c r="R61" s="114"/>
      <c r="S61" s="29">
        <f>Q61/10*100</f>
        <v>0</v>
      </c>
      <c r="T61" s="30"/>
      <c r="U61" s="27">
        <f t="shared" ref="U61:U68" si="7">T61+P61+L61+G61</f>
        <v>0</v>
      </c>
    </row>
    <row r="62" spans="1:21" s="7" customFormat="1" ht="20.100000000000001" customHeight="1">
      <c r="A62" s="154"/>
      <c r="B62" s="155" t="s">
        <v>170</v>
      </c>
      <c r="C62" s="433" t="s">
        <v>216</v>
      </c>
      <c r="D62" s="29">
        <f>10-I62-M62-Q62</f>
        <v>5.6833333333333345</v>
      </c>
      <c r="E62" s="114"/>
      <c r="F62" s="28">
        <f>D62/10*100</f>
        <v>56.83333333333335</v>
      </c>
      <c r="G62" s="30"/>
      <c r="H62" s="30"/>
      <c r="I62" s="28">
        <f>(40+30+13+23)/60</f>
        <v>1.7666666666666666</v>
      </c>
      <c r="J62" s="114"/>
      <c r="K62" s="29">
        <f>I62/10*100</f>
        <v>17.666666666666668</v>
      </c>
      <c r="L62" s="30"/>
      <c r="M62" s="29"/>
      <c r="N62" s="114"/>
      <c r="O62" s="29"/>
      <c r="P62" s="30"/>
      <c r="Q62" s="29">
        <f>(125+12+16)/60</f>
        <v>2.5499999999999998</v>
      </c>
      <c r="R62" s="114"/>
      <c r="S62" s="29"/>
      <c r="T62" s="30"/>
      <c r="U62" s="27">
        <f t="shared" si="7"/>
        <v>0</v>
      </c>
    </row>
    <row r="63" spans="1:21" s="7" customFormat="1" ht="20.100000000000001" customHeight="1">
      <c r="A63" s="156"/>
      <c r="B63" s="157"/>
      <c r="C63" s="158"/>
      <c r="D63" s="26">
        <f>D61+D62</f>
        <v>13.850000000000001</v>
      </c>
      <c r="E63" s="115">
        <f>D63+E60</f>
        <v>250.43333333333337</v>
      </c>
      <c r="F63" s="26">
        <f>(F61+F62)/2</f>
        <v>69.250000000000014</v>
      </c>
      <c r="G63" s="27">
        <f>E63/367*100</f>
        <v>68.237965485921904</v>
      </c>
      <c r="H63" s="27"/>
      <c r="I63" s="26">
        <f>I61+I62</f>
        <v>3.5999999999999996</v>
      </c>
      <c r="J63" s="115">
        <f>I63+J60</f>
        <v>64.416666666666671</v>
      </c>
      <c r="K63" s="26">
        <f>(K61+K62)/2</f>
        <v>18</v>
      </c>
      <c r="L63" s="27">
        <f>J63/367*100</f>
        <v>17.552225249772935</v>
      </c>
      <c r="M63" s="26">
        <f>M61+M62</f>
        <v>0</v>
      </c>
      <c r="N63" s="115">
        <f>M63+N60</f>
        <v>6.1166666666666654</v>
      </c>
      <c r="O63" s="26">
        <f>(O61+O62)/2</f>
        <v>0</v>
      </c>
      <c r="P63" s="27">
        <f>N63/367*100</f>
        <v>1.6666666666666663</v>
      </c>
      <c r="Q63" s="26">
        <f>Q61+Q62</f>
        <v>2.5499999999999998</v>
      </c>
      <c r="R63" s="115">
        <f>Q63+R60</f>
        <v>46.033333333333324</v>
      </c>
      <c r="S63" s="26">
        <f>(S61+S62)/2</f>
        <v>0</v>
      </c>
      <c r="T63" s="27">
        <f>R63/367*100</f>
        <v>12.543142597638507</v>
      </c>
      <c r="U63" s="27">
        <f t="shared" si="7"/>
        <v>100.00000000000001</v>
      </c>
    </row>
    <row r="64" spans="1:21" s="7" customFormat="1" ht="20.100000000000001" customHeight="1">
      <c r="A64" s="269" t="s">
        <v>340</v>
      </c>
      <c r="B64" s="143" t="s">
        <v>26</v>
      </c>
      <c r="C64" s="433" t="s">
        <v>216</v>
      </c>
      <c r="D64" s="29">
        <f>10-I64-M64-Q64</f>
        <v>4.083333333333333</v>
      </c>
      <c r="E64" s="114"/>
      <c r="F64" s="28">
        <f>D64/10*100</f>
        <v>40.833333333333336</v>
      </c>
      <c r="G64" s="30"/>
      <c r="H64" s="30"/>
      <c r="I64" s="28">
        <f>15/60</f>
        <v>0.25</v>
      </c>
      <c r="J64" s="114"/>
      <c r="K64" s="29">
        <f>I64/10*100</f>
        <v>2.5</v>
      </c>
      <c r="L64" s="30"/>
      <c r="M64" s="29"/>
      <c r="N64" s="114"/>
      <c r="O64" s="29">
        <f>M64/10*100</f>
        <v>0</v>
      </c>
      <c r="P64" s="30"/>
      <c r="Q64" s="29">
        <f>(20+320)/60</f>
        <v>5.666666666666667</v>
      </c>
      <c r="R64" s="114"/>
      <c r="S64" s="29">
        <f>Q64/10*100</f>
        <v>56.666666666666664</v>
      </c>
      <c r="T64" s="30"/>
      <c r="U64" s="27">
        <f t="shared" si="7"/>
        <v>0</v>
      </c>
    </row>
    <row r="65" spans="1:21" s="7" customFormat="1" ht="20.100000000000001" customHeight="1">
      <c r="A65" s="154"/>
      <c r="B65" s="155" t="s">
        <v>23</v>
      </c>
      <c r="C65" s="433" t="s">
        <v>223</v>
      </c>
      <c r="D65" s="29">
        <f>10-I65-M65-Q65</f>
        <v>5.3</v>
      </c>
      <c r="E65" s="114"/>
      <c r="F65" s="28">
        <f>D65/10*100</f>
        <v>53</v>
      </c>
      <c r="G65" s="30"/>
      <c r="H65" s="30"/>
      <c r="I65" s="28">
        <f>(22+16+31+18+27+13+13+10)/60</f>
        <v>2.5</v>
      </c>
      <c r="J65" s="114"/>
      <c r="K65" s="29">
        <f>I65/10*100</f>
        <v>25</v>
      </c>
      <c r="L65" s="30"/>
      <c r="M65" s="29"/>
      <c r="N65" s="114"/>
      <c r="O65" s="29"/>
      <c r="P65" s="30"/>
      <c r="Q65" s="29">
        <f>(42+90)/60</f>
        <v>2.2000000000000002</v>
      </c>
      <c r="R65" s="114"/>
      <c r="S65" s="29"/>
      <c r="T65" s="30"/>
      <c r="U65" s="27">
        <f t="shared" si="7"/>
        <v>0</v>
      </c>
    </row>
    <row r="66" spans="1:21" s="7" customFormat="1" ht="20.100000000000001" customHeight="1">
      <c r="A66" s="156"/>
      <c r="B66" s="157"/>
      <c r="C66" s="158"/>
      <c r="D66" s="26">
        <f>D64+D65</f>
        <v>9.3833333333333329</v>
      </c>
      <c r="E66" s="115">
        <f>D66+E63</f>
        <v>259.81666666666672</v>
      </c>
      <c r="F66" s="26">
        <f>(F64+F65)/2</f>
        <v>46.916666666666671</v>
      </c>
      <c r="G66" s="27">
        <f>E66/387*100</f>
        <v>67.136089577950059</v>
      </c>
      <c r="H66" s="27"/>
      <c r="I66" s="26">
        <f>I64+I65</f>
        <v>2.75</v>
      </c>
      <c r="J66" s="115">
        <f>I66+J63</f>
        <v>67.166666666666671</v>
      </c>
      <c r="K66" s="26">
        <f>(K64+K65)/2</f>
        <v>13.75</v>
      </c>
      <c r="L66" s="27">
        <f>J66/387*100</f>
        <v>17.355727820844102</v>
      </c>
      <c r="M66" s="26">
        <f>M64+M65</f>
        <v>0</v>
      </c>
      <c r="N66" s="115">
        <f>M66+N63</f>
        <v>6.1166666666666654</v>
      </c>
      <c r="O66" s="26">
        <f>(O64+O65)/2</f>
        <v>0</v>
      </c>
      <c r="P66" s="27">
        <f>N66/387*100</f>
        <v>1.580534022394487</v>
      </c>
      <c r="Q66" s="26">
        <f>Q64+Q65</f>
        <v>7.8666666666666671</v>
      </c>
      <c r="R66" s="115">
        <f>Q66+R63</f>
        <v>53.899999999999991</v>
      </c>
      <c r="S66" s="26">
        <f>(S64+S65)/2</f>
        <v>28.333333333333332</v>
      </c>
      <c r="T66" s="27">
        <f>R66/387*100</f>
        <v>13.927648578811366</v>
      </c>
      <c r="U66" s="27">
        <f t="shared" si="7"/>
        <v>100.00000000000001</v>
      </c>
    </row>
    <row r="67" spans="1:21" s="7" customFormat="1" ht="20.100000000000001" customHeight="1">
      <c r="A67" s="269" t="s">
        <v>341</v>
      </c>
      <c r="B67" s="143" t="s">
        <v>26</v>
      </c>
      <c r="C67" s="433" t="s">
        <v>223</v>
      </c>
      <c r="D67" s="29">
        <f>10.5-I67-M67-Q67</f>
        <v>9.5</v>
      </c>
      <c r="E67" s="114"/>
      <c r="F67" s="28">
        <f>D67/10*100</f>
        <v>95</v>
      </c>
      <c r="G67" s="30"/>
      <c r="H67" s="30"/>
      <c r="I67" s="28">
        <f>(20+20+10+10)/60</f>
        <v>1</v>
      </c>
      <c r="J67" s="114"/>
      <c r="K67" s="29">
        <f>I67/10*100</f>
        <v>10</v>
      </c>
      <c r="L67" s="30"/>
      <c r="M67" s="29"/>
      <c r="N67" s="114"/>
      <c r="O67" s="29">
        <f>M67/10*100</f>
        <v>0</v>
      </c>
      <c r="P67" s="30"/>
      <c r="Q67" s="29"/>
      <c r="R67" s="114"/>
      <c r="S67" s="29">
        <f>Q67/10*100</f>
        <v>0</v>
      </c>
      <c r="T67" s="30"/>
      <c r="U67" s="27">
        <f t="shared" si="7"/>
        <v>0</v>
      </c>
    </row>
    <row r="68" spans="1:21" s="7" customFormat="1" ht="20.100000000000001" customHeight="1">
      <c r="A68" s="154"/>
      <c r="B68" s="155" t="s">
        <v>23</v>
      </c>
      <c r="C68" s="426" t="s">
        <v>246</v>
      </c>
      <c r="D68" s="29">
        <f>10-I68-M68-Q68</f>
        <v>5.7833333333333332</v>
      </c>
      <c r="E68" s="114"/>
      <c r="F68" s="28">
        <f>D68/10*100</f>
        <v>57.833333333333336</v>
      </c>
      <c r="G68" s="30"/>
      <c r="H68" s="30"/>
      <c r="I68" s="28">
        <f>(65+22+39+14+30)/60</f>
        <v>2.8333333333333335</v>
      </c>
      <c r="J68" s="114"/>
      <c r="K68" s="29">
        <f>I68/10*100</f>
        <v>28.333333333333332</v>
      </c>
      <c r="L68" s="30"/>
      <c r="M68" s="29"/>
      <c r="N68" s="114"/>
      <c r="O68" s="29"/>
      <c r="P68" s="30"/>
      <c r="Q68" s="29">
        <f>(2+38+28+15)/60</f>
        <v>1.3833333333333333</v>
      </c>
      <c r="R68" s="114"/>
      <c r="S68" s="29"/>
      <c r="T68" s="30"/>
      <c r="U68" s="27">
        <f t="shared" si="7"/>
        <v>0</v>
      </c>
    </row>
    <row r="69" spans="1:21" s="7" customFormat="1" ht="20.100000000000001" customHeight="1">
      <c r="A69" s="156"/>
      <c r="B69" s="157"/>
      <c r="C69" s="158"/>
      <c r="D69" s="26">
        <f>D67+D68</f>
        <v>15.283333333333333</v>
      </c>
      <c r="E69" s="115">
        <f>D69+E66</f>
        <v>275.10000000000008</v>
      </c>
      <c r="F69" s="26">
        <f>(F67+F68)/2</f>
        <v>76.416666666666671</v>
      </c>
      <c r="G69" s="27">
        <f>E69/407.5*100</f>
        <v>67.509202453987754</v>
      </c>
      <c r="H69" s="27"/>
      <c r="I69" s="26">
        <f>I67+I68</f>
        <v>3.8333333333333335</v>
      </c>
      <c r="J69" s="115">
        <f>I69+J66</f>
        <v>71</v>
      </c>
      <c r="K69" s="26">
        <f>(K67+K68)/2</f>
        <v>19.166666666666664</v>
      </c>
      <c r="L69" s="27">
        <f>J69/407.5*100</f>
        <v>17.423312883435582</v>
      </c>
      <c r="M69" s="26">
        <f>M67+M68</f>
        <v>0</v>
      </c>
      <c r="N69" s="115">
        <f>M69+N66</f>
        <v>6.1166666666666654</v>
      </c>
      <c r="O69" s="26">
        <f>(O67+O68)/2</f>
        <v>0</v>
      </c>
      <c r="P69" s="27">
        <f>N69/407.5*100</f>
        <v>1.5010224948875253</v>
      </c>
      <c r="Q69" s="26">
        <f>Q67+Q68</f>
        <v>1.3833333333333333</v>
      </c>
      <c r="R69" s="115">
        <f>Q69+R66</f>
        <v>55.283333333333324</v>
      </c>
      <c r="S69" s="26">
        <f>(S67+S68)/2</f>
        <v>0</v>
      </c>
      <c r="T69" s="27">
        <f>R69/407.5*100</f>
        <v>13.566462167689158</v>
      </c>
      <c r="U69" s="27">
        <f>T69+P69+L69+G69</f>
        <v>100.00000000000003</v>
      </c>
    </row>
    <row r="70" spans="1:21" s="7" customFormat="1" ht="20.100000000000001" customHeight="1">
      <c r="A70" s="165"/>
      <c r="B70" s="166"/>
      <c r="C70" s="353"/>
      <c r="D70" s="3"/>
      <c r="E70" s="354"/>
      <c r="F70" s="3"/>
      <c r="G70" s="355"/>
      <c r="H70" s="355"/>
      <c r="I70" s="3"/>
      <c r="J70" s="354"/>
      <c r="K70" s="3"/>
      <c r="L70" s="355"/>
      <c r="M70" s="3"/>
      <c r="N70" s="354"/>
      <c r="O70" s="3"/>
      <c r="P70" s="355"/>
      <c r="Q70" s="3"/>
      <c r="R70" s="354"/>
      <c r="S70" s="3"/>
      <c r="T70" s="355"/>
      <c r="U70" s="102"/>
    </row>
    <row r="71" spans="1:21" s="7" customFormat="1" ht="15.95" customHeight="1">
      <c r="A71" s="159" t="s">
        <v>84</v>
      </c>
      <c r="B71" s="160"/>
      <c r="C71" s="161"/>
      <c r="D71" s="162"/>
      <c r="E71" s="163"/>
      <c r="F71" s="162"/>
      <c r="G71" s="295"/>
      <c r="H71" s="295"/>
      <c r="I71" s="162"/>
      <c r="J71" s="163"/>
      <c r="K71" s="162"/>
      <c r="L71" s="164"/>
      <c r="M71" s="162"/>
      <c r="N71" s="163"/>
      <c r="O71" s="162"/>
      <c r="P71" s="288"/>
      <c r="Q71" s="287"/>
      <c r="R71" s="163"/>
      <c r="S71" s="162"/>
      <c r="T71" s="164"/>
      <c r="U71" s="102"/>
    </row>
    <row r="72" spans="1:21" s="7" customFormat="1" ht="15.95" customHeight="1">
      <c r="A72" s="165" t="s">
        <v>329</v>
      </c>
      <c r="B72" s="166"/>
      <c r="C72" s="171"/>
      <c r="D72" s="162"/>
      <c r="E72" s="163"/>
      <c r="F72" s="162"/>
      <c r="G72" s="164"/>
      <c r="H72" s="164"/>
      <c r="I72" s="162"/>
      <c r="J72" s="165" t="s">
        <v>330</v>
      </c>
      <c r="K72" s="172"/>
      <c r="L72" s="171"/>
      <c r="M72" s="162"/>
      <c r="N72" s="163"/>
      <c r="O72" s="162"/>
      <c r="P72" s="288"/>
      <c r="Q72" s="287"/>
      <c r="R72" s="163"/>
      <c r="S72" s="162"/>
      <c r="T72" s="164"/>
      <c r="U72" s="102"/>
    </row>
    <row r="73" spans="1:21" s="7" customFormat="1" ht="15.95" customHeight="1">
      <c r="A73" s="171" t="s">
        <v>68</v>
      </c>
      <c r="B73" s="172"/>
      <c r="C73" s="171" t="s">
        <v>325</v>
      </c>
      <c r="D73" s="162"/>
      <c r="E73" s="163"/>
      <c r="F73" s="162"/>
      <c r="G73" s="164"/>
      <c r="H73" s="164"/>
      <c r="I73" s="162"/>
      <c r="J73" s="171" t="s">
        <v>68</v>
      </c>
      <c r="K73" s="172"/>
      <c r="L73" s="171" t="s">
        <v>325</v>
      </c>
      <c r="M73" s="162"/>
      <c r="N73" s="163"/>
      <c r="O73" s="162"/>
      <c r="P73" s="164"/>
      <c r="Q73" s="287"/>
      <c r="R73" s="163"/>
      <c r="S73" s="162"/>
      <c r="T73" s="164"/>
      <c r="U73" s="102"/>
    </row>
    <row r="74" spans="1:21" s="7" customFormat="1" ht="15.95" customHeight="1">
      <c r="A74" s="171"/>
      <c r="B74" s="172"/>
      <c r="C74" s="171"/>
      <c r="D74" s="162"/>
      <c r="E74" s="163"/>
      <c r="F74" s="162"/>
      <c r="G74" s="164"/>
      <c r="H74" s="164"/>
      <c r="I74" s="162"/>
      <c r="J74" s="171"/>
      <c r="K74" s="172"/>
      <c r="L74" s="171"/>
      <c r="M74" s="162"/>
      <c r="N74" s="163"/>
      <c r="O74" s="162"/>
      <c r="P74" s="288"/>
      <c r="Q74" s="287"/>
      <c r="R74" s="163"/>
      <c r="S74" s="162"/>
      <c r="T74" s="164"/>
      <c r="U74" s="102"/>
    </row>
    <row r="75" spans="1:21" s="7" customFormat="1" ht="15.95" customHeight="1">
      <c r="A75" s="171" t="s">
        <v>85</v>
      </c>
      <c r="B75" s="172"/>
      <c r="C75" s="611"/>
      <c r="D75" s="162"/>
      <c r="E75" s="163"/>
      <c r="F75" s="162"/>
      <c r="G75" s="164"/>
      <c r="H75" s="164"/>
      <c r="I75" s="162"/>
      <c r="J75" s="171" t="s">
        <v>85</v>
      </c>
      <c r="K75" s="172"/>
      <c r="L75" s="171"/>
      <c r="M75" s="162"/>
      <c r="N75" s="163"/>
      <c r="O75" s="162"/>
      <c r="P75" s="288"/>
      <c r="Q75" s="287"/>
      <c r="R75" s="163"/>
      <c r="S75" s="162"/>
      <c r="T75" s="164"/>
      <c r="U75" s="102"/>
    </row>
    <row r="76" spans="1:21" s="7" customFormat="1" ht="15.95" customHeight="1">
      <c r="A76" s="171" t="s">
        <v>89</v>
      </c>
      <c r="B76" s="172"/>
      <c r="C76" s="171"/>
      <c r="D76" s="162"/>
      <c r="E76" s="163"/>
      <c r="F76" s="162"/>
      <c r="G76" s="164"/>
      <c r="H76" s="164"/>
      <c r="I76" s="162"/>
      <c r="J76" s="171" t="s">
        <v>89</v>
      </c>
      <c r="K76" s="172"/>
      <c r="L76" s="171"/>
      <c r="M76" s="162"/>
      <c r="N76" s="163"/>
      <c r="O76" s="162"/>
      <c r="P76" s="288"/>
      <c r="Q76" s="287"/>
      <c r="R76" s="163"/>
      <c r="S76" s="162"/>
      <c r="T76" s="164"/>
      <c r="U76" s="102"/>
    </row>
    <row r="77" spans="1:21" s="7" customFormat="1" ht="15.95" customHeight="1">
      <c r="A77" s="171"/>
      <c r="B77" s="172"/>
      <c r="C77" s="171"/>
      <c r="D77" s="162"/>
      <c r="E77" s="163"/>
      <c r="F77" s="162"/>
      <c r="G77" s="164"/>
      <c r="H77" s="164"/>
      <c r="I77" s="162"/>
      <c r="J77" s="171"/>
      <c r="K77" s="172"/>
      <c r="L77" s="171"/>
      <c r="M77" s="162"/>
      <c r="N77" s="163"/>
      <c r="O77" s="162"/>
      <c r="P77" s="288"/>
      <c r="Q77" s="287"/>
      <c r="R77" s="163"/>
      <c r="S77" s="162"/>
      <c r="T77" s="164"/>
      <c r="U77" s="102"/>
    </row>
    <row r="78" spans="1:21" s="7" customFormat="1" ht="15.95" customHeight="1">
      <c r="A78" s="171"/>
      <c r="B78" s="172"/>
      <c r="C78" s="171"/>
      <c r="D78" s="162"/>
      <c r="E78" s="163"/>
      <c r="F78" s="162"/>
      <c r="G78" s="164"/>
      <c r="H78" s="164"/>
      <c r="I78" s="162"/>
      <c r="J78" s="171"/>
      <c r="K78" s="172"/>
      <c r="L78" s="171"/>
      <c r="M78" s="162"/>
      <c r="N78" s="163"/>
      <c r="O78" s="162"/>
      <c r="P78" s="288"/>
      <c r="Q78" s="287"/>
      <c r="R78" s="163"/>
      <c r="S78" s="162"/>
      <c r="T78" s="164"/>
      <c r="U78" s="102"/>
    </row>
    <row r="79" spans="1:21" s="7" customFormat="1" ht="15.95" customHeight="1">
      <c r="A79" s="165" t="s">
        <v>333</v>
      </c>
      <c r="B79" s="166"/>
      <c r="C79" s="171"/>
      <c r="D79" s="162"/>
      <c r="E79" s="163"/>
      <c r="F79" s="162"/>
      <c r="G79" s="164"/>
      <c r="H79" s="164"/>
      <c r="I79" s="162"/>
      <c r="J79" s="165" t="s">
        <v>334</v>
      </c>
      <c r="K79" s="172"/>
      <c r="L79" s="171"/>
      <c r="M79" s="162"/>
      <c r="N79" s="163"/>
      <c r="O79" s="162"/>
      <c r="P79" s="288"/>
      <c r="Q79" s="287"/>
      <c r="R79" s="163"/>
      <c r="S79" s="162"/>
      <c r="T79" s="164"/>
      <c r="U79" s="102"/>
    </row>
    <row r="80" spans="1:21" s="7" customFormat="1" ht="15.95" customHeight="1">
      <c r="A80" s="171" t="s">
        <v>68</v>
      </c>
      <c r="B80" s="172"/>
      <c r="C80" s="171" t="s">
        <v>331</v>
      </c>
      <c r="D80" s="162"/>
      <c r="E80" s="163"/>
      <c r="F80" s="162"/>
      <c r="G80" s="164"/>
      <c r="H80" s="164"/>
      <c r="I80" s="162"/>
      <c r="J80" s="171" t="s">
        <v>68</v>
      </c>
      <c r="K80" s="172"/>
      <c r="L80" s="171" t="s">
        <v>325</v>
      </c>
      <c r="M80" s="162"/>
      <c r="N80" s="163"/>
      <c r="O80" s="162"/>
      <c r="P80" s="288"/>
      <c r="Q80" s="287"/>
      <c r="R80" s="163"/>
      <c r="S80" s="162"/>
      <c r="T80" s="164"/>
      <c r="U80" s="102"/>
    </row>
    <row r="81" spans="1:21" s="7" customFormat="1" ht="15.95" customHeight="1">
      <c r="A81" s="171" t="s">
        <v>85</v>
      </c>
      <c r="B81" s="172"/>
      <c r="C81" s="611"/>
      <c r="D81" s="162"/>
      <c r="E81" s="163"/>
      <c r="F81" s="162"/>
      <c r="G81" s="164"/>
      <c r="H81" s="164"/>
      <c r="I81" s="162"/>
      <c r="J81" s="171" t="s">
        <v>85</v>
      </c>
      <c r="K81" s="172"/>
      <c r="L81" s="171"/>
      <c r="M81" s="162"/>
      <c r="N81" s="163"/>
      <c r="O81" s="162"/>
      <c r="P81" s="288"/>
      <c r="Q81" s="287"/>
      <c r="R81" s="163"/>
      <c r="S81" s="162"/>
      <c r="T81" s="164"/>
      <c r="U81" s="102"/>
    </row>
    <row r="82" spans="1:21" s="7" customFormat="1" ht="15.95" customHeight="1">
      <c r="A82" s="171" t="s">
        <v>89</v>
      </c>
      <c r="B82" s="172"/>
      <c r="C82" s="172" t="s">
        <v>332</v>
      </c>
      <c r="D82" s="171"/>
      <c r="E82" s="162"/>
      <c r="F82" s="162"/>
      <c r="G82" s="164"/>
      <c r="H82" s="164"/>
      <c r="I82" s="162"/>
      <c r="J82" s="171" t="s">
        <v>89</v>
      </c>
      <c r="K82" s="172"/>
      <c r="L82" s="171"/>
      <c r="M82" s="162"/>
      <c r="N82" s="163"/>
      <c r="O82" s="162"/>
      <c r="P82" s="288"/>
      <c r="Q82" s="287"/>
      <c r="R82" s="163"/>
      <c r="S82" s="162"/>
      <c r="T82" s="164"/>
      <c r="U82" s="102"/>
    </row>
    <row r="83" spans="1:21" s="7" customFormat="1" ht="15.95" customHeight="1">
      <c r="A83" s="171"/>
      <c r="B83" s="172"/>
      <c r="C83" s="171"/>
      <c r="D83" s="162"/>
      <c r="E83" s="163"/>
      <c r="F83" s="162"/>
      <c r="G83" s="164"/>
      <c r="H83" s="164"/>
      <c r="I83" s="162"/>
      <c r="J83" s="171"/>
      <c r="K83" s="172"/>
      <c r="L83" s="171"/>
      <c r="M83" s="162"/>
      <c r="N83" s="163"/>
      <c r="O83" s="162"/>
      <c r="P83" s="288"/>
      <c r="Q83" s="287"/>
      <c r="R83" s="163"/>
      <c r="S83" s="162"/>
      <c r="T83" s="164"/>
      <c r="U83" s="102"/>
    </row>
    <row r="84" spans="1:21" s="7" customFormat="1" ht="15.95" customHeight="1">
      <c r="A84" s="171"/>
      <c r="B84" s="172"/>
      <c r="C84" s="171"/>
      <c r="D84" s="162"/>
      <c r="E84" s="163"/>
      <c r="F84" s="162"/>
      <c r="G84" s="164"/>
      <c r="H84" s="164"/>
      <c r="I84" s="162"/>
      <c r="J84" s="171"/>
      <c r="K84" s="172"/>
      <c r="L84" s="171"/>
      <c r="M84" s="162"/>
      <c r="N84" s="163"/>
      <c r="O84" s="162"/>
      <c r="P84" s="288"/>
      <c r="Q84" s="287"/>
      <c r="R84" s="163"/>
      <c r="S84" s="162"/>
      <c r="T84" s="164"/>
      <c r="U84" s="102"/>
    </row>
    <row r="85" spans="1:21" s="7" customFormat="1" ht="15.75">
      <c r="A85" s="165" t="s">
        <v>342</v>
      </c>
      <c r="B85" s="172"/>
      <c r="C85" s="171"/>
      <c r="D85" s="162"/>
      <c r="E85" s="163"/>
      <c r="F85" s="162"/>
      <c r="G85" s="164"/>
      <c r="H85" s="164"/>
      <c r="I85" s="162"/>
      <c r="J85" s="165" t="s">
        <v>343</v>
      </c>
      <c r="K85" s="172"/>
      <c r="L85" s="171"/>
      <c r="M85" s="162"/>
      <c r="N85" s="163"/>
      <c r="O85" s="162"/>
      <c r="P85" s="288"/>
      <c r="Q85" s="287"/>
      <c r="R85" s="163"/>
      <c r="S85" s="162"/>
      <c r="T85" s="164"/>
      <c r="U85" s="102"/>
    </row>
    <row r="86" spans="1:21" s="7" customFormat="1" ht="15.75">
      <c r="A86" s="171" t="s">
        <v>68</v>
      </c>
      <c r="B86" s="172"/>
      <c r="C86" s="171" t="s">
        <v>344</v>
      </c>
      <c r="D86" s="162"/>
      <c r="E86" s="163"/>
      <c r="F86" s="162"/>
      <c r="G86" s="164"/>
      <c r="H86" s="164"/>
      <c r="I86" s="162"/>
      <c r="J86" s="171" t="s">
        <v>68</v>
      </c>
      <c r="K86" s="172"/>
      <c r="L86" s="171" t="s">
        <v>345</v>
      </c>
      <c r="M86" s="162"/>
      <c r="N86" s="163"/>
      <c r="O86" s="162"/>
      <c r="P86" s="288"/>
      <c r="Q86" s="287"/>
      <c r="R86" s="163"/>
      <c r="S86" s="162"/>
      <c r="T86" s="164"/>
      <c r="U86" s="102"/>
    </row>
    <row r="87" spans="1:21" s="7" customFormat="1" ht="15.75">
      <c r="A87" s="171" t="s">
        <v>85</v>
      </c>
      <c r="B87" s="172"/>
      <c r="C87" s="171"/>
      <c r="D87" s="162"/>
      <c r="E87" s="163"/>
      <c r="F87" s="162"/>
      <c r="G87" s="164"/>
      <c r="H87" s="164"/>
      <c r="I87" s="162"/>
      <c r="J87" s="171" t="s">
        <v>85</v>
      </c>
      <c r="K87" s="172"/>
      <c r="L87" s="171"/>
      <c r="M87" s="162"/>
      <c r="N87" s="163"/>
      <c r="O87" s="162"/>
      <c r="P87" s="288"/>
      <c r="Q87" s="287"/>
      <c r="R87" s="163"/>
      <c r="S87" s="162"/>
      <c r="T87" s="164"/>
      <c r="U87" s="102"/>
    </row>
    <row r="88" spans="1:21" s="7" customFormat="1" ht="15.75">
      <c r="A88" s="171" t="s">
        <v>89</v>
      </c>
      <c r="B88" s="172"/>
      <c r="C88" s="171"/>
      <c r="D88" s="162"/>
      <c r="E88" s="163"/>
      <c r="F88" s="162"/>
      <c r="G88" s="164"/>
      <c r="H88" s="164"/>
      <c r="I88" s="162"/>
      <c r="J88" s="171" t="s">
        <v>89</v>
      </c>
      <c r="K88" s="172"/>
      <c r="L88" s="171"/>
      <c r="M88" s="162"/>
      <c r="N88" s="163"/>
      <c r="O88" s="162"/>
      <c r="P88" s="288"/>
      <c r="Q88" s="287"/>
      <c r="R88" s="163"/>
      <c r="S88" s="162"/>
      <c r="T88" s="164"/>
      <c r="U88" s="102"/>
    </row>
    <row r="89" spans="1:21" s="7" customFormat="1" ht="15.75">
      <c r="A89" s="171"/>
      <c r="B89" s="172"/>
      <c r="C89" s="171"/>
      <c r="D89" s="162"/>
      <c r="E89" s="163"/>
      <c r="F89" s="162"/>
      <c r="G89" s="164"/>
      <c r="H89" s="164"/>
      <c r="I89" s="162"/>
      <c r="J89" s="171"/>
      <c r="K89" s="172"/>
      <c r="L89" s="171"/>
      <c r="M89" s="162"/>
      <c r="N89" s="163"/>
      <c r="O89" s="162"/>
      <c r="P89" s="288"/>
      <c r="Q89" s="287"/>
      <c r="R89" s="163"/>
      <c r="S89" s="162"/>
      <c r="T89" s="164"/>
      <c r="U89" s="102"/>
    </row>
    <row r="90" spans="1:21" s="7" customFormat="1" ht="15.75">
      <c r="A90" s="171"/>
      <c r="B90" s="172"/>
      <c r="C90" s="171"/>
      <c r="D90" s="162"/>
      <c r="E90" s="163"/>
      <c r="F90" s="162"/>
      <c r="G90" s="164"/>
      <c r="H90" s="164"/>
      <c r="I90" s="162"/>
      <c r="J90" s="171"/>
      <c r="K90" s="172"/>
      <c r="L90" s="171"/>
      <c r="M90" s="162"/>
      <c r="N90" s="163"/>
      <c r="O90" s="162"/>
      <c r="P90" s="288"/>
      <c r="Q90" s="287"/>
      <c r="R90" s="163"/>
      <c r="S90" s="162"/>
      <c r="T90" s="164"/>
      <c r="U90" s="102"/>
    </row>
    <row r="91" spans="1:21" s="7" customFormat="1" ht="24.75" customHeight="1">
      <c r="A91" s="171"/>
      <c r="B91" s="172"/>
      <c r="C91" s="718" t="s">
        <v>25</v>
      </c>
      <c r="D91" s="718"/>
      <c r="E91" s="718"/>
      <c r="F91" s="718"/>
      <c r="G91" s="173"/>
      <c r="H91" s="173"/>
      <c r="I91" s="174"/>
      <c r="J91" s="171"/>
      <c r="K91" s="172"/>
      <c r="L91" s="171"/>
      <c r="M91" s="162"/>
      <c r="N91" s="163"/>
      <c r="O91" s="162"/>
      <c r="P91" s="718" t="s">
        <v>24</v>
      </c>
      <c r="Q91" s="718"/>
      <c r="R91" s="718"/>
      <c r="S91" s="718"/>
      <c r="T91" s="718"/>
      <c r="U91" s="10"/>
    </row>
    <row r="92" spans="1:21" s="7" customFormat="1" ht="15.75" customHeight="1">
      <c r="A92" s="171"/>
      <c r="B92" s="172"/>
      <c r="C92" s="47"/>
      <c r="D92" s="47"/>
      <c r="E92" s="47"/>
      <c r="F92" s="47"/>
      <c r="G92" s="13"/>
      <c r="H92" s="13"/>
      <c r="I92" s="2"/>
      <c r="J92" s="122"/>
      <c r="K92" s="5"/>
      <c r="L92" s="20"/>
      <c r="M92" s="19"/>
      <c r="N92" s="122"/>
      <c r="O92" s="2"/>
      <c r="P92" s="47"/>
      <c r="Q92" s="47"/>
      <c r="R92" s="47"/>
      <c r="S92" s="47"/>
      <c r="T92" s="47"/>
      <c r="U92" s="10"/>
    </row>
    <row r="93" spans="1:21" s="7" customFormat="1" ht="30" customHeight="1">
      <c r="A93" s="159"/>
      <c r="B93" s="160"/>
      <c r="C93" s="11"/>
      <c r="D93" s="11"/>
      <c r="E93" s="116"/>
      <c r="F93" s="5"/>
      <c r="G93" s="12"/>
      <c r="H93" s="12"/>
      <c r="I93" s="2"/>
      <c r="J93" s="122"/>
      <c r="K93" s="5"/>
      <c r="L93" s="5"/>
      <c r="M93" s="18"/>
      <c r="N93" s="113"/>
      <c r="O93" s="5"/>
      <c r="P93" s="14"/>
      <c r="Q93" s="53"/>
      <c r="R93" s="123"/>
      <c r="S93" s="53"/>
      <c r="T93" s="53"/>
      <c r="U93" s="10"/>
    </row>
    <row r="94" spans="1:21" s="7" customFormat="1" ht="18" customHeight="1">
      <c r="A94" s="171"/>
      <c r="B94" s="332"/>
      <c r="C94" s="719" t="s">
        <v>61</v>
      </c>
      <c r="D94" s="719"/>
      <c r="E94" s="719"/>
      <c r="F94" s="719"/>
      <c r="G94" s="12"/>
      <c r="H94" s="12"/>
      <c r="I94" s="5"/>
      <c r="J94" s="113"/>
      <c r="K94" s="5"/>
      <c r="L94" s="5"/>
      <c r="M94" s="18"/>
      <c r="N94" s="113"/>
      <c r="O94" s="5"/>
      <c r="P94" s="719" t="s">
        <v>28</v>
      </c>
      <c r="Q94" s="719"/>
      <c r="R94" s="719"/>
      <c r="S94" s="719"/>
      <c r="T94" s="719"/>
      <c r="U94" s="10"/>
    </row>
    <row r="95" spans="1:21" s="7" customFormat="1" ht="18" customHeight="1">
      <c r="A95" s="434"/>
      <c r="B95" s="172"/>
      <c r="C95" s="171"/>
      <c r="D95" s="162"/>
      <c r="E95" s="117"/>
      <c r="F95" s="5"/>
      <c r="G95" s="12"/>
      <c r="H95" s="12"/>
      <c r="I95" s="5"/>
      <c r="J95" s="113"/>
      <c r="K95" s="5"/>
      <c r="L95" s="5"/>
      <c r="M95" s="18"/>
      <c r="N95" s="113"/>
      <c r="O95" s="5"/>
      <c r="P95" s="5"/>
      <c r="Q95" s="31"/>
      <c r="R95" s="117"/>
      <c r="S95" s="31"/>
      <c r="T95" s="5"/>
      <c r="U95" s="10"/>
    </row>
    <row r="96" spans="1:21" s="7" customFormat="1" ht="18" customHeight="1">
      <c r="A96" s="171"/>
      <c r="B96" s="172"/>
      <c r="C96" s="435"/>
      <c r="D96" s="436"/>
      <c r="E96" s="113"/>
      <c r="F96" s="5"/>
      <c r="G96" s="12"/>
      <c r="H96" s="12"/>
      <c r="I96" s="5"/>
      <c r="J96" s="113"/>
      <c r="K96" s="5"/>
      <c r="L96" s="5"/>
      <c r="M96" s="18"/>
      <c r="N96" s="113"/>
      <c r="O96" s="5"/>
      <c r="P96" s="5"/>
      <c r="Q96" s="5"/>
      <c r="R96" s="113"/>
      <c r="S96" s="5"/>
      <c r="T96" s="5"/>
      <c r="U96" s="10"/>
    </row>
    <row r="97" spans="1:21" s="7" customFormat="1" ht="18" customHeight="1">
      <c r="A97" s="24"/>
      <c r="B97" s="259"/>
      <c r="C97" s="259"/>
      <c r="D97" s="5"/>
      <c r="E97" s="113"/>
      <c r="F97" s="5"/>
      <c r="G97" s="12"/>
      <c r="H97" s="12"/>
      <c r="I97" s="5"/>
      <c r="J97" s="113"/>
      <c r="K97" s="5"/>
      <c r="L97" s="5"/>
      <c r="M97" s="18"/>
      <c r="N97" s="113"/>
      <c r="O97" s="5"/>
      <c r="P97" s="5"/>
      <c r="Q97" s="5"/>
      <c r="R97" s="113"/>
      <c r="S97" s="5"/>
      <c r="T97" s="5"/>
      <c r="U97" s="10"/>
    </row>
    <row r="98" spans="1:21" s="7" customFormat="1" ht="18" customHeight="1">
      <c r="A98" s="25"/>
      <c r="B98" s="5"/>
      <c r="C98" s="5"/>
      <c r="D98" s="5"/>
      <c r="E98" s="113"/>
      <c r="F98" s="5"/>
      <c r="G98" s="12"/>
      <c r="H98" s="12"/>
      <c r="I98" s="5"/>
      <c r="J98" s="113"/>
      <c r="K98" s="5"/>
      <c r="L98" s="5"/>
      <c r="M98" s="18"/>
      <c r="N98" s="113"/>
      <c r="O98" s="5"/>
      <c r="P98" s="5"/>
      <c r="Q98" s="5"/>
      <c r="R98" s="113"/>
      <c r="S98" s="5"/>
      <c r="T98" s="5"/>
      <c r="U98" s="10"/>
    </row>
    <row r="99" spans="1:21" s="7" customFormat="1" ht="18" customHeight="1">
      <c r="A99" s="25"/>
      <c r="B99" s="5"/>
      <c r="C99" s="5"/>
      <c r="D99" s="5"/>
      <c r="E99" s="113"/>
      <c r="F99" s="5"/>
      <c r="G99" s="12"/>
      <c r="H99" s="12"/>
      <c r="I99" s="5"/>
      <c r="J99" s="113"/>
      <c r="K99" s="5"/>
      <c r="L99" s="5"/>
      <c r="M99" s="18"/>
      <c r="N99" s="113"/>
      <c r="O99" s="5"/>
      <c r="P99" s="5"/>
      <c r="Q99" s="5"/>
      <c r="R99" s="113"/>
      <c r="S99" s="5"/>
      <c r="T99" s="5"/>
      <c r="U99" s="10"/>
    </row>
    <row r="100" spans="1:21" s="7" customFormat="1" ht="18" customHeight="1">
      <c r="A100" s="25"/>
      <c r="B100" s="5"/>
      <c r="C100" s="5"/>
      <c r="D100" s="5"/>
      <c r="E100" s="113"/>
      <c r="F100" s="5"/>
      <c r="G100" s="12"/>
      <c r="H100" s="12"/>
      <c r="I100" s="5"/>
      <c r="J100" s="113"/>
      <c r="K100" s="5"/>
      <c r="L100" s="5"/>
      <c r="M100" s="18"/>
      <c r="N100" s="113"/>
      <c r="O100" s="5"/>
      <c r="P100" s="5"/>
      <c r="Q100" s="5"/>
      <c r="R100" s="113"/>
      <c r="S100" s="5"/>
      <c r="T100" s="5"/>
      <c r="U100" s="10"/>
    </row>
    <row r="101" spans="1:21" s="7" customFormat="1" ht="18" customHeight="1">
      <c r="A101" s="25"/>
      <c r="B101" s="5"/>
      <c r="C101" s="5"/>
      <c r="D101" s="5"/>
      <c r="E101" s="113"/>
      <c r="F101" s="5"/>
      <c r="G101" s="12"/>
      <c r="H101" s="12"/>
      <c r="I101" s="5"/>
      <c r="J101" s="113"/>
      <c r="K101" s="5"/>
      <c r="L101" s="5"/>
      <c r="M101" s="18"/>
      <c r="N101" s="113"/>
      <c r="O101" s="5"/>
      <c r="P101" s="5"/>
      <c r="Q101" s="5"/>
      <c r="R101" s="113"/>
      <c r="S101" s="5"/>
      <c r="T101" s="5"/>
      <c r="U101" s="10"/>
    </row>
    <row r="102" spans="1:21" s="7" customFormat="1" ht="18" customHeight="1">
      <c r="A102" s="25"/>
      <c r="B102" s="5"/>
      <c r="C102" s="5"/>
      <c r="D102" s="5"/>
      <c r="E102" s="113"/>
      <c r="F102" s="5"/>
      <c r="G102" s="12"/>
      <c r="H102" s="12"/>
      <c r="I102" s="5"/>
      <c r="J102" s="113"/>
      <c r="K102" s="5"/>
      <c r="L102" s="5"/>
      <c r="M102" s="18"/>
      <c r="N102" s="113"/>
      <c r="O102" s="5"/>
      <c r="P102" s="5"/>
      <c r="Q102" s="5"/>
      <c r="R102" s="113"/>
      <c r="S102" s="5"/>
      <c r="T102" s="5"/>
      <c r="U102" s="10"/>
    </row>
    <row r="103" spans="1:21" s="7" customFormat="1" ht="18" customHeight="1">
      <c r="A103" s="25"/>
      <c r="B103" s="5"/>
      <c r="C103" s="5"/>
      <c r="D103" s="5"/>
      <c r="E103" s="113"/>
      <c r="F103" s="5"/>
      <c r="G103" s="12"/>
      <c r="H103" s="12"/>
      <c r="I103" s="5"/>
      <c r="J103" s="113"/>
      <c r="K103" s="5"/>
      <c r="L103" s="5"/>
      <c r="M103" s="18"/>
      <c r="N103" s="113"/>
      <c r="O103" s="5"/>
      <c r="P103" s="5"/>
      <c r="Q103" s="5"/>
      <c r="R103" s="113"/>
      <c r="S103" s="5"/>
      <c r="T103" s="5"/>
      <c r="U103" s="10"/>
    </row>
    <row r="104" spans="1:21" s="7" customFormat="1" ht="18" customHeight="1">
      <c r="A104" s="25"/>
      <c r="B104" s="5"/>
      <c r="C104" s="5"/>
      <c r="D104" s="5"/>
      <c r="E104" s="113"/>
      <c r="F104" s="5"/>
      <c r="G104" s="12"/>
      <c r="H104" s="12"/>
      <c r="I104" s="5"/>
      <c r="J104" s="113"/>
      <c r="K104" s="5"/>
      <c r="L104" s="5"/>
      <c r="M104" s="18"/>
      <c r="N104" s="113"/>
      <c r="O104" s="5"/>
      <c r="P104" s="5"/>
      <c r="Q104" s="5"/>
      <c r="R104" s="113"/>
      <c r="S104" s="5"/>
      <c r="T104" s="5"/>
      <c r="U104" s="10"/>
    </row>
    <row r="105" spans="1:21" s="7" customFormat="1" ht="18" customHeight="1">
      <c r="A105" s="25"/>
      <c r="B105" s="5"/>
      <c r="C105" s="5"/>
      <c r="D105" s="5"/>
      <c r="E105" s="113"/>
      <c r="F105" s="5"/>
      <c r="G105" s="12"/>
      <c r="H105" s="12"/>
      <c r="I105" s="5"/>
      <c r="J105" s="113"/>
      <c r="K105" s="5"/>
      <c r="L105" s="5"/>
      <c r="M105" s="18"/>
      <c r="N105" s="113"/>
      <c r="O105" s="5"/>
      <c r="P105" s="5"/>
      <c r="Q105" s="5"/>
      <c r="R105" s="113"/>
      <c r="S105" s="5"/>
      <c r="T105" s="5"/>
      <c r="U105" s="10"/>
    </row>
    <row r="106" spans="1:21" s="7" customFormat="1" ht="18" customHeight="1">
      <c r="A106" s="25"/>
      <c r="B106" s="5"/>
      <c r="C106" s="5"/>
      <c r="D106" s="5"/>
      <c r="E106" s="113"/>
      <c r="F106" s="5"/>
      <c r="G106" s="12"/>
      <c r="H106" s="12"/>
      <c r="I106" s="5"/>
      <c r="J106" s="113"/>
      <c r="K106" s="5"/>
      <c r="L106" s="5"/>
      <c r="M106" s="18"/>
      <c r="N106" s="113"/>
      <c r="O106" s="5"/>
      <c r="P106" s="5"/>
      <c r="Q106" s="5"/>
      <c r="R106" s="113"/>
      <c r="S106" s="5"/>
      <c r="T106" s="5"/>
      <c r="U106" s="10"/>
    </row>
    <row r="107" spans="1:21" s="7" customFormat="1" ht="18" customHeight="1">
      <c r="A107" s="25"/>
      <c r="B107" s="5"/>
      <c r="C107" s="5"/>
      <c r="D107" s="5"/>
      <c r="E107" s="113"/>
      <c r="F107" s="5"/>
      <c r="G107" s="12"/>
      <c r="H107" s="12"/>
      <c r="I107" s="5"/>
      <c r="J107" s="113"/>
      <c r="K107" s="5"/>
      <c r="L107" s="5"/>
      <c r="M107" s="18"/>
      <c r="N107" s="113"/>
      <c r="O107" s="5"/>
      <c r="P107" s="5"/>
      <c r="Q107" s="5"/>
      <c r="R107" s="113"/>
      <c r="S107" s="5"/>
      <c r="T107" s="5"/>
      <c r="U107" s="10"/>
    </row>
    <row r="108" spans="1:21" s="7" customFormat="1" ht="18" customHeight="1">
      <c r="A108" s="25"/>
      <c r="B108" s="5"/>
      <c r="C108" s="5"/>
      <c r="D108" s="5"/>
      <c r="E108" s="113"/>
      <c r="F108" s="5"/>
      <c r="G108" s="12"/>
      <c r="H108" s="12"/>
      <c r="I108" s="5"/>
      <c r="J108" s="113"/>
      <c r="K108" s="5"/>
      <c r="L108" s="5"/>
      <c r="M108" s="18"/>
      <c r="N108" s="113"/>
      <c r="O108" s="5"/>
      <c r="P108" s="5"/>
      <c r="Q108" s="5"/>
      <c r="R108" s="113"/>
      <c r="S108" s="5"/>
      <c r="T108" s="5"/>
      <c r="U108" s="10"/>
    </row>
    <row r="109" spans="1:21" s="7" customFormat="1" ht="18" customHeight="1">
      <c r="A109" s="25"/>
      <c r="B109" s="5"/>
      <c r="C109" s="5"/>
      <c r="D109" s="5"/>
      <c r="E109" s="113"/>
      <c r="F109" s="5"/>
      <c r="G109" s="12"/>
      <c r="H109" s="12"/>
      <c r="I109" s="5"/>
      <c r="J109" s="113"/>
      <c r="K109" s="5"/>
      <c r="L109" s="5"/>
      <c r="M109" s="18"/>
      <c r="N109" s="113"/>
      <c r="O109" s="5"/>
      <c r="P109" s="5"/>
      <c r="Q109" s="5"/>
      <c r="R109" s="113"/>
      <c r="S109" s="5"/>
      <c r="T109" s="5"/>
      <c r="U109" s="10"/>
    </row>
    <row r="110" spans="1:21" s="7" customFormat="1" ht="18" customHeight="1">
      <c r="A110" s="21"/>
      <c r="B110" s="5"/>
      <c r="C110" s="14"/>
      <c r="D110" s="5" t="s">
        <v>65</v>
      </c>
      <c r="E110" s="118" t="s">
        <v>66</v>
      </c>
      <c r="F110" s="2" t="s">
        <v>69</v>
      </c>
      <c r="G110" s="13" t="s">
        <v>27</v>
      </c>
      <c r="H110" s="13" t="s">
        <v>347</v>
      </c>
      <c r="I110" s="2" t="s">
        <v>1</v>
      </c>
      <c r="J110" s="118"/>
      <c r="K110" s="2" t="s">
        <v>76</v>
      </c>
      <c r="L110" s="13"/>
      <c r="M110" s="18"/>
      <c r="N110" s="118"/>
      <c r="O110" s="2"/>
      <c r="P110" s="13"/>
      <c r="Q110" s="2"/>
      <c r="R110" s="118"/>
      <c r="S110" s="2"/>
      <c r="T110" s="2"/>
      <c r="U110" s="10"/>
    </row>
    <row r="111" spans="1:21">
      <c r="A111" s="21"/>
      <c r="B111" s="5"/>
      <c r="C111" s="426" t="s">
        <v>246</v>
      </c>
      <c r="D111" s="2">
        <f ca="1">SUMIF($C$10:$C$198,C111,$I$10:$I$12)</f>
        <v>41.216666666666669</v>
      </c>
      <c r="E111" s="2">
        <f ca="1">SUMIF($C$10:$C$198,C111,$M$10:$M$110)</f>
        <v>1.5833333333333333</v>
      </c>
      <c r="F111" s="2">
        <f ca="1">SUMIF($C$10:$C$198,C111,$Q$10:$Q$110)</f>
        <v>13.2</v>
      </c>
      <c r="G111" s="13">
        <f ca="1">SUM(D111:F111)</f>
        <v>56</v>
      </c>
      <c r="H111" s="13">
        <f ca="1">K111-G111</f>
        <v>56.5</v>
      </c>
      <c r="I111" s="2">
        <f>COUNTIF($C$10:$C$100,C111)</f>
        <v>11</v>
      </c>
      <c r="J111" s="118"/>
      <c r="K111" s="2">
        <f>I111*10+2.5</f>
        <v>112.5</v>
      </c>
      <c r="L111" s="13"/>
      <c r="M111" s="18"/>
      <c r="N111" s="118"/>
      <c r="O111" s="2"/>
      <c r="P111" s="13"/>
      <c r="Q111" s="2"/>
      <c r="R111" s="118"/>
      <c r="S111" s="2"/>
      <c r="T111" s="2"/>
    </row>
    <row r="112" spans="1:21">
      <c r="A112" s="22"/>
      <c r="B112" s="17"/>
      <c r="C112" s="426" t="s">
        <v>186</v>
      </c>
      <c r="D112" s="2">
        <f t="shared" ref="D112:D118" ca="1" si="8">SUMIF($C$10:$C$198,C112,$I$10:$I$12)</f>
        <v>46.716666666666669</v>
      </c>
      <c r="E112" s="2">
        <f t="shared" ref="E112:E118" ca="1" si="9">SUMIF($C$10:$C$198,C112,$M$10:$M$110)</f>
        <v>3.65</v>
      </c>
      <c r="F112" s="2">
        <f t="shared" ref="F112:F118" ca="1" si="10">SUMIF($C$10:$C$198,C112,$Q$10:$Q$110)</f>
        <v>14.733333333333333</v>
      </c>
      <c r="G112" s="13">
        <f t="shared" ref="G112:G118" ca="1" si="11">SUM(D112:F112)</f>
        <v>65.099999999999994</v>
      </c>
      <c r="H112" s="13">
        <f t="shared" ref="H112:H118" ca="1" si="12">K112-G112</f>
        <v>109.4</v>
      </c>
      <c r="I112" s="2">
        <f t="shared" ref="I112:I118" si="13">COUNTIF($C$10:$C$100,C112)</f>
        <v>17</v>
      </c>
      <c r="J112" s="119"/>
      <c r="K112" s="2">
        <f>I112*10+4.5</f>
        <v>174.5</v>
      </c>
      <c r="L112" s="17"/>
      <c r="M112" s="18"/>
      <c r="N112" s="119"/>
      <c r="O112" s="17"/>
      <c r="P112" s="17"/>
      <c r="Q112" s="17"/>
      <c r="R112" s="119"/>
      <c r="S112" s="717"/>
      <c r="T112" s="3"/>
    </row>
    <row r="113" spans="1:20">
      <c r="A113" s="22"/>
      <c r="B113" s="17"/>
      <c r="C113" s="433" t="s">
        <v>97</v>
      </c>
      <c r="D113" s="2">
        <f t="shared" ca="1" si="8"/>
        <v>6.6833333333333336</v>
      </c>
      <c r="E113" s="2">
        <f t="shared" ca="1" si="9"/>
        <v>0.8833333333333333</v>
      </c>
      <c r="F113" s="2">
        <f t="shared" ca="1" si="10"/>
        <v>11.5</v>
      </c>
      <c r="G113" s="13">
        <f t="shared" ca="1" si="11"/>
        <v>19.066666666666666</v>
      </c>
      <c r="H113" s="13">
        <f t="shared" ca="1" si="12"/>
        <v>20.933333333333334</v>
      </c>
      <c r="I113" s="2">
        <f t="shared" si="13"/>
        <v>4</v>
      </c>
      <c r="J113" s="119"/>
      <c r="K113" s="2">
        <f t="shared" ref="K113:K118" si="14">I113*10</f>
        <v>40</v>
      </c>
      <c r="L113" s="17"/>
      <c r="M113" s="18"/>
      <c r="N113" s="119"/>
      <c r="O113" s="17"/>
      <c r="P113" s="17"/>
      <c r="Q113" s="17"/>
      <c r="R113" s="119"/>
      <c r="S113" s="717"/>
      <c r="T113" s="3"/>
    </row>
    <row r="114" spans="1:20">
      <c r="A114" s="22"/>
      <c r="B114" s="17"/>
      <c r="C114" s="17" t="s">
        <v>215</v>
      </c>
      <c r="D114" s="2">
        <f t="shared" ca="1" si="8"/>
        <v>6.8666666666666663</v>
      </c>
      <c r="E114" s="2">
        <f t="shared" ca="1" si="9"/>
        <v>0</v>
      </c>
      <c r="F114" s="2">
        <f t="shared" ca="1" si="10"/>
        <v>5.4333333333333336</v>
      </c>
      <c r="G114" s="13">
        <f t="shared" ca="1" si="11"/>
        <v>12.3</v>
      </c>
      <c r="H114" s="13">
        <f t="shared" ca="1" si="12"/>
        <v>27.7</v>
      </c>
      <c r="I114" s="2">
        <f t="shared" si="13"/>
        <v>4</v>
      </c>
      <c r="J114" s="119"/>
      <c r="K114" s="2">
        <f t="shared" si="14"/>
        <v>40</v>
      </c>
      <c r="L114" s="17"/>
      <c r="M114" s="18"/>
      <c r="N114" s="119"/>
      <c r="O114" s="17"/>
      <c r="P114" s="17"/>
      <c r="Q114" s="17"/>
      <c r="R114" s="119"/>
      <c r="S114" s="717"/>
      <c r="T114" s="3"/>
    </row>
    <row r="115" spans="1:20">
      <c r="A115" s="22"/>
      <c r="B115" s="17"/>
      <c r="C115" s="17" t="s">
        <v>223</v>
      </c>
      <c r="D115" s="2">
        <f t="shared" ca="1" si="8"/>
        <v>5.5</v>
      </c>
      <c r="E115" s="2">
        <f t="shared" ca="1" si="9"/>
        <v>0</v>
      </c>
      <c r="F115" s="2">
        <f t="shared" ca="1" si="10"/>
        <v>2.2000000000000002</v>
      </c>
      <c r="G115" s="13">
        <f t="shared" ca="1" si="11"/>
        <v>7.7</v>
      </c>
      <c r="H115" s="13">
        <f t="shared" ca="1" si="12"/>
        <v>12.8</v>
      </c>
      <c r="I115" s="2">
        <f t="shared" si="13"/>
        <v>2</v>
      </c>
      <c r="J115" s="119"/>
      <c r="K115" s="2">
        <f>I115*10+0.5</f>
        <v>20.5</v>
      </c>
      <c r="L115" s="17"/>
      <c r="M115" s="18"/>
      <c r="N115" s="119"/>
      <c r="O115" s="17"/>
      <c r="P115" s="17"/>
      <c r="Q115" s="17"/>
      <c r="R115" s="119"/>
      <c r="S115" s="717"/>
      <c r="T115" s="3"/>
    </row>
    <row r="116" spans="1:20">
      <c r="A116" s="22"/>
      <c r="B116" s="17"/>
      <c r="C116" s="17" t="s">
        <v>216</v>
      </c>
      <c r="D116" s="2">
        <f t="shared" ca="1" si="8"/>
        <v>4.0166666666666666</v>
      </c>
      <c r="E116" s="2">
        <f t="shared" ca="1" si="9"/>
        <v>0</v>
      </c>
      <c r="F116" s="2">
        <f t="shared" ca="1" si="10"/>
        <v>8.2166666666666668</v>
      </c>
      <c r="G116" s="13">
        <f t="shared" ca="1" si="11"/>
        <v>12.233333333333334</v>
      </c>
      <c r="H116" s="13">
        <f t="shared" ca="1" si="12"/>
        <v>7.7666666666666657</v>
      </c>
      <c r="I116" s="2">
        <f t="shared" si="13"/>
        <v>2</v>
      </c>
      <c r="J116" s="119"/>
      <c r="K116" s="2">
        <f t="shared" si="14"/>
        <v>20</v>
      </c>
      <c r="L116" s="17"/>
      <c r="M116" s="18"/>
      <c r="N116" s="119"/>
      <c r="O116" s="17"/>
      <c r="P116" s="17"/>
      <c r="Q116" s="17"/>
      <c r="R116" s="119"/>
      <c r="S116" s="518"/>
      <c r="T116" s="3"/>
    </row>
    <row r="117" spans="1:20">
      <c r="A117" s="22"/>
      <c r="B117" s="17"/>
      <c r="C117" s="17" t="s">
        <v>228</v>
      </c>
      <c r="D117" s="2">
        <f t="shared" ca="1" si="8"/>
        <v>0</v>
      </c>
      <c r="E117" s="2">
        <f t="shared" ca="1" si="9"/>
        <v>0</v>
      </c>
      <c r="F117" s="2">
        <f t="shared" ca="1" si="10"/>
        <v>0</v>
      </c>
      <c r="G117" s="13">
        <f t="shared" ca="1" si="11"/>
        <v>0</v>
      </c>
      <c r="H117" s="13">
        <f t="shared" ca="1" si="12"/>
        <v>0</v>
      </c>
      <c r="I117" s="2">
        <f t="shared" si="13"/>
        <v>0</v>
      </c>
      <c r="J117" s="119"/>
      <c r="K117" s="2">
        <f t="shared" si="14"/>
        <v>0</v>
      </c>
      <c r="L117" s="17"/>
      <c r="M117" s="18"/>
      <c r="N117" s="119"/>
      <c r="O117" s="17"/>
      <c r="P117" s="17"/>
      <c r="Q117" s="17"/>
      <c r="R117" s="119"/>
      <c r="S117" s="518"/>
      <c r="T117" s="3"/>
    </row>
    <row r="118" spans="1:20">
      <c r="A118" s="21"/>
      <c r="B118" s="8"/>
      <c r="C118" s="53" t="s">
        <v>37</v>
      </c>
      <c r="D118" s="2">
        <f t="shared" ca="1" si="8"/>
        <v>0</v>
      </c>
      <c r="E118" s="2">
        <f t="shared" ca="1" si="9"/>
        <v>0</v>
      </c>
      <c r="F118" s="2">
        <f t="shared" ca="1" si="10"/>
        <v>0</v>
      </c>
      <c r="G118" s="13">
        <f t="shared" ca="1" si="11"/>
        <v>0</v>
      </c>
      <c r="H118" s="13">
        <f t="shared" ca="1" si="12"/>
        <v>0</v>
      </c>
      <c r="I118" s="2">
        <f t="shared" si="13"/>
        <v>0</v>
      </c>
      <c r="J118" s="120"/>
      <c r="K118" s="2">
        <f t="shared" si="14"/>
        <v>0</v>
      </c>
      <c r="L118" s="3"/>
      <c r="M118" s="18"/>
      <c r="N118" s="120"/>
      <c r="O118" s="3"/>
      <c r="P118" s="3"/>
      <c r="Q118" s="3"/>
      <c r="R118" s="120"/>
      <c r="S118" s="3"/>
      <c r="T118" s="3"/>
    </row>
    <row r="119" spans="1:20">
      <c r="A119" s="21"/>
      <c r="B119" s="5"/>
      <c r="C119" s="12"/>
      <c r="D119" s="5"/>
      <c r="E119" s="118"/>
      <c r="F119" s="2"/>
      <c r="G119" s="13"/>
      <c r="H119" s="13"/>
      <c r="I119" s="13"/>
      <c r="J119" s="13"/>
      <c r="K119" s="13">
        <f>SUM(K111:K118)</f>
        <v>407.5</v>
      </c>
      <c r="L119" s="13"/>
      <c r="M119" s="18"/>
      <c r="N119" s="118"/>
      <c r="O119" s="2"/>
      <c r="P119" s="13"/>
      <c r="Q119" s="2"/>
      <c r="R119" s="118"/>
      <c r="S119" s="2"/>
      <c r="T119" s="13"/>
    </row>
    <row r="120" spans="1:20">
      <c r="A120" s="21"/>
      <c r="B120" s="5"/>
      <c r="C120" s="12"/>
      <c r="D120" s="2">
        <f ca="1">SUM(D111:D119)</f>
        <v>111</v>
      </c>
      <c r="E120" s="2">
        <f ca="1">SUM(E111:E119)</f>
        <v>6.1166666666666671</v>
      </c>
      <c r="F120" s="2">
        <f ca="1">SUM(F111:F119)</f>
        <v>55.283333333333331</v>
      </c>
      <c r="G120" s="2">
        <f ca="1">SUM(G111:G119)</f>
        <v>172.39999999999998</v>
      </c>
      <c r="H120" s="2">
        <f ca="1">SUM(H111:H119)</f>
        <v>235.10000000000002</v>
      </c>
      <c r="I120" s="2"/>
      <c r="J120" s="118"/>
      <c r="K120" s="2">
        <f>G119/K119*100</f>
        <v>0</v>
      </c>
      <c r="L120" s="13"/>
      <c r="M120" s="2"/>
      <c r="N120" s="118"/>
      <c r="O120" s="2"/>
      <c r="P120" s="13"/>
      <c r="Q120" s="2"/>
      <c r="R120" s="118"/>
      <c r="S120" s="2"/>
      <c r="T120" s="13"/>
    </row>
    <row r="121" spans="1:20">
      <c r="A121" s="21"/>
      <c r="B121" s="5"/>
      <c r="C121" s="12"/>
      <c r="D121" s="5"/>
      <c r="E121" s="118"/>
      <c r="F121" s="2"/>
      <c r="G121" s="13"/>
      <c r="H121" s="13"/>
      <c r="I121" s="2"/>
      <c r="J121" s="118"/>
      <c r="K121" s="2"/>
      <c r="L121" s="13"/>
      <c r="M121" s="2"/>
      <c r="N121" s="118"/>
      <c r="O121" s="2"/>
      <c r="P121" s="13"/>
      <c r="Q121" s="2"/>
      <c r="R121" s="118"/>
      <c r="S121" s="2"/>
      <c r="T121" s="13"/>
    </row>
    <row r="122" spans="1:20">
      <c r="A122" s="21"/>
      <c r="B122" s="8"/>
      <c r="C122" s="11"/>
      <c r="D122" s="8"/>
      <c r="E122" s="120"/>
      <c r="F122" s="3"/>
      <c r="G122" s="15"/>
      <c r="H122" s="15"/>
      <c r="I122" s="3"/>
      <c r="J122" s="120"/>
      <c r="K122" s="3"/>
      <c r="L122" s="3"/>
      <c r="M122" s="3"/>
      <c r="N122" s="120"/>
      <c r="O122" s="3"/>
      <c r="P122" s="3"/>
      <c r="Q122" s="3"/>
      <c r="R122" s="120"/>
      <c r="S122" s="3"/>
      <c r="T122" s="3"/>
    </row>
    <row r="123" spans="1:20">
      <c r="A123" s="21"/>
      <c r="B123" s="5"/>
      <c r="C123" s="12"/>
      <c r="D123" s="5"/>
      <c r="E123" s="118"/>
      <c r="F123" s="2"/>
      <c r="G123" s="13"/>
      <c r="H123" s="13"/>
      <c r="I123" s="2"/>
      <c r="J123" s="118"/>
      <c r="K123" s="2"/>
      <c r="L123" s="13"/>
      <c r="M123" s="2"/>
      <c r="N123" s="118"/>
      <c r="O123" s="2"/>
      <c r="P123" s="13"/>
      <c r="Q123" s="2"/>
      <c r="R123" s="118"/>
      <c r="S123" s="2"/>
      <c r="T123" s="13"/>
    </row>
    <row r="124" spans="1:20">
      <c r="A124" s="21"/>
      <c r="B124" s="8"/>
      <c r="C124" s="11"/>
      <c r="D124" s="8"/>
      <c r="E124" s="120"/>
      <c r="F124" s="3"/>
      <c r="G124" s="15"/>
      <c r="H124" s="15"/>
      <c r="I124" s="3"/>
      <c r="J124" s="120"/>
      <c r="K124" s="3"/>
      <c r="L124" s="3"/>
      <c r="M124" s="3"/>
      <c r="N124" s="120"/>
      <c r="O124" s="3"/>
      <c r="P124" s="3"/>
      <c r="Q124" s="3"/>
      <c r="R124" s="120"/>
      <c r="S124" s="3"/>
      <c r="T124" s="3"/>
    </row>
    <row r="125" spans="1:20">
      <c r="A125" s="21"/>
      <c r="B125" s="8"/>
      <c r="C125" s="11"/>
      <c r="D125" s="8"/>
      <c r="E125" s="120"/>
      <c r="F125" s="3"/>
      <c r="G125" s="15"/>
      <c r="H125" s="15"/>
      <c r="I125" s="3"/>
      <c r="J125" s="120"/>
      <c r="K125" s="3"/>
      <c r="L125" s="3"/>
      <c r="M125" s="3"/>
      <c r="N125" s="120"/>
      <c r="O125" s="3"/>
      <c r="P125" s="3"/>
      <c r="Q125" s="3"/>
      <c r="R125" s="120"/>
      <c r="S125" s="3"/>
      <c r="T125" s="3"/>
    </row>
    <row r="126" spans="1:20">
      <c r="A126" s="21"/>
      <c r="B126" s="8"/>
      <c r="C126" s="11"/>
      <c r="D126" s="8"/>
      <c r="E126" s="120"/>
      <c r="F126" s="3"/>
      <c r="G126" s="15"/>
      <c r="H126" s="15"/>
      <c r="I126" s="3"/>
      <c r="J126" s="120"/>
      <c r="K126" s="3"/>
      <c r="L126" s="3"/>
      <c r="M126" s="3"/>
      <c r="N126" s="120"/>
      <c r="O126" s="3"/>
      <c r="P126" s="3"/>
      <c r="Q126" s="3"/>
      <c r="R126" s="120"/>
      <c r="S126" s="3"/>
      <c r="T126" s="3"/>
    </row>
    <row r="127" spans="1:20">
      <c r="A127" s="21"/>
      <c r="B127" s="5"/>
      <c r="C127" s="696"/>
      <c r="D127" s="696"/>
      <c r="E127" s="696"/>
      <c r="F127" s="5"/>
      <c r="G127" s="12"/>
      <c r="H127" s="12"/>
      <c r="I127" s="5"/>
      <c r="J127" s="113"/>
      <c r="K127" s="5"/>
      <c r="L127" s="5"/>
      <c r="M127" s="5"/>
      <c r="N127" s="113"/>
      <c r="O127" s="5"/>
      <c r="P127" s="5"/>
      <c r="Q127" s="696"/>
      <c r="R127" s="696"/>
      <c r="S127" s="696"/>
      <c r="T127" s="5"/>
    </row>
    <row r="128" spans="1:20">
      <c r="A128" s="21"/>
      <c r="B128" s="5"/>
      <c r="C128" s="5"/>
      <c r="D128" s="5"/>
      <c r="E128" s="113"/>
      <c r="F128" s="5"/>
      <c r="G128" s="12"/>
      <c r="H128" s="12"/>
      <c r="I128" s="5"/>
      <c r="J128" s="113"/>
      <c r="K128" s="5"/>
      <c r="L128" s="5"/>
      <c r="M128" s="5"/>
      <c r="N128" s="113"/>
      <c r="O128" s="5"/>
      <c r="P128" s="5"/>
      <c r="Q128" s="5"/>
      <c r="R128" s="113"/>
      <c r="S128" s="5"/>
      <c r="T128" s="5"/>
    </row>
    <row r="129" spans="1:20" ht="15.75">
      <c r="A129" s="21"/>
      <c r="B129" s="5"/>
      <c r="C129" s="715"/>
      <c r="D129" s="715"/>
      <c r="E129" s="715"/>
      <c r="F129" s="5"/>
      <c r="G129" s="12"/>
      <c r="H129" s="12"/>
      <c r="I129" s="5"/>
      <c r="J129" s="113"/>
      <c r="K129" s="5"/>
      <c r="L129" s="5"/>
      <c r="M129" s="5"/>
      <c r="N129" s="113"/>
      <c r="O129" s="5"/>
      <c r="P129" s="5"/>
      <c r="Q129" s="715"/>
      <c r="R129" s="715"/>
      <c r="S129" s="715"/>
      <c r="T129" s="5"/>
    </row>
    <row r="130" spans="1:20">
      <c r="A130" s="21"/>
      <c r="B130" s="5"/>
      <c r="C130" s="5"/>
      <c r="D130" s="5"/>
      <c r="E130" s="113"/>
      <c r="F130" s="5"/>
      <c r="G130" s="12"/>
      <c r="H130" s="12"/>
      <c r="I130" s="5"/>
      <c r="J130" s="113"/>
      <c r="K130" s="5"/>
      <c r="L130" s="5"/>
      <c r="M130" s="5"/>
      <c r="N130" s="113"/>
      <c r="O130" s="5"/>
      <c r="P130" s="5"/>
      <c r="Q130" s="5"/>
      <c r="R130" s="113"/>
      <c r="S130" s="5"/>
      <c r="T130" s="5"/>
    </row>
    <row r="131" spans="1:20">
      <c r="A131" s="23"/>
    </row>
    <row r="132" spans="1:20">
      <c r="A132" s="23"/>
    </row>
    <row r="133" spans="1:20">
      <c r="A133" s="23"/>
    </row>
    <row r="134" spans="1:20">
      <c r="A134" s="23"/>
    </row>
    <row r="135" spans="1:20">
      <c r="A135" s="23"/>
    </row>
    <row r="136" spans="1:20">
      <c r="A136" s="23"/>
    </row>
    <row r="137" spans="1:20">
      <c r="A137" s="23"/>
    </row>
    <row r="138" spans="1:20">
      <c r="A138" s="23"/>
    </row>
    <row r="139" spans="1:20">
      <c r="A139" s="23"/>
    </row>
    <row r="140" spans="1:20">
      <c r="A140" s="23"/>
    </row>
    <row r="141" spans="1:20">
      <c r="A141" s="23"/>
    </row>
    <row r="142" spans="1:20">
      <c r="A142" s="23"/>
    </row>
    <row r="143" spans="1:20">
      <c r="A143" s="23"/>
    </row>
    <row r="144" spans="1:20">
      <c r="A144" s="23"/>
    </row>
    <row r="145" spans="1:1">
      <c r="A145" s="23"/>
    </row>
    <row r="146" spans="1:1">
      <c r="A146" s="23"/>
    </row>
    <row r="147" spans="1:1">
      <c r="A147" s="23"/>
    </row>
    <row r="148" spans="1:1">
      <c r="A148" s="23"/>
    </row>
    <row r="149" spans="1:1">
      <c r="A149" s="23"/>
    </row>
    <row r="150" spans="1:1">
      <c r="A150" s="23"/>
    </row>
    <row r="151" spans="1:1">
      <c r="A151" s="23"/>
    </row>
    <row r="152" spans="1:1">
      <c r="A152" s="23"/>
    </row>
    <row r="153" spans="1:1">
      <c r="A153" s="23"/>
    </row>
    <row r="154" spans="1:1">
      <c r="A154" s="23"/>
    </row>
    <row r="155" spans="1:1">
      <c r="A155" s="23"/>
    </row>
    <row r="156" spans="1:1">
      <c r="A156" s="23"/>
    </row>
    <row r="157" spans="1:1">
      <c r="A157" s="23"/>
    </row>
    <row r="158" spans="1:1">
      <c r="A158" s="23"/>
    </row>
    <row r="159" spans="1:1">
      <c r="A159" s="23"/>
    </row>
    <row r="160" spans="1:1">
      <c r="A160" s="23"/>
    </row>
    <row r="161" spans="1:1">
      <c r="A161" s="23"/>
    </row>
    <row r="162" spans="1:1">
      <c r="A162" s="23"/>
    </row>
    <row r="163" spans="1:1">
      <c r="A163" s="23"/>
    </row>
    <row r="164" spans="1:1">
      <c r="A164" s="23"/>
    </row>
    <row r="165" spans="1:1">
      <c r="A165" s="23"/>
    </row>
    <row r="166" spans="1:1">
      <c r="A166" s="23"/>
    </row>
    <row r="167" spans="1:1">
      <c r="A167" s="23"/>
    </row>
  </sheetData>
  <mergeCells count="25">
    <mergeCell ref="S112:S115"/>
    <mergeCell ref="C127:E127"/>
    <mergeCell ref="Q127:S127"/>
    <mergeCell ref="C129:E129"/>
    <mergeCell ref="Q129:S129"/>
    <mergeCell ref="Q8:R8"/>
    <mergeCell ref="S8:T8"/>
    <mergeCell ref="C91:F91"/>
    <mergeCell ref="P91:T91"/>
    <mergeCell ref="C94:F94"/>
    <mergeCell ref="P94:T94"/>
    <mergeCell ref="D8:E8"/>
    <mergeCell ref="F8:G8"/>
    <mergeCell ref="I8:J8"/>
    <mergeCell ref="K8:L8"/>
    <mergeCell ref="M8:N8"/>
    <mergeCell ref="O8:P8"/>
    <mergeCell ref="R1:T1"/>
    <mergeCell ref="R2:T2"/>
    <mergeCell ref="A4:S4"/>
    <mergeCell ref="A5:T5"/>
    <mergeCell ref="D7:G7"/>
    <mergeCell ref="I7:L7"/>
    <mergeCell ref="M7:P7"/>
    <mergeCell ref="Q7:T7"/>
  </mergeCells>
  <phoneticPr fontId="0" type="noConversion"/>
  <pageMargins left="0.25" right="0.23" top="0.45" bottom="0.51" header="0.32" footer="0.22"/>
  <pageSetup orientation="landscape" r:id="rId1"/>
  <headerFooter alignWithMargins="0">
    <oddFooter>&amp;L&amp;".VnTime, Bold"&amp;10&amp;UN¬i göi: &amp;".VnTime,Regular"&amp;12&amp;U   &amp;".VnTime,  Italic"&amp;9Ban Gi¸m ®èc
                   L­u PX c¸n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7"/>
  <sheetViews>
    <sheetView tabSelected="1" view="pageLayout" zoomScaleNormal="75" workbookViewId="0">
      <selection activeCell="AB16" sqref="AB16"/>
    </sheetView>
  </sheetViews>
  <sheetFormatPr defaultColWidth="8.875" defaultRowHeight="15"/>
  <cols>
    <col min="1" max="1" width="6" style="16" customWidth="1"/>
    <col min="2" max="2" width="8.125" style="16" customWidth="1"/>
    <col min="3" max="3" width="6.875" style="16" customWidth="1"/>
    <col min="4" max="4" width="4.5" customWidth="1"/>
    <col min="5" max="5" width="6.25" style="121" customWidth="1"/>
    <col min="6" max="6" width="4.5" customWidth="1"/>
    <col min="7" max="7" width="4.5" style="16" customWidth="1"/>
    <col min="8" max="8" width="9.375" style="16" customWidth="1"/>
    <col min="9" max="9" width="4.125" style="16" bestFit="1" customWidth="1"/>
    <col min="10" max="10" width="9.375" style="16" customWidth="1"/>
    <col min="11" max="11" width="3.625" style="16" customWidth="1"/>
    <col min="12" max="12" width="9.375" style="16" customWidth="1"/>
    <col min="13" max="13" width="4.125" style="16" bestFit="1" customWidth="1"/>
    <col min="14" max="14" width="9.375" customWidth="1"/>
    <col min="15" max="15" width="4.125" style="121" bestFit="1" customWidth="1"/>
    <col min="16" max="16" width="9.375" customWidth="1"/>
    <col min="17" max="17" width="4.125" bestFit="1" customWidth="1"/>
    <col min="18" max="18" width="9.375" customWidth="1"/>
    <col min="19" max="19" width="3.875" style="121" customWidth="1"/>
    <col min="20" max="20" width="10.125" customWidth="1"/>
    <col min="21" max="21" width="4.125" bestFit="1" customWidth="1"/>
    <col min="22" max="22" width="1.625" style="620" customWidth="1"/>
    <col min="23" max="16384" width="8.875" style="620"/>
  </cols>
  <sheetData>
    <row r="1" spans="1:21" s="5" customFormat="1" ht="25.5" customHeight="1" thickTop="1">
      <c r="A1" s="741" t="s">
        <v>363</v>
      </c>
      <c r="B1" s="742"/>
      <c r="C1" s="742"/>
      <c r="D1" s="742"/>
      <c r="E1" s="742"/>
      <c r="F1" s="742"/>
      <c r="G1" s="742"/>
      <c r="H1" s="742"/>
      <c r="I1" s="742"/>
      <c r="J1" s="742"/>
      <c r="K1" s="742"/>
      <c r="L1" s="742"/>
      <c r="M1" s="742"/>
      <c r="N1" s="742"/>
      <c r="O1" s="742"/>
      <c r="P1" s="742"/>
      <c r="Q1" s="742"/>
      <c r="R1" s="742"/>
      <c r="S1" s="742"/>
      <c r="T1" s="742"/>
      <c r="U1" s="742"/>
    </row>
    <row r="2" spans="1:21" s="5" customFormat="1" ht="18.75">
      <c r="A2" s="743" t="s">
        <v>355</v>
      </c>
      <c r="B2" s="743"/>
      <c r="C2" s="743"/>
      <c r="D2" s="743"/>
      <c r="E2" s="743"/>
      <c r="F2" s="743"/>
      <c r="G2" s="743"/>
      <c r="H2" s="743"/>
      <c r="I2" s="743"/>
      <c r="J2" s="743"/>
      <c r="K2" s="743"/>
      <c r="L2" s="743"/>
      <c r="M2" s="743"/>
      <c r="N2" s="743"/>
      <c r="O2" s="743"/>
      <c r="P2" s="743"/>
      <c r="Q2" s="743"/>
      <c r="R2" s="743"/>
      <c r="S2" s="743"/>
      <c r="T2" s="743"/>
      <c r="U2" s="743"/>
    </row>
    <row r="3" spans="1:21" s="5" customFormat="1" ht="18" customHeight="1">
      <c r="A3" s="139"/>
      <c r="B3" s="618"/>
      <c r="C3" s="618"/>
      <c r="D3" s="141"/>
      <c r="E3" s="9"/>
      <c r="F3" s="9"/>
      <c r="G3" s="9"/>
      <c r="H3" s="9"/>
      <c r="I3" s="9"/>
      <c r="J3" s="9"/>
      <c r="K3" s="9"/>
      <c r="L3" s="9"/>
      <c r="M3" s="9"/>
      <c r="N3" s="617"/>
      <c r="O3" s="617"/>
      <c r="P3" s="617"/>
      <c r="Q3" s="617"/>
      <c r="R3" s="139"/>
      <c r="S3" s="139"/>
      <c r="T3" s="139"/>
      <c r="U3" s="139"/>
    </row>
    <row r="4" spans="1:21" s="622" customFormat="1" ht="17.100000000000001" customHeight="1">
      <c r="A4" s="747" t="s">
        <v>348</v>
      </c>
      <c r="B4" s="749" t="s">
        <v>357</v>
      </c>
      <c r="C4" s="749" t="s">
        <v>350</v>
      </c>
      <c r="D4" s="751" t="s">
        <v>351</v>
      </c>
      <c r="E4" s="751"/>
      <c r="F4" s="751"/>
      <c r="G4" s="751"/>
      <c r="H4" s="751" t="s">
        <v>352</v>
      </c>
      <c r="I4" s="751"/>
      <c r="J4" s="751"/>
      <c r="K4" s="751"/>
      <c r="L4" s="751"/>
      <c r="M4" s="751"/>
      <c r="N4" s="753" t="s">
        <v>358</v>
      </c>
      <c r="O4" s="752"/>
      <c r="P4" s="752"/>
      <c r="Q4" s="752"/>
      <c r="R4" s="752"/>
      <c r="S4" s="752"/>
      <c r="T4" s="746" t="s">
        <v>353</v>
      </c>
      <c r="U4" s="746"/>
    </row>
    <row r="5" spans="1:21" s="622" customFormat="1" ht="17.100000000000001" customHeight="1">
      <c r="A5" s="748"/>
      <c r="B5" s="750"/>
      <c r="C5" s="750"/>
      <c r="D5" s="751"/>
      <c r="E5" s="751"/>
      <c r="F5" s="751"/>
      <c r="G5" s="751"/>
      <c r="H5" s="744" t="s">
        <v>359</v>
      </c>
      <c r="I5" s="745"/>
      <c r="J5" s="744" t="s">
        <v>360</v>
      </c>
      <c r="K5" s="745"/>
      <c r="L5" s="753" t="s">
        <v>361</v>
      </c>
      <c r="M5" s="752"/>
      <c r="N5" s="753" t="s">
        <v>361</v>
      </c>
      <c r="O5" s="752"/>
      <c r="P5" s="744" t="s">
        <v>360</v>
      </c>
      <c r="Q5" s="745"/>
      <c r="R5" s="752" t="s">
        <v>362</v>
      </c>
      <c r="S5" s="752"/>
      <c r="T5" s="746"/>
      <c r="U5" s="746"/>
    </row>
    <row r="6" spans="1:21" s="622" customFormat="1" ht="17.25" customHeight="1">
      <c r="A6" s="748"/>
      <c r="B6" s="750"/>
      <c r="C6" s="750"/>
      <c r="D6" s="751" t="s">
        <v>354</v>
      </c>
      <c r="E6" s="751"/>
      <c r="F6" s="751" t="s">
        <v>20</v>
      </c>
      <c r="G6" s="751"/>
      <c r="H6" s="643" t="s">
        <v>354</v>
      </c>
      <c r="I6" s="644" t="s">
        <v>349</v>
      </c>
      <c r="J6" s="643" t="s">
        <v>354</v>
      </c>
      <c r="K6" s="644" t="s">
        <v>349</v>
      </c>
      <c r="L6" s="643" t="s">
        <v>354</v>
      </c>
      <c r="M6" s="644" t="s">
        <v>349</v>
      </c>
      <c r="N6" s="643" t="s">
        <v>354</v>
      </c>
      <c r="O6" s="644" t="s">
        <v>349</v>
      </c>
      <c r="P6" s="643" t="s">
        <v>354</v>
      </c>
      <c r="Q6" s="644" t="s">
        <v>349</v>
      </c>
      <c r="R6" s="643" t="s">
        <v>354</v>
      </c>
      <c r="S6" s="644" t="s">
        <v>349</v>
      </c>
      <c r="T6" s="643" t="s">
        <v>354</v>
      </c>
      <c r="U6" s="644" t="s">
        <v>349</v>
      </c>
    </row>
    <row r="7" spans="1:21" s="621" customFormat="1" ht="28.35" customHeight="1">
      <c r="A7" s="628"/>
      <c r="B7" s="629"/>
      <c r="C7" s="630"/>
      <c r="D7" s="631"/>
      <c r="E7" s="632"/>
      <c r="F7" s="631"/>
      <c r="G7" s="632"/>
      <c r="H7" s="633"/>
      <c r="I7" s="632"/>
      <c r="J7" s="633"/>
      <c r="K7" s="632"/>
      <c r="L7" s="633"/>
      <c r="M7" s="632"/>
      <c r="N7" s="633"/>
      <c r="O7" s="632"/>
      <c r="P7" s="633"/>
      <c r="Q7" s="632"/>
      <c r="R7" s="633"/>
      <c r="S7" s="632"/>
      <c r="T7" s="633"/>
      <c r="U7" s="633"/>
    </row>
    <row r="8" spans="1:21" s="621" customFormat="1" ht="28.35" customHeight="1">
      <c r="A8" s="634"/>
      <c r="B8" s="629"/>
      <c r="C8" s="630"/>
      <c r="D8" s="631"/>
      <c r="E8" s="632"/>
      <c r="F8" s="631"/>
      <c r="G8" s="632"/>
      <c r="H8" s="633"/>
      <c r="I8" s="632"/>
      <c r="J8" s="633"/>
      <c r="K8" s="632"/>
      <c r="L8" s="633"/>
      <c r="M8" s="632"/>
      <c r="N8" s="633"/>
      <c r="O8" s="632"/>
      <c r="P8" s="633"/>
      <c r="Q8" s="632"/>
      <c r="R8" s="633"/>
      <c r="S8" s="632"/>
      <c r="T8" s="633"/>
      <c r="U8" s="633"/>
    </row>
    <row r="9" spans="1:21" s="621" customFormat="1" ht="28.35" customHeight="1">
      <c r="A9" s="634"/>
      <c r="B9" s="629"/>
      <c r="C9" s="630"/>
      <c r="D9" s="631"/>
      <c r="E9" s="632"/>
      <c r="F9" s="631"/>
      <c r="G9" s="632"/>
      <c r="H9" s="633"/>
      <c r="I9" s="632"/>
      <c r="J9" s="633"/>
      <c r="K9" s="632"/>
      <c r="L9" s="633"/>
      <c r="M9" s="632"/>
      <c r="N9" s="633"/>
      <c r="O9" s="632"/>
      <c r="P9" s="633"/>
      <c r="Q9" s="632"/>
      <c r="R9" s="633"/>
      <c r="S9" s="632"/>
      <c r="T9" s="633"/>
      <c r="U9" s="633"/>
    </row>
    <row r="10" spans="1:21" s="621" customFormat="1" ht="28.35" customHeight="1">
      <c r="A10" s="628"/>
      <c r="B10" s="629"/>
      <c r="C10" s="630"/>
      <c r="D10" s="631"/>
      <c r="E10" s="632"/>
      <c r="F10" s="631"/>
      <c r="G10" s="632"/>
      <c r="H10" s="633"/>
      <c r="I10" s="632"/>
      <c r="J10" s="633"/>
      <c r="K10" s="632"/>
      <c r="L10" s="633"/>
      <c r="M10" s="632"/>
      <c r="N10" s="633"/>
      <c r="O10" s="632"/>
      <c r="P10" s="633"/>
      <c r="Q10" s="632"/>
      <c r="R10" s="633"/>
      <c r="S10" s="632"/>
      <c r="T10" s="633"/>
      <c r="U10" s="633"/>
    </row>
    <row r="11" spans="1:21" s="621" customFormat="1" ht="28.35" customHeight="1">
      <c r="A11" s="628"/>
      <c r="B11" s="629"/>
      <c r="C11" s="630"/>
      <c r="D11" s="631"/>
      <c r="E11" s="632"/>
      <c r="F11" s="631"/>
      <c r="G11" s="632"/>
      <c r="H11" s="633"/>
      <c r="I11" s="632"/>
      <c r="J11" s="633"/>
      <c r="K11" s="632"/>
      <c r="L11" s="633"/>
      <c r="M11" s="632"/>
      <c r="N11" s="633"/>
      <c r="O11" s="632"/>
      <c r="P11" s="633"/>
      <c r="Q11" s="632"/>
      <c r="R11" s="633"/>
      <c r="S11" s="632"/>
      <c r="T11" s="633"/>
      <c r="U11" s="633"/>
    </row>
    <row r="12" spans="1:21" s="621" customFormat="1" ht="28.35" customHeight="1">
      <c r="A12" s="628"/>
      <c r="B12" s="629"/>
      <c r="C12" s="630"/>
      <c r="D12" s="631"/>
      <c r="E12" s="632"/>
      <c r="F12" s="631"/>
      <c r="G12" s="632"/>
      <c r="H12" s="633"/>
      <c r="I12" s="632"/>
      <c r="J12" s="633"/>
      <c r="K12" s="632"/>
      <c r="L12" s="633"/>
      <c r="M12" s="632"/>
      <c r="N12" s="633"/>
      <c r="O12" s="632"/>
      <c r="P12" s="633"/>
      <c r="Q12" s="632"/>
      <c r="R12" s="633"/>
      <c r="S12" s="632"/>
      <c r="T12" s="633"/>
      <c r="U12" s="633"/>
    </row>
    <row r="13" spans="1:21" s="621" customFormat="1" ht="28.35" customHeight="1">
      <c r="A13" s="628"/>
      <c r="B13" s="629"/>
      <c r="C13" s="630"/>
      <c r="D13" s="631"/>
      <c r="E13" s="632"/>
      <c r="F13" s="631"/>
      <c r="G13" s="632"/>
      <c r="H13" s="633"/>
      <c r="I13" s="632"/>
      <c r="J13" s="633"/>
      <c r="K13" s="632"/>
      <c r="L13" s="633"/>
      <c r="M13" s="632"/>
      <c r="N13" s="633"/>
      <c r="O13" s="632"/>
      <c r="P13" s="633"/>
      <c r="Q13" s="632"/>
      <c r="R13" s="633"/>
      <c r="S13" s="632"/>
      <c r="T13" s="633"/>
      <c r="U13" s="633"/>
    </row>
    <row r="14" spans="1:21" s="621" customFormat="1" ht="28.35" customHeight="1">
      <c r="A14" s="635"/>
      <c r="B14" s="636"/>
      <c r="C14" s="637"/>
      <c r="D14" s="631"/>
      <c r="E14" s="632"/>
      <c r="F14" s="631"/>
      <c r="G14" s="632"/>
      <c r="H14" s="633"/>
      <c r="I14" s="632"/>
      <c r="J14" s="633"/>
      <c r="K14" s="632"/>
      <c r="L14" s="633"/>
      <c r="M14" s="632"/>
      <c r="N14" s="633"/>
      <c r="O14" s="632"/>
      <c r="P14" s="633"/>
      <c r="Q14" s="632"/>
      <c r="R14" s="633"/>
      <c r="S14" s="632"/>
      <c r="T14" s="633"/>
      <c r="U14" s="633"/>
    </row>
    <row r="15" spans="1:21" s="621" customFormat="1" ht="28.35" customHeight="1">
      <c r="A15" s="638"/>
      <c r="B15" s="636"/>
      <c r="C15" s="637"/>
      <c r="D15" s="639"/>
      <c r="E15" s="640"/>
      <c r="F15" s="639"/>
      <c r="G15" s="640"/>
      <c r="H15" s="641"/>
      <c r="I15" s="640"/>
      <c r="J15" s="641"/>
      <c r="K15" s="640"/>
      <c r="L15" s="641"/>
      <c r="M15" s="640"/>
      <c r="N15" s="641"/>
      <c r="O15" s="640"/>
      <c r="P15" s="641"/>
      <c r="Q15" s="640"/>
      <c r="R15" s="641"/>
      <c r="S15" s="640"/>
      <c r="T15" s="641"/>
      <c r="U15" s="641"/>
    </row>
    <row r="16" spans="1:21" s="621" customFormat="1" ht="24.75" customHeight="1">
      <c r="A16" s="623"/>
      <c r="B16" s="754" t="s">
        <v>364</v>
      </c>
      <c r="C16" s="754"/>
      <c r="D16" s="754"/>
      <c r="E16" s="754"/>
      <c r="F16" s="625"/>
      <c r="G16" s="626"/>
      <c r="H16" s="626"/>
      <c r="I16" s="626"/>
      <c r="J16" s="626"/>
      <c r="K16" s="642"/>
      <c r="L16" s="624"/>
      <c r="M16" s="624"/>
      <c r="N16" s="624"/>
      <c r="O16" s="624"/>
      <c r="P16" s="754" t="s">
        <v>356</v>
      </c>
      <c r="Q16" s="754"/>
      <c r="R16" s="754"/>
      <c r="S16" s="754"/>
      <c r="T16" s="754"/>
    </row>
    <row r="17" spans="1:21" s="5" customFormat="1" ht="24.75" customHeight="1">
      <c r="A17" s="614"/>
      <c r="B17" s="42"/>
      <c r="C17" s="47"/>
      <c r="D17" s="47"/>
      <c r="E17" s="47"/>
      <c r="F17" s="2"/>
      <c r="N17" s="19"/>
      <c r="O17" s="2"/>
      <c r="P17" s="47"/>
      <c r="Q17" s="47"/>
    </row>
    <row r="18" spans="1:21" s="5" customFormat="1" ht="24.75" customHeight="1">
      <c r="A18" s="614"/>
      <c r="B18" s="42"/>
      <c r="C18" s="47"/>
      <c r="D18" s="42"/>
      <c r="E18" s="47"/>
      <c r="F18" s="2"/>
      <c r="N18" s="19"/>
      <c r="P18" s="47"/>
      <c r="Q18" s="47"/>
    </row>
    <row r="19" spans="1:21" s="5" customFormat="1" ht="18" customHeight="1">
      <c r="A19" s="619"/>
      <c r="B19" s="619"/>
      <c r="C19" s="619"/>
      <c r="D19" s="619"/>
      <c r="E19" s="619"/>
      <c r="F19" s="2"/>
      <c r="N19" s="18"/>
      <c r="P19" s="79"/>
      <c r="Q19" s="79"/>
    </row>
    <row r="20" spans="1:21">
      <c r="A20" s="615"/>
      <c r="B20" s="11"/>
      <c r="C20" s="11"/>
      <c r="D20" s="627"/>
      <c r="E20" s="627"/>
      <c r="F20" s="3"/>
      <c r="G20" s="15"/>
      <c r="H20" s="15"/>
      <c r="I20" s="15"/>
      <c r="J20" s="15"/>
      <c r="K20" s="15"/>
      <c r="L20" s="15"/>
      <c r="M20" s="15"/>
      <c r="N20" s="3"/>
      <c r="O20" s="15"/>
      <c r="P20" s="3"/>
      <c r="Q20" s="3"/>
      <c r="R20" s="3"/>
      <c r="S20" s="3"/>
      <c r="T20" s="3"/>
      <c r="U20" s="3"/>
    </row>
    <row r="21" spans="1:21">
      <c r="A21" s="615"/>
      <c r="B21" s="12"/>
      <c r="C21" s="12"/>
      <c r="D21" s="12"/>
      <c r="E21" s="12"/>
      <c r="F21" s="2"/>
      <c r="G21" s="13"/>
      <c r="H21" s="13"/>
      <c r="I21" s="13"/>
      <c r="J21" s="13"/>
      <c r="K21" s="13"/>
      <c r="L21" s="13"/>
      <c r="M21" s="13"/>
      <c r="N21" s="2"/>
      <c r="O21" s="13"/>
      <c r="P21" s="2"/>
      <c r="Q21" s="13"/>
      <c r="R21" s="2"/>
      <c r="S21" s="2"/>
      <c r="T21" s="2"/>
      <c r="U21" s="13"/>
    </row>
    <row r="22" spans="1:21">
      <c r="A22" s="615"/>
      <c r="B22" s="11"/>
      <c r="C22" s="627"/>
      <c r="D22" s="627"/>
      <c r="E22" s="627"/>
      <c r="F22" s="627"/>
      <c r="G22" s="627"/>
      <c r="H22" s="627"/>
      <c r="I22" s="627"/>
      <c r="J22" s="627"/>
      <c r="K22" s="627"/>
      <c r="L22" s="627"/>
      <c r="M22" s="627"/>
      <c r="N22" s="627"/>
      <c r="O22" s="627"/>
      <c r="P22" s="627"/>
      <c r="Q22" s="627"/>
      <c r="R22" s="627"/>
      <c r="S22" s="627"/>
      <c r="T22" s="627"/>
      <c r="U22" s="627"/>
    </row>
    <row r="23" spans="1:21">
      <c r="A23" s="615"/>
      <c r="B23" s="11"/>
      <c r="C23" s="627"/>
      <c r="D23" s="627"/>
      <c r="E23" s="627"/>
      <c r="F23" s="627"/>
      <c r="G23" s="627"/>
      <c r="H23" s="627"/>
      <c r="I23" s="627"/>
      <c r="J23" s="627"/>
      <c r="K23" s="627"/>
      <c r="L23" s="627"/>
      <c r="M23" s="627"/>
      <c r="N23" s="627"/>
      <c r="O23" s="627"/>
      <c r="P23" s="627"/>
      <c r="Q23" s="627"/>
      <c r="R23" s="627"/>
      <c r="S23" s="627"/>
      <c r="T23" s="627"/>
      <c r="U23" s="627"/>
    </row>
    <row r="24" spans="1:21">
      <c r="A24" s="615"/>
      <c r="B24" s="11"/>
      <c r="C24" s="627"/>
      <c r="D24" s="627"/>
      <c r="E24" s="627"/>
      <c r="F24" s="627"/>
      <c r="G24" s="627"/>
      <c r="H24" s="627"/>
      <c r="I24" s="627"/>
      <c r="J24" s="627"/>
      <c r="K24" s="627"/>
      <c r="L24" s="627"/>
      <c r="M24" s="627"/>
      <c r="N24" s="627"/>
      <c r="O24" s="627"/>
      <c r="P24" s="627"/>
      <c r="Q24" s="627"/>
      <c r="R24" s="627"/>
      <c r="S24" s="627"/>
      <c r="T24" s="627"/>
      <c r="U24" s="627"/>
    </row>
    <row r="25" spans="1:21">
      <c r="A25" s="615"/>
      <c r="B25" s="12"/>
      <c r="C25" s="12"/>
      <c r="D25" s="12"/>
      <c r="E25" s="12"/>
      <c r="F25" s="12"/>
      <c r="G25" s="12"/>
      <c r="H25" s="12"/>
      <c r="I25" s="12"/>
      <c r="J25" s="12"/>
      <c r="K25" s="12"/>
      <c r="L25" s="12"/>
      <c r="M25" s="12"/>
      <c r="N25" s="12"/>
      <c r="O25" s="12"/>
      <c r="P25" s="12"/>
      <c r="Q25" s="12"/>
      <c r="R25" s="12"/>
      <c r="S25" s="12"/>
      <c r="T25" s="12"/>
      <c r="U25" s="12"/>
    </row>
    <row r="26" spans="1:21">
      <c r="A26" s="615"/>
      <c r="B26" s="12"/>
      <c r="C26" s="12"/>
      <c r="D26" s="12"/>
      <c r="E26" s="12"/>
      <c r="F26" s="12"/>
      <c r="G26" s="12"/>
      <c r="H26" s="12"/>
      <c r="I26" s="12"/>
      <c r="J26" s="12"/>
      <c r="K26" s="12"/>
      <c r="L26" s="12"/>
      <c r="M26" s="12"/>
      <c r="N26" s="12"/>
      <c r="O26" s="12"/>
      <c r="P26" s="12"/>
      <c r="Q26" s="12"/>
      <c r="R26" s="12"/>
      <c r="S26" s="12"/>
      <c r="T26" s="12"/>
      <c r="U26" s="12"/>
    </row>
    <row r="27" spans="1:21">
      <c r="A27" s="615"/>
      <c r="B27" s="12"/>
      <c r="C27" s="627"/>
      <c r="D27" s="627"/>
      <c r="E27" s="627"/>
      <c r="F27" s="627"/>
      <c r="G27" s="627"/>
      <c r="H27" s="627"/>
      <c r="I27" s="627"/>
      <c r="J27" s="627"/>
      <c r="K27" s="627"/>
      <c r="L27" s="627"/>
      <c r="M27" s="627"/>
      <c r="N27" s="627"/>
      <c r="O27" s="627"/>
      <c r="P27" s="627"/>
      <c r="Q27" s="627"/>
      <c r="R27" s="627"/>
      <c r="S27" s="627"/>
      <c r="T27" s="627"/>
      <c r="U27" s="627"/>
    </row>
    <row r="28" spans="1:21">
      <c r="A28" s="615"/>
      <c r="B28" s="12"/>
      <c r="C28" s="627"/>
      <c r="D28" s="627"/>
      <c r="E28" s="627"/>
      <c r="F28" s="627"/>
      <c r="G28" s="627"/>
      <c r="H28" s="627"/>
      <c r="I28" s="627"/>
      <c r="J28" s="627"/>
      <c r="K28" s="627"/>
      <c r="L28" s="627"/>
      <c r="M28" s="627"/>
      <c r="N28" s="627"/>
      <c r="O28" s="627"/>
      <c r="P28" s="627"/>
      <c r="Q28" s="627"/>
      <c r="R28" s="627"/>
      <c r="S28" s="627"/>
      <c r="T28" s="627"/>
      <c r="U28" s="627"/>
    </row>
    <row r="29" spans="1:21">
      <c r="A29" s="616"/>
      <c r="C29" s="627"/>
      <c r="D29" s="627"/>
      <c r="E29" s="627"/>
      <c r="F29" s="627"/>
      <c r="G29" s="627"/>
      <c r="H29" s="627"/>
      <c r="I29" s="627"/>
      <c r="J29" s="627"/>
      <c r="K29" s="627"/>
      <c r="L29" s="627"/>
      <c r="M29" s="627"/>
      <c r="N29" s="627"/>
      <c r="O29" s="627"/>
      <c r="P29" s="627"/>
      <c r="Q29" s="627"/>
      <c r="R29" s="627"/>
      <c r="S29" s="627"/>
      <c r="T29" s="627"/>
      <c r="U29" s="627"/>
    </row>
    <row r="30" spans="1:21">
      <c r="A30" s="616"/>
      <c r="C30" s="12"/>
      <c r="D30" s="12"/>
      <c r="E30" s="12"/>
      <c r="F30" s="12"/>
      <c r="G30" s="12"/>
      <c r="H30" s="12"/>
      <c r="I30" s="12"/>
      <c r="J30" s="12"/>
      <c r="K30" s="12"/>
      <c r="L30" s="12"/>
      <c r="M30" s="12"/>
      <c r="N30" s="12"/>
      <c r="O30" s="12"/>
      <c r="P30" s="12"/>
      <c r="Q30" s="12"/>
      <c r="R30" s="12"/>
      <c r="S30" s="12"/>
      <c r="T30" s="12"/>
      <c r="U30" s="12"/>
    </row>
    <row r="31" spans="1:21">
      <c r="A31" s="616"/>
      <c r="C31" s="12"/>
      <c r="D31" s="12"/>
      <c r="E31" s="12"/>
      <c r="F31" s="12"/>
      <c r="G31" s="12"/>
      <c r="H31" s="12"/>
      <c r="I31" s="12"/>
      <c r="J31" s="12"/>
      <c r="K31" s="12"/>
      <c r="L31" s="12"/>
      <c r="M31" s="12"/>
      <c r="N31" s="12"/>
      <c r="O31" s="12"/>
      <c r="P31" s="12"/>
      <c r="Q31" s="12"/>
      <c r="R31" s="12"/>
      <c r="S31" s="12"/>
      <c r="T31" s="12"/>
      <c r="U31" s="12"/>
    </row>
    <row r="32" spans="1:21">
      <c r="A32" s="616"/>
      <c r="C32" s="627"/>
      <c r="D32" s="627"/>
      <c r="E32" s="627"/>
      <c r="F32" s="627"/>
      <c r="G32" s="627"/>
      <c r="H32" s="627"/>
      <c r="I32" s="627"/>
      <c r="J32" s="627"/>
      <c r="K32" s="627"/>
      <c r="L32" s="627"/>
      <c r="M32" s="627"/>
      <c r="N32" s="627"/>
      <c r="O32" s="627"/>
      <c r="P32" s="627"/>
      <c r="Q32" s="627"/>
      <c r="R32" s="627"/>
      <c r="S32" s="627"/>
      <c r="T32" s="627"/>
      <c r="U32" s="627"/>
    </row>
    <row r="33" spans="1:21">
      <c r="A33" s="616"/>
      <c r="C33" s="627"/>
      <c r="D33" s="627"/>
      <c r="E33" s="627"/>
      <c r="F33" s="627"/>
      <c r="G33" s="627"/>
      <c r="H33" s="627"/>
      <c r="I33" s="627"/>
      <c r="J33" s="627"/>
      <c r="K33" s="627"/>
      <c r="L33" s="627"/>
      <c r="M33" s="627"/>
      <c r="N33" s="627"/>
      <c r="O33" s="627"/>
      <c r="P33" s="627"/>
      <c r="Q33" s="627"/>
      <c r="R33" s="627"/>
      <c r="S33" s="627"/>
      <c r="T33" s="627"/>
      <c r="U33" s="627"/>
    </row>
    <row r="34" spans="1:21">
      <c r="A34" s="616"/>
      <c r="C34" s="627"/>
      <c r="D34" s="627"/>
      <c r="E34" s="627"/>
      <c r="F34" s="627"/>
      <c r="G34" s="627"/>
      <c r="H34" s="627"/>
      <c r="I34" s="627"/>
      <c r="J34" s="627"/>
      <c r="K34" s="627"/>
      <c r="L34" s="627"/>
      <c r="M34" s="627"/>
      <c r="N34" s="627"/>
      <c r="O34" s="627"/>
      <c r="P34" s="627"/>
      <c r="Q34" s="627"/>
      <c r="R34" s="627"/>
      <c r="S34" s="627"/>
      <c r="T34" s="627"/>
      <c r="U34" s="627"/>
    </row>
    <row r="35" spans="1:21">
      <c r="A35" s="616"/>
      <c r="C35" s="12"/>
      <c r="D35" s="12"/>
      <c r="E35" s="12"/>
      <c r="F35" s="12"/>
      <c r="G35" s="12"/>
      <c r="H35" s="12"/>
      <c r="I35" s="12"/>
      <c r="J35" s="12"/>
      <c r="K35" s="12"/>
      <c r="L35" s="12"/>
      <c r="M35" s="12"/>
      <c r="N35" s="12"/>
      <c r="O35" s="12"/>
      <c r="P35" s="12"/>
      <c r="Q35" s="12"/>
      <c r="R35" s="12"/>
      <c r="S35" s="12"/>
      <c r="T35" s="12"/>
      <c r="U35" s="12"/>
    </row>
    <row r="36" spans="1:21">
      <c r="A36" s="616"/>
      <c r="C36" s="12"/>
      <c r="D36" s="12"/>
      <c r="E36" s="12"/>
      <c r="F36" s="12"/>
      <c r="G36" s="12"/>
      <c r="H36" s="12"/>
      <c r="I36" s="12"/>
      <c r="J36" s="12"/>
      <c r="K36" s="12"/>
      <c r="L36" s="12"/>
      <c r="M36" s="12"/>
      <c r="N36" s="12"/>
      <c r="O36" s="12"/>
      <c r="P36" s="12"/>
      <c r="Q36" s="12"/>
      <c r="R36" s="12"/>
      <c r="S36" s="12"/>
      <c r="T36" s="12"/>
      <c r="U36" s="12"/>
    </row>
    <row r="37" spans="1:21">
      <c r="A37" s="616"/>
      <c r="C37" s="627"/>
      <c r="D37" s="627"/>
      <c r="E37" s="627"/>
      <c r="F37" s="627"/>
      <c r="G37" s="627"/>
      <c r="H37" s="627"/>
      <c r="I37" s="627"/>
      <c r="J37" s="627"/>
      <c r="K37" s="627"/>
      <c r="L37" s="627"/>
      <c r="M37" s="627"/>
      <c r="N37" s="627"/>
      <c r="O37" s="627"/>
      <c r="P37" s="627"/>
      <c r="Q37" s="627"/>
      <c r="R37" s="627"/>
      <c r="S37" s="627"/>
      <c r="T37" s="627"/>
      <c r="U37" s="627"/>
    </row>
    <row r="38" spans="1:21">
      <c r="A38" s="616"/>
      <c r="C38" s="627"/>
      <c r="D38" s="627"/>
      <c r="E38" s="627"/>
      <c r="F38" s="627"/>
      <c r="G38" s="627"/>
      <c r="H38" s="627"/>
      <c r="I38" s="627"/>
      <c r="J38" s="627"/>
      <c r="K38" s="627"/>
      <c r="L38" s="627"/>
      <c r="M38" s="627"/>
      <c r="N38" s="627"/>
      <c r="O38" s="627"/>
      <c r="P38" s="627"/>
      <c r="Q38" s="627"/>
      <c r="R38" s="627"/>
      <c r="S38" s="627"/>
      <c r="T38" s="627"/>
      <c r="U38" s="627"/>
    </row>
    <row r="39" spans="1:21">
      <c r="A39" s="616"/>
      <c r="C39" s="627"/>
      <c r="D39" s="627"/>
      <c r="E39" s="627"/>
      <c r="F39" s="627"/>
      <c r="G39" s="627"/>
      <c r="H39" s="627"/>
      <c r="I39" s="627"/>
      <c r="J39" s="627"/>
      <c r="K39" s="627"/>
      <c r="L39" s="627"/>
      <c r="M39" s="627"/>
      <c r="N39" s="627"/>
      <c r="O39" s="627"/>
      <c r="P39" s="627"/>
      <c r="Q39" s="627"/>
      <c r="R39" s="627"/>
      <c r="S39" s="627"/>
      <c r="T39" s="627"/>
      <c r="U39" s="627"/>
    </row>
    <row r="40" spans="1:21">
      <c r="A40" s="616"/>
      <c r="C40" s="12"/>
      <c r="D40" s="12"/>
      <c r="E40" s="12"/>
      <c r="F40" s="12"/>
      <c r="G40" s="12"/>
      <c r="H40" s="12"/>
      <c r="I40" s="12"/>
      <c r="J40" s="12"/>
      <c r="K40" s="12"/>
      <c r="L40" s="12"/>
      <c r="M40" s="12"/>
      <c r="N40" s="12"/>
      <c r="O40" s="12"/>
      <c r="P40" s="12"/>
      <c r="Q40" s="12"/>
      <c r="R40" s="12"/>
      <c r="S40" s="12"/>
      <c r="T40" s="12"/>
      <c r="U40" s="12"/>
    </row>
    <row r="41" spans="1:21">
      <c r="A41" s="616"/>
      <c r="C41" s="12"/>
      <c r="D41" s="12"/>
      <c r="E41" s="12"/>
      <c r="F41" s="12"/>
      <c r="G41" s="12"/>
      <c r="H41" s="12"/>
      <c r="I41" s="12"/>
      <c r="J41" s="12"/>
      <c r="K41" s="12"/>
      <c r="L41" s="12"/>
      <c r="M41" s="12"/>
      <c r="N41" s="12"/>
      <c r="O41" s="12"/>
      <c r="P41" s="12"/>
      <c r="Q41" s="12"/>
      <c r="R41" s="12"/>
      <c r="S41" s="12"/>
      <c r="T41" s="12"/>
      <c r="U41" s="12"/>
    </row>
    <row r="42" spans="1:21">
      <c r="A42" s="616"/>
      <c r="C42" s="627"/>
      <c r="D42" s="627"/>
      <c r="E42" s="627"/>
      <c r="F42" s="627"/>
      <c r="G42" s="627"/>
      <c r="H42" s="627"/>
      <c r="I42" s="627"/>
      <c r="J42" s="627"/>
      <c r="K42" s="627"/>
      <c r="L42" s="627"/>
      <c r="M42" s="627"/>
      <c r="N42" s="627"/>
      <c r="O42" s="627"/>
      <c r="P42" s="627"/>
      <c r="Q42" s="627"/>
      <c r="R42" s="627"/>
      <c r="S42" s="627"/>
      <c r="T42" s="627"/>
      <c r="U42" s="627"/>
    </row>
    <row r="43" spans="1:21">
      <c r="A43" s="616"/>
      <c r="C43" s="627"/>
      <c r="D43" s="627"/>
      <c r="E43" s="627"/>
      <c r="F43" s="627"/>
      <c r="G43" s="627"/>
      <c r="H43" s="627"/>
      <c r="I43" s="627"/>
      <c r="J43" s="627"/>
      <c r="K43" s="627"/>
      <c r="L43" s="627"/>
      <c r="M43" s="627"/>
      <c r="N43" s="627"/>
      <c r="O43" s="627"/>
      <c r="P43" s="627"/>
      <c r="Q43" s="627"/>
      <c r="R43" s="627"/>
      <c r="S43" s="627"/>
      <c r="T43" s="627"/>
      <c r="U43" s="627"/>
    </row>
    <row r="44" spans="1:21">
      <c r="A44" s="616"/>
      <c r="C44" s="627"/>
      <c r="D44" s="627"/>
      <c r="E44" s="627"/>
      <c r="F44" s="627"/>
      <c r="G44" s="627"/>
      <c r="H44" s="627"/>
      <c r="I44" s="627"/>
      <c r="J44" s="627"/>
      <c r="K44" s="627"/>
      <c r="L44" s="627"/>
      <c r="M44" s="627"/>
      <c r="N44" s="627"/>
      <c r="O44" s="627"/>
      <c r="P44" s="627"/>
      <c r="Q44" s="627"/>
      <c r="R44" s="627"/>
      <c r="S44" s="627"/>
      <c r="T44" s="627"/>
      <c r="U44" s="627"/>
    </row>
    <row r="45" spans="1:21">
      <c r="A45" s="616"/>
      <c r="C45" s="12"/>
      <c r="D45" s="12"/>
      <c r="E45" s="12"/>
      <c r="F45" s="12"/>
      <c r="G45" s="12"/>
      <c r="H45" s="12"/>
      <c r="I45" s="12"/>
      <c r="J45" s="12"/>
      <c r="K45" s="12"/>
      <c r="L45" s="12"/>
      <c r="M45" s="12"/>
      <c r="N45" s="12"/>
      <c r="O45" s="12"/>
      <c r="P45" s="12"/>
      <c r="Q45" s="12"/>
      <c r="R45" s="12"/>
      <c r="S45" s="12"/>
      <c r="T45" s="12"/>
      <c r="U45" s="12"/>
    </row>
    <row r="46" spans="1:21">
      <c r="A46" s="616"/>
      <c r="C46" s="12"/>
      <c r="D46" s="12"/>
      <c r="E46" s="12"/>
      <c r="F46" s="12"/>
      <c r="G46" s="12"/>
      <c r="H46" s="12"/>
      <c r="I46" s="12"/>
      <c r="J46" s="12"/>
      <c r="K46" s="12"/>
      <c r="L46" s="12"/>
      <c r="M46" s="12"/>
      <c r="N46" s="12"/>
      <c r="O46" s="12"/>
      <c r="P46" s="12"/>
      <c r="Q46" s="12"/>
      <c r="R46" s="12"/>
      <c r="S46" s="12"/>
      <c r="T46" s="12"/>
      <c r="U46" s="12"/>
    </row>
    <row r="47" spans="1:21">
      <c r="A47" s="616"/>
      <c r="C47" s="627"/>
      <c r="D47" s="627"/>
      <c r="E47" s="627"/>
      <c r="F47" s="627"/>
      <c r="G47" s="627"/>
      <c r="H47" s="627"/>
      <c r="I47" s="627"/>
      <c r="J47" s="627"/>
      <c r="K47" s="627"/>
      <c r="L47" s="627"/>
      <c r="M47" s="627"/>
      <c r="N47" s="627"/>
      <c r="O47" s="627"/>
      <c r="P47" s="627"/>
      <c r="Q47" s="627"/>
      <c r="R47" s="627"/>
      <c r="S47" s="627"/>
      <c r="T47" s="627"/>
      <c r="U47" s="627"/>
    </row>
    <row r="48" spans="1:21">
      <c r="A48" s="616"/>
      <c r="C48" s="627"/>
      <c r="D48" s="627"/>
      <c r="E48" s="627"/>
      <c r="F48" s="627"/>
      <c r="G48" s="627"/>
      <c r="H48" s="627"/>
      <c r="I48" s="627"/>
      <c r="J48" s="627"/>
      <c r="K48" s="627"/>
      <c r="L48" s="627"/>
      <c r="M48" s="627"/>
      <c r="N48" s="627"/>
      <c r="O48" s="627"/>
      <c r="P48" s="627"/>
      <c r="Q48" s="627"/>
      <c r="R48" s="627"/>
      <c r="S48" s="627"/>
      <c r="T48" s="627"/>
      <c r="U48" s="627"/>
    </row>
    <row r="49" spans="1:21">
      <c r="A49" s="616"/>
      <c r="C49" s="627"/>
      <c r="D49" s="627"/>
      <c r="E49" s="627"/>
      <c r="F49" s="627"/>
      <c r="G49" s="627"/>
      <c r="H49" s="627"/>
      <c r="I49" s="627"/>
      <c r="J49" s="627"/>
      <c r="K49" s="627"/>
      <c r="L49" s="627"/>
      <c r="M49" s="627"/>
      <c r="N49" s="627"/>
      <c r="O49" s="627"/>
      <c r="P49" s="627"/>
      <c r="Q49" s="627"/>
      <c r="R49" s="627"/>
      <c r="S49" s="627"/>
      <c r="T49" s="627"/>
      <c r="U49" s="627"/>
    </row>
    <row r="50" spans="1:21">
      <c r="A50" s="616"/>
      <c r="C50" s="12"/>
      <c r="D50" s="12"/>
      <c r="E50" s="12"/>
      <c r="F50" s="12"/>
      <c r="G50" s="12"/>
      <c r="H50" s="12"/>
      <c r="I50" s="12"/>
      <c r="J50" s="12"/>
      <c r="K50" s="12"/>
      <c r="L50" s="12"/>
      <c r="M50" s="12"/>
      <c r="N50" s="12"/>
      <c r="O50" s="12"/>
      <c r="P50" s="12"/>
      <c r="Q50" s="12"/>
      <c r="R50" s="12"/>
      <c r="S50" s="12"/>
      <c r="T50" s="12"/>
      <c r="U50" s="12"/>
    </row>
    <row r="51" spans="1:21">
      <c r="A51" s="616"/>
      <c r="C51" s="12"/>
      <c r="D51" s="12"/>
      <c r="E51" s="12"/>
      <c r="F51" s="12"/>
      <c r="G51" s="12"/>
      <c r="H51" s="12"/>
      <c r="I51" s="12"/>
      <c r="J51" s="12"/>
      <c r="K51" s="12"/>
      <c r="L51" s="12"/>
      <c r="M51" s="12"/>
      <c r="N51" s="12"/>
      <c r="O51" s="12"/>
      <c r="P51" s="12"/>
      <c r="Q51" s="12"/>
      <c r="R51" s="12"/>
      <c r="S51" s="12"/>
      <c r="T51" s="12"/>
      <c r="U51" s="12"/>
    </row>
    <row r="52" spans="1:21">
      <c r="A52" s="616"/>
      <c r="C52" s="627"/>
      <c r="D52" s="627"/>
      <c r="E52" s="627"/>
      <c r="F52" s="627"/>
      <c r="G52" s="627"/>
      <c r="H52" s="627"/>
      <c r="I52" s="627"/>
      <c r="J52" s="627"/>
      <c r="K52" s="627"/>
      <c r="L52" s="627"/>
      <c r="M52" s="627"/>
      <c r="N52" s="627"/>
      <c r="O52" s="627"/>
      <c r="P52" s="627"/>
      <c r="Q52" s="627"/>
      <c r="R52" s="627"/>
      <c r="S52" s="627"/>
      <c r="T52" s="627"/>
      <c r="U52" s="627"/>
    </row>
    <row r="53" spans="1:21">
      <c r="A53" s="616"/>
      <c r="C53" s="627"/>
      <c r="D53" s="627"/>
      <c r="E53" s="627"/>
      <c r="F53" s="627"/>
      <c r="G53" s="627"/>
      <c r="H53" s="627"/>
      <c r="I53" s="627"/>
      <c r="J53" s="627"/>
      <c r="K53" s="627"/>
      <c r="L53" s="627"/>
      <c r="M53" s="627"/>
      <c r="N53" s="627"/>
      <c r="O53" s="627"/>
      <c r="P53" s="627"/>
      <c r="Q53" s="627"/>
      <c r="R53" s="627"/>
      <c r="S53" s="627"/>
      <c r="T53" s="627"/>
      <c r="U53" s="627"/>
    </row>
    <row r="54" spans="1:21">
      <c r="A54" s="616"/>
      <c r="C54" s="627"/>
      <c r="D54" s="627"/>
      <c r="E54" s="627"/>
      <c r="F54" s="627"/>
      <c r="G54" s="627"/>
      <c r="H54" s="627"/>
      <c r="I54" s="627"/>
      <c r="J54" s="627"/>
      <c r="K54" s="627"/>
      <c r="L54" s="627"/>
      <c r="M54" s="627"/>
      <c r="N54" s="627"/>
      <c r="O54" s="627"/>
      <c r="P54" s="627"/>
      <c r="Q54" s="627"/>
      <c r="R54" s="627"/>
      <c r="S54" s="627"/>
      <c r="T54" s="627"/>
      <c r="U54" s="627"/>
    </row>
    <row r="55" spans="1:21">
      <c r="A55" s="616"/>
      <c r="C55" s="12"/>
      <c r="D55" s="12"/>
      <c r="E55" s="12"/>
      <c r="F55" s="12"/>
      <c r="G55" s="12"/>
      <c r="H55" s="12"/>
      <c r="I55" s="12"/>
      <c r="J55" s="12"/>
      <c r="K55" s="12"/>
      <c r="L55" s="12"/>
      <c r="M55" s="12"/>
      <c r="N55" s="12"/>
      <c r="O55" s="12"/>
      <c r="P55" s="12"/>
      <c r="Q55" s="12"/>
      <c r="R55" s="12"/>
      <c r="S55" s="12"/>
      <c r="T55" s="12"/>
      <c r="U55" s="12"/>
    </row>
    <row r="56" spans="1:21">
      <c r="A56" s="616"/>
      <c r="C56" s="12"/>
      <c r="D56" s="12"/>
      <c r="E56" s="12"/>
      <c r="F56" s="12"/>
      <c r="G56" s="12"/>
      <c r="H56" s="12"/>
      <c r="I56" s="12"/>
      <c r="J56" s="12"/>
      <c r="K56" s="12"/>
      <c r="L56" s="12"/>
      <c r="M56" s="12"/>
      <c r="N56" s="12"/>
      <c r="O56" s="12"/>
      <c r="P56" s="12"/>
      <c r="Q56" s="12"/>
      <c r="R56" s="12"/>
      <c r="S56" s="12"/>
      <c r="T56" s="12"/>
      <c r="U56" s="12"/>
    </row>
    <row r="57" spans="1:21">
      <c r="A57" s="616"/>
      <c r="D57" s="16"/>
      <c r="E57" s="16"/>
      <c r="F57" s="16"/>
      <c r="N57" s="16"/>
      <c r="O57" s="16"/>
      <c r="P57" s="16"/>
      <c r="Q57" s="16"/>
      <c r="R57" s="16"/>
      <c r="S57" s="16"/>
      <c r="T57" s="16"/>
    </row>
    <row r="58" spans="1:21">
      <c r="A58" s="616"/>
      <c r="D58" s="16"/>
      <c r="E58" s="16"/>
      <c r="F58" s="16"/>
      <c r="N58" s="16"/>
      <c r="O58" s="16"/>
      <c r="P58" s="16"/>
      <c r="Q58" s="16"/>
      <c r="R58" s="16"/>
      <c r="S58" s="16"/>
      <c r="T58" s="16"/>
    </row>
    <row r="59" spans="1:21">
      <c r="A59" s="616"/>
      <c r="D59" s="16"/>
      <c r="E59" s="16"/>
      <c r="F59" s="16"/>
      <c r="N59" s="16"/>
      <c r="O59" s="16"/>
      <c r="P59" s="16"/>
      <c r="Q59" s="16"/>
      <c r="R59" s="16"/>
      <c r="S59" s="16"/>
      <c r="T59" s="16"/>
    </row>
    <row r="60" spans="1:21">
      <c r="A60" s="616"/>
      <c r="D60" s="16"/>
      <c r="E60" s="16"/>
      <c r="F60" s="16"/>
      <c r="N60" s="16"/>
      <c r="O60" s="16"/>
      <c r="P60" s="16"/>
      <c r="Q60" s="16"/>
      <c r="R60" s="16"/>
      <c r="S60" s="16"/>
      <c r="T60" s="16"/>
    </row>
    <row r="61" spans="1:21">
      <c r="A61" s="616"/>
      <c r="D61" s="16"/>
      <c r="E61" s="16"/>
      <c r="F61" s="16"/>
      <c r="N61" s="16"/>
      <c r="O61" s="16"/>
      <c r="P61" s="16"/>
      <c r="Q61" s="16"/>
      <c r="R61" s="16"/>
      <c r="S61" s="16"/>
      <c r="T61" s="16"/>
    </row>
    <row r="62" spans="1:21">
      <c r="A62" s="616"/>
      <c r="D62" s="16"/>
      <c r="E62" s="16"/>
      <c r="F62" s="16"/>
      <c r="N62" s="16"/>
      <c r="O62" s="16"/>
      <c r="P62" s="16"/>
      <c r="Q62" s="16"/>
      <c r="R62" s="16"/>
      <c r="S62" s="16"/>
      <c r="T62" s="16"/>
    </row>
    <row r="63" spans="1:21">
      <c r="A63" s="616"/>
      <c r="D63" s="16"/>
      <c r="E63" s="16"/>
      <c r="F63" s="16"/>
      <c r="N63" s="16"/>
      <c r="O63" s="16"/>
      <c r="P63" s="16"/>
      <c r="Q63" s="16"/>
      <c r="R63" s="16"/>
      <c r="S63" s="16"/>
      <c r="T63" s="16"/>
    </row>
    <row r="64" spans="1:21">
      <c r="A64" s="616"/>
      <c r="D64" s="16"/>
      <c r="E64" s="16"/>
      <c r="F64" s="16"/>
      <c r="N64" s="16"/>
      <c r="O64" s="16"/>
      <c r="P64" s="16"/>
      <c r="Q64" s="16"/>
      <c r="R64" s="16"/>
      <c r="S64" s="16"/>
      <c r="T64" s="16"/>
    </row>
    <row r="65" spans="1:21">
      <c r="A65" s="616"/>
      <c r="D65" s="16"/>
      <c r="E65" s="16"/>
      <c r="F65" s="16"/>
      <c r="N65" s="16"/>
      <c r="O65" s="16"/>
      <c r="P65" s="16"/>
      <c r="Q65" s="16"/>
      <c r="R65" s="16"/>
      <c r="S65" s="16"/>
      <c r="T65" s="16"/>
    </row>
    <row r="66" spans="1:21">
      <c r="D66" s="16"/>
      <c r="E66" s="16"/>
      <c r="F66" s="16"/>
      <c r="N66" s="16"/>
      <c r="O66" s="16"/>
      <c r="P66" s="16"/>
      <c r="Q66" s="16"/>
      <c r="R66" s="16"/>
      <c r="S66" s="16"/>
      <c r="T66" s="16"/>
    </row>
    <row r="67" spans="1:21">
      <c r="D67" s="16"/>
      <c r="E67" s="16"/>
      <c r="F67" s="16"/>
      <c r="N67" s="16"/>
      <c r="O67" s="16"/>
      <c r="P67" s="16"/>
      <c r="Q67" s="16"/>
      <c r="R67" s="16"/>
      <c r="S67" s="16"/>
      <c r="T67" s="16"/>
    </row>
    <row r="68" spans="1:21">
      <c r="D68" s="16"/>
      <c r="E68" s="16"/>
      <c r="F68" s="16"/>
      <c r="N68" s="16"/>
      <c r="O68" s="16"/>
      <c r="P68" s="16"/>
      <c r="Q68" s="16"/>
      <c r="R68" s="16"/>
      <c r="S68" s="16"/>
      <c r="T68" s="16"/>
    </row>
    <row r="69" spans="1:21">
      <c r="D69" s="16"/>
      <c r="E69" s="16"/>
      <c r="F69" s="16"/>
      <c r="N69" s="16"/>
      <c r="O69" s="16"/>
      <c r="P69" s="16"/>
      <c r="Q69" s="16"/>
      <c r="R69" s="16"/>
      <c r="S69" s="16"/>
      <c r="T69" s="16"/>
    </row>
    <row r="70" spans="1:21">
      <c r="D70" s="16"/>
      <c r="E70" s="16"/>
      <c r="F70" s="16"/>
      <c r="N70" s="16"/>
      <c r="O70" s="16"/>
      <c r="P70" s="16"/>
      <c r="Q70" s="16"/>
      <c r="R70" s="16"/>
      <c r="S70" s="16"/>
      <c r="T70" s="16"/>
    </row>
    <row r="71" spans="1:21">
      <c r="D71" s="16"/>
      <c r="E71" s="16"/>
      <c r="F71" s="16"/>
      <c r="N71" s="16"/>
      <c r="O71" s="16"/>
      <c r="P71" s="16"/>
      <c r="Q71" s="16"/>
      <c r="R71" s="16"/>
      <c r="S71" s="16"/>
      <c r="T71" s="16"/>
    </row>
    <row r="72" spans="1:21">
      <c r="D72" s="16"/>
      <c r="E72" s="16"/>
      <c r="F72" s="16"/>
      <c r="N72" s="16"/>
      <c r="O72" s="16"/>
      <c r="P72" s="16"/>
      <c r="Q72" s="16"/>
      <c r="R72" s="16"/>
      <c r="S72" s="16"/>
      <c r="T72" s="16"/>
    </row>
    <row r="73" spans="1:21">
      <c r="D73" s="16"/>
      <c r="E73" s="16"/>
      <c r="F73" s="16"/>
      <c r="N73" s="16"/>
      <c r="O73" s="16"/>
      <c r="P73" s="16"/>
      <c r="Q73" s="16"/>
      <c r="R73" s="16"/>
      <c r="S73" s="16"/>
      <c r="T73" s="16"/>
    </row>
    <row r="74" spans="1:21">
      <c r="D74" s="16"/>
      <c r="E74" s="16"/>
      <c r="F74" s="16"/>
      <c r="N74" s="16"/>
      <c r="O74" s="16"/>
      <c r="P74" s="16"/>
      <c r="Q74" s="16"/>
      <c r="R74" s="16"/>
      <c r="S74" s="16"/>
      <c r="T74" s="16"/>
      <c r="U74" s="627"/>
    </row>
    <row r="75" spans="1:21">
      <c r="B75" s="627"/>
      <c r="C75" s="627"/>
      <c r="D75" s="16"/>
      <c r="E75" s="16"/>
      <c r="F75" s="16"/>
      <c r="N75" s="16"/>
      <c r="O75" s="16"/>
      <c r="P75" s="16"/>
      <c r="Q75" s="16"/>
      <c r="R75" s="16"/>
      <c r="S75" s="16"/>
      <c r="T75" s="16"/>
      <c r="U75" s="627"/>
    </row>
    <row r="76" spans="1:21">
      <c r="B76" s="627"/>
      <c r="C76" s="627"/>
      <c r="D76" s="16"/>
      <c r="E76" s="16"/>
      <c r="F76" s="16"/>
      <c r="N76" s="16"/>
      <c r="O76" s="16"/>
      <c r="P76" s="16"/>
      <c r="Q76" s="16"/>
      <c r="R76" s="16"/>
      <c r="S76" s="16"/>
      <c r="T76" s="16"/>
      <c r="U76" s="627"/>
    </row>
    <row r="77" spans="1:21">
      <c r="B77" s="627"/>
      <c r="C77" s="627"/>
      <c r="D77" s="16"/>
      <c r="E77" s="16"/>
      <c r="F77" s="16"/>
      <c r="N77" s="16"/>
      <c r="O77" s="16"/>
      <c r="P77" s="16"/>
      <c r="Q77" s="16"/>
      <c r="R77" s="16"/>
      <c r="S77" s="16"/>
      <c r="T77" s="16"/>
      <c r="U77" s="627"/>
    </row>
    <row r="78" spans="1:21">
      <c r="B78" s="627"/>
      <c r="C78" s="627"/>
      <c r="D78" s="16"/>
      <c r="E78" s="16"/>
      <c r="F78" s="16"/>
      <c r="N78" s="16"/>
      <c r="O78" s="16"/>
      <c r="P78" s="16"/>
      <c r="Q78" s="16"/>
      <c r="R78" s="16"/>
      <c r="S78" s="16"/>
      <c r="T78" s="16"/>
      <c r="U78" s="627"/>
    </row>
    <row r="79" spans="1:21">
      <c r="B79" s="627"/>
      <c r="C79" s="627"/>
      <c r="D79" s="16"/>
      <c r="E79" s="16"/>
      <c r="F79" s="16"/>
      <c r="N79" s="16"/>
      <c r="O79" s="16"/>
      <c r="P79" s="16"/>
      <c r="Q79" s="16"/>
      <c r="R79" s="16"/>
      <c r="S79" s="16"/>
      <c r="T79" s="16"/>
      <c r="U79" s="627"/>
    </row>
    <row r="80" spans="1:21">
      <c r="B80" s="627"/>
      <c r="C80" s="627"/>
      <c r="D80" s="16"/>
      <c r="E80" s="16"/>
      <c r="F80" s="16"/>
      <c r="N80" s="16"/>
      <c r="O80" s="16"/>
      <c r="P80" s="16"/>
      <c r="Q80" s="16"/>
      <c r="R80" s="16"/>
      <c r="S80" s="16"/>
      <c r="T80" s="16"/>
      <c r="U80" s="627"/>
    </row>
    <row r="81" spans="4:21">
      <c r="D81" s="16"/>
      <c r="E81" s="16"/>
      <c r="F81" s="16"/>
      <c r="N81" s="16"/>
      <c r="O81" s="16"/>
      <c r="P81" s="16"/>
      <c r="Q81" s="16"/>
      <c r="R81" s="16"/>
      <c r="S81" s="16"/>
      <c r="T81" s="16"/>
      <c r="U81" s="627"/>
    </row>
    <row r="82" spans="4:21">
      <c r="E82" s="627"/>
      <c r="F82" s="627"/>
      <c r="G82" s="627"/>
      <c r="H82" s="627"/>
      <c r="I82" s="627"/>
      <c r="J82" s="627"/>
      <c r="K82" s="627"/>
      <c r="L82" s="627"/>
      <c r="M82" s="627"/>
      <c r="N82" s="627"/>
      <c r="O82" s="627"/>
      <c r="P82" s="627"/>
      <c r="Q82" s="627"/>
      <c r="R82" s="627"/>
      <c r="S82" s="627"/>
      <c r="T82" s="627"/>
      <c r="U82" s="627"/>
    </row>
    <row r="83" spans="4:21">
      <c r="E83" s="627"/>
      <c r="F83" s="627"/>
      <c r="G83" s="627"/>
      <c r="H83" s="627"/>
      <c r="I83" s="627"/>
      <c r="J83" s="627"/>
      <c r="K83" s="627"/>
      <c r="L83" s="627"/>
      <c r="M83" s="627"/>
      <c r="N83" s="627"/>
      <c r="O83" s="627"/>
      <c r="P83" s="627"/>
      <c r="Q83" s="627"/>
      <c r="R83" s="627"/>
      <c r="S83" s="627"/>
      <c r="T83" s="627"/>
      <c r="U83" s="627"/>
    </row>
    <row r="84" spans="4:21">
      <c r="E84" s="627"/>
      <c r="F84" s="627"/>
      <c r="G84" s="627"/>
      <c r="H84" s="627"/>
      <c r="I84" s="627"/>
      <c r="J84" s="627"/>
      <c r="K84" s="627"/>
      <c r="L84" s="627"/>
      <c r="M84" s="627"/>
      <c r="N84" s="627"/>
      <c r="O84" s="627"/>
      <c r="P84" s="627"/>
      <c r="Q84" s="627"/>
      <c r="R84" s="627"/>
      <c r="S84" s="627"/>
      <c r="T84" s="627"/>
      <c r="U84" s="627"/>
    </row>
    <row r="85" spans="4:21">
      <c r="E85" s="627"/>
      <c r="F85" s="627"/>
      <c r="G85" s="627"/>
      <c r="H85" s="627"/>
      <c r="I85" s="627"/>
      <c r="J85" s="627"/>
      <c r="K85" s="627"/>
      <c r="L85" s="627"/>
      <c r="M85" s="627"/>
      <c r="N85" s="627"/>
      <c r="O85" s="627"/>
      <c r="P85" s="627"/>
      <c r="Q85" s="627"/>
      <c r="R85" s="627"/>
      <c r="S85" s="627"/>
      <c r="T85" s="627"/>
      <c r="U85" s="627"/>
    </row>
    <row r="86" spans="4:21">
      <c r="E86" s="627"/>
      <c r="F86" s="627"/>
      <c r="G86" s="627"/>
      <c r="H86" s="627"/>
      <c r="I86" s="627"/>
      <c r="J86" s="627"/>
      <c r="K86" s="627"/>
      <c r="L86" s="627"/>
      <c r="M86" s="627"/>
      <c r="N86" s="627"/>
      <c r="O86" s="627"/>
      <c r="P86" s="627"/>
      <c r="Q86" s="627"/>
      <c r="R86" s="627"/>
      <c r="S86" s="627"/>
      <c r="T86" s="627"/>
      <c r="U86" s="627"/>
    </row>
    <row r="87" spans="4:21">
      <c r="E87" s="627"/>
      <c r="F87" s="627"/>
      <c r="G87" s="627"/>
      <c r="H87" s="627"/>
      <c r="I87" s="627"/>
      <c r="J87" s="627"/>
      <c r="K87" s="627"/>
      <c r="L87" s="627"/>
      <c r="M87" s="627"/>
      <c r="N87" s="627"/>
      <c r="O87" s="627"/>
      <c r="P87" s="627"/>
      <c r="Q87" s="627"/>
      <c r="R87" s="627"/>
      <c r="S87" s="627"/>
      <c r="T87" s="627"/>
      <c r="U87" s="627"/>
    </row>
    <row r="88" spans="4:21">
      <c r="E88" s="627"/>
      <c r="F88" s="627"/>
      <c r="G88" s="627"/>
      <c r="H88" s="627"/>
      <c r="I88" s="627"/>
      <c r="J88" s="627"/>
      <c r="K88" s="627"/>
      <c r="L88" s="627"/>
      <c r="M88" s="627"/>
      <c r="N88" s="627"/>
      <c r="O88" s="627"/>
      <c r="P88" s="627"/>
      <c r="Q88" s="627"/>
      <c r="R88" s="627"/>
      <c r="S88" s="627"/>
      <c r="T88" s="627"/>
      <c r="U88" s="627"/>
    </row>
    <row r="89" spans="4:21">
      <c r="E89" s="627"/>
      <c r="F89" s="627"/>
      <c r="G89" s="627"/>
      <c r="H89" s="627"/>
      <c r="I89" s="627"/>
      <c r="J89" s="627"/>
      <c r="K89" s="627"/>
      <c r="L89" s="627"/>
      <c r="M89" s="627"/>
      <c r="N89" s="627"/>
      <c r="O89" s="627"/>
      <c r="P89" s="627"/>
      <c r="Q89" s="627"/>
      <c r="R89" s="627"/>
      <c r="S89" s="627"/>
      <c r="T89" s="627"/>
      <c r="U89" s="627"/>
    </row>
    <row r="90" spans="4:21">
      <c r="E90" s="627"/>
      <c r="F90" s="627"/>
      <c r="G90" s="627"/>
      <c r="H90" s="627"/>
      <c r="I90" s="627"/>
      <c r="J90" s="627"/>
      <c r="K90" s="627"/>
      <c r="L90" s="627"/>
      <c r="M90" s="627"/>
      <c r="N90" s="627"/>
      <c r="O90" s="627"/>
      <c r="P90" s="627"/>
      <c r="Q90" s="627"/>
      <c r="R90" s="627"/>
      <c r="S90" s="627"/>
      <c r="T90" s="627"/>
      <c r="U90" s="627"/>
    </row>
    <row r="91" spans="4:21">
      <c r="E91" s="627"/>
      <c r="F91" s="627"/>
      <c r="G91" s="627"/>
      <c r="H91" s="627"/>
      <c r="I91" s="627"/>
      <c r="J91" s="627"/>
      <c r="K91" s="627"/>
      <c r="L91" s="627"/>
      <c r="M91" s="627"/>
      <c r="N91" s="627"/>
      <c r="O91" s="627"/>
      <c r="P91" s="627"/>
      <c r="Q91" s="627"/>
      <c r="R91" s="627"/>
      <c r="S91" s="627"/>
      <c r="T91" s="627"/>
      <c r="U91" s="627"/>
    </row>
    <row r="92" spans="4:21">
      <c r="E92" s="627"/>
      <c r="F92" s="627"/>
      <c r="G92" s="627"/>
      <c r="H92" s="627"/>
      <c r="I92" s="627"/>
      <c r="J92" s="627"/>
      <c r="K92" s="627"/>
      <c r="L92" s="627"/>
      <c r="M92" s="627"/>
      <c r="N92" s="627"/>
      <c r="O92" s="627"/>
      <c r="P92" s="627"/>
      <c r="Q92" s="627"/>
      <c r="R92" s="627"/>
      <c r="S92" s="627"/>
      <c r="T92" s="627"/>
      <c r="U92" s="627"/>
    </row>
    <row r="93" spans="4:21">
      <c r="D93" s="16"/>
      <c r="E93" s="16"/>
      <c r="F93" s="16"/>
      <c r="N93" s="16"/>
      <c r="O93" s="16"/>
      <c r="P93" s="16"/>
      <c r="Q93" s="16"/>
      <c r="R93" s="16"/>
      <c r="S93" s="16"/>
      <c r="T93" s="16"/>
      <c r="U93" s="627"/>
    </row>
    <row r="94" spans="4:21">
      <c r="D94" s="16"/>
      <c r="E94" s="16"/>
      <c r="F94" s="16"/>
      <c r="N94" s="16"/>
      <c r="O94" s="16"/>
      <c r="P94" s="16"/>
      <c r="Q94" s="16"/>
      <c r="R94" s="16"/>
      <c r="S94" s="16"/>
      <c r="T94" s="16"/>
    </row>
    <row r="95" spans="4:21">
      <c r="D95" s="16"/>
      <c r="E95" s="16"/>
      <c r="F95" s="16"/>
      <c r="N95" s="16"/>
      <c r="O95" s="16"/>
      <c r="P95" s="16"/>
      <c r="Q95" s="16"/>
      <c r="R95" s="16"/>
      <c r="S95" s="16"/>
      <c r="T95" s="16"/>
    </row>
    <row r="96" spans="4:21">
      <c r="D96" s="16"/>
      <c r="E96" s="16"/>
      <c r="F96" s="16"/>
      <c r="N96" s="16"/>
      <c r="O96" s="16"/>
      <c r="P96" s="16"/>
      <c r="Q96" s="16"/>
      <c r="R96" s="16"/>
      <c r="S96" s="16"/>
      <c r="T96" s="16"/>
    </row>
    <row r="97" spans="4:20">
      <c r="D97" s="16"/>
      <c r="E97" s="16"/>
      <c r="F97" s="16"/>
      <c r="N97" s="16"/>
      <c r="O97" s="16"/>
      <c r="P97" s="16"/>
      <c r="Q97" s="16"/>
      <c r="R97" s="16"/>
      <c r="S97" s="16"/>
      <c r="T97" s="16"/>
    </row>
    <row r="98" spans="4:20">
      <c r="D98" s="16"/>
      <c r="E98" s="16"/>
      <c r="F98" s="16"/>
      <c r="N98" s="16"/>
      <c r="O98" s="16"/>
      <c r="P98" s="16"/>
      <c r="Q98" s="16"/>
      <c r="R98" s="16"/>
      <c r="S98" s="16"/>
      <c r="T98" s="16"/>
    </row>
    <row r="99" spans="4:20">
      <c r="D99" s="16"/>
      <c r="E99" s="16"/>
      <c r="F99" s="16"/>
      <c r="N99" s="16"/>
      <c r="O99" s="16"/>
      <c r="P99" s="16"/>
      <c r="Q99" s="16"/>
      <c r="R99" s="16"/>
      <c r="S99" s="16"/>
      <c r="T99" s="16"/>
    </row>
    <row r="100" spans="4:20">
      <c r="D100" s="16"/>
      <c r="E100" s="16"/>
      <c r="F100" s="16"/>
      <c r="N100" s="16"/>
      <c r="O100" s="16"/>
      <c r="P100" s="16"/>
      <c r="Q100" s="16"/>
      <c r="R100" s="16"/>
      <c r="S100" s="16"/>
      <c r="T100" s="16"/>
    </row>
    <row r="101" spans="4:20">
      <c r="D101" s="16"/>
      <c r="E101" s="16"/>
      <c r="F101" s="16"/>
      <c r="N101" s="16"/>
      <c r="O101" s="16"/>
      <c r="P101" s="16"/>
      <c r="Q101" s="16"/>
      <c r="R101" s="16"/>
      <c r="S101" s="16"/>
      <c r="T101" s="16"/>
    </row>
    <row r="102" spans="4:20">
      <c r="D102" s="16"/>
      <c r="E102" s="16"/>
      <c r="F102" s="16"/>
      <c r="N102" s="16"/>
      <c r="O102" s="16"/>
      <c r="P102" s="16"/>
      <c r="Q102" s="16"/>
      <c r="R102" s="16"/>
      <c r="S102" s="16"/>
      <c r="T102" s="16"/>
    </row>
    <row r="103" spans="4:20">
      <c r="D103" s="16"/>
      <c r="E103" s="16"/>
      <c r="F103" s="16"/>
      <c r="N103" s="16"/>
      <c r="O103" s="16"/>
      <c r="P103" s="16"/>
      <c r="Q103" s="16"/>
      <c r="R103" s="16"/>
      <c r="S103" s="16"/>
      <c r="T103" s="16"/>
    </row>
    <row r="104" spans="4:20">
      <c r="D104" s="16"/>
      <c r="E104" s="16"/>
      <c r="F104" s="16"/>
      <c r="N104" s="16"/>
      <c r="O104" s="16"/>
      <c r="P104" s="16"/>
      <c r="Q104" s="16"/>
      <c r="R104" s="16"/>
      <c r="S104" s="16"/>
      <c r="T104" s="16"/>
    </row>
    <row r="105" spans="4:20">
      <c r="D105" s="16"/>
      <c r="E105" s="16"/>
      <c r="F105" s="16"/>
      <c r="N105" s="16"/>
      <c r="O105" s="16"/>
      <c r="P105" s="16"/>
      <c r="Q105" s="16"/>
      <c r="R105" s="16"/>
      <c r="S105" s="16"/>
      <c r="T105" s="16"/>
    </row>
    <row r="106" spans="4:20">
      <c r="D106" s="16"/>
      <c r="E106" s="16"/>
      <c r="F106" s="16"/>
      <c r="N106" s="16"/>
      <c r="O106" s="16"/>
      <c r="P106" s="16"/>
      <c r="Q106" s="16"/>
      <c r="R106" s="16"/>
      <c r="S106" s="16"/>
      <c r="T106" s="16"/>
    </row>
    <row r="107" spans="4:20">
      <c r="D107" s="16"/>
      <c r="E107" s="16"/>
      <c r="F107" s="16"/>
      <c r="N107" s="16"/>
      <c r="O107" s="16"/>
      <c r="P107" s="16"/>
      <c r="Q107" s="16"/>
      <c r="R107" s="16"/>
      <c r="S107" s="16"/>
      <c r="T107" s="16"/>
    </row>
    <row r="108" spans="4:20">
      <c r="D108" s="16"/>
      <c r="E108" s="16"/>
      <c r="F108" s="16"/>
      <c r="N108" s="16"/>
      <c r="O108" s="16"/>
      <c r="P108" s="16"/>
      <c r="Q108" s="16"/>
      <c r="R108" s="16"/>
      <c r="S108" s="16"/>
      <c r="T108" s="16"/>
    </row>
    <row r="109" spans="4:20">
      <c r="D109" s="16"/>
      <c r="E109" s="16"/>
      <c r="F109" s="16"/>
      <c r="N109" s="16"/>
      <c r="O109" s="16"/>
      <c r="P109" s="16"/>
      <c r="Q109" s="16"/>
      <c r="R109" s="16"/>
      <c r="S109" s="16"/>
      <c r="T109" s="16"/>
    </row>
    <row r="110" spans="4:20">
      <c r="D110" s="16"/>
      <c r="E110" s="16"/>
      <c r="F110" s="16"/>
      <c r="N110" s="16"/>
      <c r="O110" s="16"/>
      <c r="P110" s="16"/>
      <c r="Q110" s="16"/>
      <c r="R110" s="16"/>
      <c r="S110" s="16"/>
      <c r="T110" s="16"/>
    </row>
    <row r="111" spans="4:20">
      <c r="D111" s="16"/>
      <c r="E111" s="16"/>
      <c r="F111" s="16"/>
      <c r="N111" s="16"/>
      <c r="O111" s="16"/>
      <c r="P111" s="16"/>
      <c r="Q111" s="16"/>
      <c r="R111" s="16"/>
      <c r="S111" s="16"/>
      <c r="T111" s="16"/>
    </row>
    <row r="112" spans="4:20">
      <c r="D112" s="16"/>
      <c r="E112" s="16"/>
      <c r="F112" s="16"/>
      <c r="N112" s="16"/>
      <c r="O112" s="16"/>
      <c r="P112" s="16"/>
      <c r="Q112" s="16"/>
      <c r="R112" s="16"/>
      <c r="S112" s="16"/>
      <c r="T112" s="16"/>
    </row>
    <row r="113" spans="4:20">
      <c r="D113" s="16"/>
      <c r="E113" s="16"/>
      <c r="F113" s="16"/>
      <c r="N113" s="16"/>
      <c r="O113" s="16"/>
      <c r="P113" s="16"/>
      <c r="Q113" s="16"/>
      <c r="R113" s="16"/>
      <c r="S113" s="16"/>
      <c r="T113" s="16"/>
    </row>
    <row r="114" spans="4:20">
      <c r="D114" s="16"/>
      <c r="E114" s="16"/>
      <c r="F114" s="16"/>
      <c r="N114" s="16"/>
      <c r="O114" s="16"/>
      <c r="P114" s="16"/>
      <c r="Q114" s="16"/>
      <c r="R114" s="16"/>
      <c r="S114" s="16"/>
      <c r="T114" s="16"/>
    </row>
    <row r="115" spans="4:20">
      <c r="D115" s="16"/>
      <c r="E115" s="16"/>
      <c r="F115" s="16"/>
      <c r="N115" s="16"/>
      <c r="O115" s="16"/>
      <c r="P115" s="16"/>
      <c r="Q115" s="16"/>
      <c r="R115" s="16"/>
      <c r="S115" s="16"/>
      <c r="T115" s="16"/>
    </row>
    <row r="116" spans="4:20">
      <c r="D116" s="16"/>
      <c r="E116" s="16"/>
      <c r="F116" s="16"/>
      <c r="N116" s="16"/>
      <c r="O116" s="16"/>
      <c r="P116" s="16"/>
      <c r="Q116" s="16"/>
      <c r="R116" s="16"/>
      <c r="S116" s="16"/>
      <c r="T116" s="16"/>
    </row>
    <row r="117" spans="4:20">
      <c r="D117" s="16"/>
      <c r="E117" s="16"/>
      <c r="F117" s="16"/>
      <c r="N117" s="16"/>
      <c r="O117" s="16"/>
      <c r="P117" s="16"/>
      <c r="Q117" s="16"/>
      <c r="R117" s="16"/>
      <c r="S117" s="16"/>
      <c r="T117" s="16"/>
    </row>
  </sheetData>
  <mergeCells count="19">
    <mergeCell ref="B16:E16"/>
    <mergeCell ref="P16:T16"/>
    <mergeCell ref="L5:M5"/>
    <mergeCell ref="N5:O5"/>
    <mergeCell ref="P5:Q5"/>
    <mergeCell ref="A1:U1"/>
    <mergeCell ref="A2:U2"/>
    <mergeCell ref="H5:I5"/>
    <mergeCell ref="J5:K5"/>
    <mergeCell ref="T4:U5"/>
    <mergeCell ref="A4:A6"/>
    <mergeCell ref="B4:B6"/>
    <mergeCell ref="C4:C6"/>
    <mergeCell ref="D4:G5"/>
    <mergeCell ref="D6:E6"/>
    <mergeCell ref="F6:G6"/>
    <mergeCell ref="R5:S5"/>
    <mergeCell ref="N4:S4"/>
    <mergeCell ref="H4:M4"/>
  </mergeCells>
  <phoneticPr fontId="0" type="noConversion"/>
  <pageMargins left="0.2" right="0.2" top="0.85416666666666696" bottom="0.86458333333333304" header="0.17" footer="0.35"/>
  <pageSetup paperSize="9" orientation="landscape" r:id="rId1"/>
  <headerFooter alignWithMargins="0">
    <oddHeader>&amp;L&amp;G&amp;R
&amp;"Times New Roman,Regular"M09A-SX-QT-04</oddHeader>
    <oddFooter>&amp;L&amp;"Times New Roman,Regular"&amp;9Công ty Cổ phẩn luyện thép cao cấp Việt Nhật
Rv: 25/05/2018
             &amp;R&amp;P</oddFooter>
  </headerFooter>
  <drawing r:id="rId2"/>
  <legacyDrawingHF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workbookViewId="0"/>
  </sheetViews>
  <sheetFormatPr defaultColWidth="7" defaultRowHeight="12.75"/>
  <cols>
    <col min="1" max="1" width="23" style="1" customWidth="1"/>
    <col min="2" max="2" width="1" style="1" customWidth="1"/>
    <col min="3" max="3" width="24.75" style="1" customWidth="1"/>
    <col min="4" max="16384" width="7" style="1"/>
  </cols>
  <sheetData>
    <row r="1" spans="1:3" ht="15">
      <c r="A1"/>
      <c r="C1"/>
    </row>
    <row r="2" spans="1:3" ht="15.75" thickBot="1">
      <c r="A2"/>
    </row>
    <row r="3" spans="1:3" ht="15.75" thickBot="1">
      <c r="A3"/>
      <c r="C3"/>
    </row>
    <row r="4" spans="1:3" ht="15">
      <c r="A4"/>
      <c r="C4" s="66"/>
    </row>
    <row r="5" spans="1:3" ht="15">
      <c r="C5" s="66"/>
    </row>
    <row r="6" spans="1:3" ht="15.75" thickBot="1">
      <c r="C6" s="66"/>
    </row>
    <row r="7" spans="1:3" ht="15">
      <c r="A7"/>
      <c r="C7" s="66"/>
    </row>
    <row r="8" spans="1:3" ht="15">
      <c r="A8"/>
      <c r="C8" s="66"/>
    </row>
    <row r="9" spans="1:3" ht="15">
      <c r="A9"/>
      <c r="C9" s="66"/>
    </row>
    <row r="10" spans="1:3" ht="15">
      <c r="A10"/>
      <c r="C10" s="66"/>
    </row>
    <row r="11" spans="1:3" ht="15.75" thickBot="1">
      <c r="A11"/>
      <c r="C11" s="66"/>
    </row>
    <row r="12" spans="1:3" ht="15">
      <c r="C12" s="66"/>
    </row>
    <row r="13" spans="1:3" ht="15.75" thickBot="1">
      <c r="C13" s="66"/>
    </row>
    <row r="14" spans="1:3" ht="15.75" thickBot="1">
      <c r="A14"/>
      <c r="C14" s="66"/>
    </row>
    <row r="15" spans="1:3" ht="15">
      <c r="A15" s="66"/>
    </row>
    <row r="16" spans="1:3" ht="15.75" thickBot="1">
      <c r="A16" s="66"/>
    </row>
    <row r="17" spans="1:3" ht="15.75" thickBot="1">
      <c r="A17" s="66"/>
      <c r="C17"/>
    </row>
    <row r="18" spans="1:3" ht="15">
      <c r="C18" s="66"/>
    </row>
    <row r="19" spans="1:3" ht="15">
      <c r="C19" s="66"/>
    </row>
    <row r="20" spans="1:3" ht="15">
      <c r="A20"/>
      <c r="C20" s="66"/>
    </row>
    <row r="21" spans="1:3" ht="15">
      <c r="A21" s="66"/>
      <c r="C21" s="66"/>
    </row>
    <row r="22" spans="1:3" ht="15">
      <c r="A22" s="66"/>
      <c r="C22" s="66"/>
    </row>
    <row r="23" spans="1:3" ht="15">
      <c r="A23" s="66"/>
      <c r="C23" s="66"/>
    </row>
    <row r="24" spans="1:3" ht="15">
      <c r="A24" s="66"/>
    </row>
    <row r="25" spans="1:3" ht="15">
      <c r="A25" s="66"/>
    </row>
    <row r="26" spans="1:3" ht="15.75" thickBot="1">
      <c r="A26" s="66"/>
      <c r="C26"/>
    </row>
    <row r="27" spans="1:3" ht="15">
      <c r="A27" s="66"/>
      <c r="C27" s="66"/>
    </row>
    <row r="28" spans="1:3" ht="15">
      <c r="A28" s="66"/>
      <c r="C28" s="66"/>
    </row>
    <row r="29" spans="1:3" ht="15">
      <c r="A29" s="66"/>
      <c r="C29" s="66"/>
    </row>
    <row r="30" spans="1:3" ht="15">
      <c r="A30" s="66"/>
      <c r="C30" s="66"/>
    </row>
    <row r="31" spans="1:3" ht="15">
      <c r="A31" s="66"/>
      <c r="C31" s="66"/>
    </row>
    <row r="32" spans="1:3" ht="15">
      <c r="A32" s="66"/>
      <c r="C32" s="66"/>
    </row>
    <row r="33" spans="1:3" ht="15">
      <c r="A33" s="66"/>
      <c r="C33" s="66"/>
    </row>
    <row r="34" spans="1:3" ht="15">
      <c r="A34" s="66"/>
      <c r="C34" s="66"/>
    </row>
    <row r="35" spans="1:3" ht="15">
      <c r="A35" s="66"/>
      <c r="C35" s="66"/>
    </row>
    <row r="36" spans="1:3" ht="15">
      <c r="A36" s="66"/>
      <c r="C36" s="66"/>
    </row>
    <row r="37" spans="1:3" ht="15">
      <c r="A37" s="66"/>
    </row>
    <row r="38" spans="1:3" ht="15">
      <c r="A38" s="66"/>
    </row>
    <row r="39" spans="1:3" ht="15">
      <c r="A39" s="66"/>
      <c r="C39" s="66"/>
    </row>
    <row r="40" spans="1:3" ht="15">
      <c r="A40" s="66"/>
      <c r="C40" s="66"/>
    </row>
    <row r="41" spans="1:3" ht="15">
      <c r="A41" s="66"/>
      <c r="C41" s="66"/>
    </row>
  </sheetData>
  <sheetProtection password="8863" sheet="1" objects="1"/>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SLCP02</vt:lpstr>
      <vt:lpstr>BCDT02</vt:lpstr>
      <vt:lpstr>SLCP3</vt:lpstr>
      <vt:lpstr>BCDT03</vt:lpstr>
      <vt:lpstr>SLCP4</vt:lpstr>
      <vt:lpstr>BCDT4</vt:lpstr>
      <vt:lpstr>BCDT5</vt:lpstr>
      <vt:lpstr>Dinhtre thang</vt:lpstr>
    </vt:vector>
  </TitlesOfParts>
  <Company>PA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TUAN HUNG</dc:creator>
  <cp:lastModifiedBy>Do Thi Huong Ly</cp:lastModifiedBy>
  <cp:lastPrinted>2018-05-24T11:34:19Z</cp:lastPrinted>
  <dcterms:created xsi:type="dcterms:W3CDTF">2002-08-03T03:57:44Z</dcterms:created>
  <dcterms:modified xsi:type="dcterms:W3CDTF">2018-05-24T11:34:26Z</dcterms:modified>
</cp:coreProperties>
</file>