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query</t>
        </is>
      </c>
      <c r="B1" s="1" t="inlineStr">
        <is>
          <t>queryEn</t>
        </is>
      </c>
      <c r="C1" s="1" t="inlineStr">
        <is>
          <t>listingId</t>
        </is>
      </c>
      <c r="D1" s="1" t="inlineStr">
        <is>
          <t>etsy_url</t>
        </is>
      </c>
      <c r="E1" s="1" t="inlineStr">
        <is>
          <t>atlas_url</t>
        </is>
      </c>
      <c r="F1" s="1" t="inlineStr">
        <is>
          <t>titleEn_vertica</t>
        </is>
      </c>
      <c r="G1" s="1" t="inlineStr">
        <is>
          <t>etsyUUID</t>
        </is>
      </c>
      <c r="H1" s="1" t="inlineStr">
        <is>
          <t>platform</t>
        </is>
      </c>
      <c r="I1" s="1" t="inlineStr">
        <is>
          <t>userLanguage</t>
        </is>
      </c>
      <c r="J1" s="1" t="inlineStr">
        <is>
          <t>anno_data_source</t>
        </is>
      </c>
      <c r="K1" s="1" t="inlineStr">
        <is>
          <t>is_test</t>
        </is>
      </c>
      <c r="L1" s="1" t="inlineStr">
        <is>
          <t>labelbox_majority_label</t>
        </is>
      </c>
      <c r="M1" s="1" t="inlineStr">
        <is>
          <t>label_annotator_1</t>
        </is>
      </c>
      <c r="N1" s="1" t="inlineStr">
        <is>
          <t>label_annotator_2</t>
        </is>
      </c>
      <c r="O1" s="1" t="inlineStr">
        <is>
          <t>label_annotator_3</t>
        </is>
      </c>
      <c r="P1" s="1" t="inlineStr">
        <is>
          <t>is_gsl_v0_eval</t>
        </is>
      </c>
    </row>
    <row r="2">
      <c r="A2" t="inlineStr">
        <is>
          <t>nautical baby shower favors</t>
        </is>
      </c>
      <c r="B2" t="inlineStr"/>
      <c r="C2" t="n">
        <v>1014137217</v>
      </c>
      <c r="D2">
        <f>HYPERLINK("https://www.etsy.com/listing/1014137217", "link")</f>
        <v/>
      </c>
      <c r="E2">
        <f>HYPERLINK("https://atlas.etsycorp.com/listing/1014137217/lookup", "link")</f>
        <v/>
      </c>
      <c r="F2" t="inlineStr">
        <is>
          <t>Nautical Party Water Bottle Labels, Sailboat Water Bottle Label, Ahoy It&amp;#39;s a Boy Baby Shower Decor, Water Bottle Labels Editable Template#R9</t>
        </is>
      </c>
      <c r="G2" t="inlineStr">
        <is>
          <t>EuKO769OGxX4nMXGMf-MqwREhd7a</t>
        </is>
      </c>
      <c r="H2" t="inlineStr">
        <is>
          <t>web</t>
        </is>
      </c>
      <c r="I2" t="inlineStr">
        <is>
          <t>en-US</t>
        </is>
      </c>
      <c r="J2" t="inlineStr">
        <is>
          <t>us_v2-broad</t>
        </is>
      </c>
      <c r="K2" t="b">
        <v>1</v>
      </c>
      <c r="L2" t="inlineStr">
        <is>
          <t>partial</t>
        </is>
      </c>
      <c r="M2" t="inlineStr">
        <is>
          <t>partial</t>
        </is>
      </c>
      <c r="N2" t="inlineStr">
        <is>
          <t>partial</t>
        </is>
      </c>
      <c r="O2" t="inlineStr">
        <is>
          <t>relevant</t>
        </is>
      </c>
      <c r="P2" t="b">
        <v>1</v>
      </c>
    </row>
    <row r="3">
      <c r="A3" t="inlineStr">
        <is>
          <t>vivienne westwood lighter</t>
        </is>
      </c>
      <c r="B3" t="inlineStr">
        <is>
          <t>vivienne westwood lighter</t>
        </is>
      </c>
      <c r="C3" t="n">
        <v>1480332546</v>
      </c>
      <c r="D3">
        <f>HYPERLINK("https://www.etsy.com/listing/1480332546", "link")</f>
        <v/>
      </c>
      <c r="E3">
        <f>HYPERLINK("https://atlas.etsycorp.com/listing/1480332546/lookup", "link")</f>
        <v/>
      </c>
      <c r="F3" t="inlineStr">
        <is>
          <t>Viviennme Westwood Orb heart bag designer vegan leather nana anime official</t>
        </is>
      </c>
      <c r="G3" t="inlineStr">
        <is>
          <t>Eu9Av1tSXJxDI75y9jKwz5_3Np7d</t>
        </is>
      </c>
      <c r="H3" t="inlineStr">
        <is>
          <t>web</t>
        </is>
      </c>
      <c r="I3" t="inlineStr">
        <is>
          <t>es</t>
        </is>
      </c>
      <c r="J3" t="inlineStr">
        <is>
          <t>intl-es</t>
        </is>
      </c>
      <c r="K3" t="b">
        <v>1</v>
      </c>
      <c r="L3" t="inlineStr">
        <is>
          <t>not_relevant</t>
        </is>
      </c>
      <c r="M3" t="inlineStr">
        <is>
          <t>not_relevant</t>
        </is>
      </c>
      <c r="N3" t="inlineStr">
        <is>
          <t>not_relevant</t>
        </is>
      </c>
      <c r="O3" t="inlineStr">
        <is>
          <t>not_relevant</t>
        </is>
      </c>
      <c r="P3" t="b">
        <v>1</v>
      </c>
    </row>
    <row r="4">
      <c r="A4" t="inlineStr">
        <is>
          <t>warrior</t>
        </is>
      </c>
      <c r="B4" t="inlineStr">
        <is>
          <t>warrior</t>
        </is>
      </c>
      <c r="C4" t="n">
        <v>688801429</v>
      </c>
      <c r="D4">
        <f>HYPERLINK("https://www.etsy.com/listing/688801429", "link")</f>
        <v/>
      </c>
      <c r="E4">
        <f>HYPERLINK("https://atlas.etsycorp.com/listing/688801429/lookup", "link")</f>
        <v/>
      </c>
      <c r="F4" t="inlineStr">
        <is>
          <t>Retro VHS Lamp, The Warriors Retro,Top Quality!Amazing Gift  For Any Movie Fan,Man Cave Ideas or Pick your own Movie</t>
        </is>
      </c>
      <c r="G4" t="inlineStr">
        <is>
          <t>EufZpYygPek54nBx590oiKchn157</t>
        </is>
      </c>
      <c r="H4" t="inlineStr">
        <is>
          <t>web</t>
        </is>
      </c>
      <c r="I4" t="inlineStr">
        <is>
          <t>nl</t>
        </is>
      </c>
      <c r="J4" t="inlineStr">
        <is>
          <t>intl-nl</t>
        </is>
      </c>
      <c r="K4" t="b">
        <v>1</v>
      </c>
      <c r="L4" t="inlineStr">
        <is>
          <t>relevant</t>
        </is>
      </c>
      <c r="M4" t="inlineStr">
        <is>
          <t>relevant</t>
        </is>
      </c>
      <c r="N4" t="inlineStr">
        <is>
          <t>relevant</t>
        </is>
      </c>
      <c r="O4" t="inlineStr">
        <is>
          <t>relevant</t>
        </is>
      </c>
      <c r="P4" t="b">
        <v>1</v>
      </c>
    </row>
    <row r="5">
      <c r="A5" t="inlineStr">
        <is>
          <t>drum lamp shade</t>
        </is>
      </c>
      <c r="B5" t="inlineStr"/>
      <c r="C5" t="n">
        <v>1425707409</v>
      </c>
      <c r="D5">
        <f>HYPERLINK("https://www.etsy.com/listing/1425707409", "link")</f>
        <v/>
      </c>
      <c r="E5">
        <f>HYPERLINK("https://atlas.etsycorp.com/listing/1425707409/lookup", "link")</f>
        <v/>
      </c>
      <c r="F5" t="inlineStr">
        <is>
          <t>Vintage Light Ivory Drum Shade with Spider Shade</t>
        </is>
      </c>
      <c r="G5" t="inlineStr">
        <is>
          <t>EukA5ureqBynx5-BC_fjpykexS39</t>
        </is>
      </c>
      <c r="H5" t="inlineStr">
        <is>
          <t>web</t>
        </is>
      </c>
      <c r="I5" t="inlineStr">
        <is>
          <t>en-US</t>
        </is>
      </c>
      <c r="J5" t="inlineStr">
        <is>
          <t>us_v2-direct_unspecified</t>
        </is>
      </c>
      <c r="K5" t="b">
        <v>1</v>
      </c>
      <c r="L5" t="inlineStr">
        <is>
          <t>relevant</t>
        </is>
      </c>
      <c r="M5" t="inlineStr">
        <is>
          <t>relevant</t>
        </is>
      </c>
      <c r="N5" t="inlineStr">
        <is>
          <t>relevant</t>
        </is>
      </c>
      <c r="O5" t="inlineStr">
        <is>
          <t>relevant</t>
        </is>
      </c>
      <c r="P5" t="b">
        <v>1</v>
      </c>
    </row>
    <row r="6">
      <c r="A6" t="inlineStr">
        <is>
          <t>beast ring</t>
        </is>
      </c>
      <c r="B6" t="inlineStr">
        <is>
          <t>beast ring</t>
        </is>
      </c>
      <c r="C6" t="n">
        <v>686462928</v>
      </c>
      <c r="D6">
        <f>HYPERLINK("https://www.etsy.com/listing/686462928", "link")</f>
        <v/>
      </c>
      <c r="E6">
        <f>HYPERLINK("https://atlas.etsycorp.com/listing/686462928/lookup", "link")</f>
        <v/>
      </c>
      <c r="F6" t="inlineStr">
        <is>
          <t>His &amp; Hers Personalized Silicone Wedding Ring Set Custom Engraving All Sizes Available Any Text, Image or Symbol - Aera Rings Made in USA</t>
        </is>
      </c>
      <c r="G6" t="inlineStr">
        <is>
          <t>Eu1rPkeiSdNa3d2bhPBW3T4FoC92</t>
        </is>
      </c>
      <c r="H6" t="inlineStr">
        <is>
          <t>web</t>
        </is>
      </c>
      <c r="I6" t="inlineStr">
        <is>
          <t>de</t>
        </is>
      </c>
      <c r="J6" t="inlineStr">
        <is>
          <t>intl-de</t>
        </is>
      </c>
      <c r="K6" t="b">
        <v>1</v>
      </c>
      <c r="L6" t="inlineStr">
        <is>
          <t>partial</t>
        </is>
      </c>
      <c r="M6" t="inlineStr">
        <is>
          <t>partial</t>
        </is>
      </c>
      <c r="N6" t="inlineStr">
        <is>
          <t>partial</t>
        </is>
      </c>
      <c r="O6" t="inlineStr">
        <is>
          <t>partial</t>
        </is>
      </c>
      <c r="P6" t="b">
        <v>1</v>
      </c>
    </row>
    <row r="7">
      <c r="A7" t="inlineStr">
        <is>
          <t>cadre bijoux enfant</t>
        </is>
      </c>
      <c r="B7" t="inlineStr">
        <is>
          <t>child jewelry frame</t>
        </is>
      </c>
      <c r="C7" t="n">
        <v>955684776</v>
      </c>
      <c r="D7">
        <f>HYPERLINK("https://www.etsy.com/listing/955684776", "link")</f>
        <v/>
      </c>
      <c r="E7">
        <f>HYPERLINK("https://atlas.etsycorp.com/listing/955684776/lookup", "link")</f>
        <v/>
      </c>
      <c r="F7" t="inlineStr">
        <is>
          <t>Cross comb, heddle 8 dpi, 5.5 cm / 15 threads</t>
        </is>
      </c>
      <c r="G7" t="inlineStr">
        <is>
          <t>EuYle9LxJ0ElWF6E4iXNELhNFv76</t>
        </is>
      </c>
      <c r="H7" t="inlineStr">
        <is>
          <t>web</t>
        </is>
      </c>
      <c r="I7" t="inlineStr">
        <is>
          <t>fr</t>
        </is>
      </c>
      <c r="J7" t="inlineStr">
        <is>
          <t>intl-fr</t>
        </is>
      </c>
      <c r="K7" t="b">
        <v>1</v>
      </c>
      <c r="L7" t="inlineStr">
        <is>
          <t>not_relevant</t>
        </is>
      </c>
      <c r="M7" t="inlineStr">
        <is>
          <t>not_relevant</t>
        </is>
      </c>
      <c r="N7" t="inlineStr">
        <is>
          <t>not_relevant</t>
        </is>
      </c>
      <c r="O7" t="inlineStr">
        <is>
          <t>not_relevant</t>
        </is>
      </c>
      <c r="P7" t="b">
        <v>1</v>
      </c>
    </row>
    <row r="8">
      <c r="A8" t="inlineStr">
        <is>
          <t>hanfu yellow</t>
        </is>
      </c>
      <c r="B8" t="inlineStr"/>
      <c r="C8" t="n">
        <v>1080142973</v>
      </c>
      <c r="D8">
        <f>HYPERLINK("https://www.etsy.com/listing/1080142973", "link")</f>
        <v/>
      </c>
      <c r="E8">
        <f>HYPERLINK("https://atlas.etsycorp.com/listing/1080142973/lookup", "link")</f>
        <v/>
      </c>
      <c r="F8" t="inlineStr">
        <is>
          <t>Chinese Hanfu Modified Jacket Padded Linen Quilted Coat Kimono coat Chinese Traditional Jacket Kimono Linen Padded Coat Unisex Overcoat</t>
        </is>
      </c>
      <c r="G8" t="inlineStr">
        <is>
          <t>EucWZ3zX9_qVPqOIz3RfMWGJZG70</t>
        </is>
      </c>
      <c r="H8" t="inlineStr">
        <is>
          <t>boe</t>
        </is>
      </c>
      <c r="I8" t="inlineStr">
        <is>
          <t>en-US</t>
        </is>
      </c>
      <c r="J8" t="inlineStr">
        <is>
          <t>us_v2-broad</t>
        </is>
      </c>
      <c r="K8" t="b">
        <v>1</v>
      </c>
      <c r="L8" t="inlineStr">
        <is>
          <t>partial</t>
        </is>
      </c>
      <c r="M8" t="inlineStr">
        <is>
          <t>partial</t>
        </is>
      </c>
      <c r="N8" t="inlineStr">
        <is>
          <t>relevant</t>
        </is>
      </c>
      <c r="O8" t="inlineStr">
        <is>
          <t>partial</t>
        </is>
      </c>
      <c r="P8" t="b">
        <v>1</v>
      </c>
    </row>
    <row r="9">
      <c r="A9" t="inlineStr">
        <is>
          <t>schwebender nachttisch schwarz schmal</t>
        </is>
      </c>
      <c r="B9" t="inlineStr">
        <is>
          <t>floating bedside table black narrow</t>
        </is>
      </c>
      <c r="C9" t="n">
        <v>717506555</v>
      </c>
      <c r="D9">
        <f>HYPERLINK("https://www.etsy.com/listing/717506555", "link")</f>
        <v/>
      </c>
      <c r="E9">
        <f>HYPERLINK("https://atlas.etsycorp.com/listing/717506555/lookup", "link")</f>
        <v/>
      </c>
      <c r="F9" t="inlineStr">
        <is>
          <t>Minimalist Floating Nightstand with Drawer</t>
        </is>
      </c>
      <c r="G9" t="inlineStr">
        <is>
          <t>EuSPLKUgbRlaJzUT7syfdbVII7a0</t>
        </is>
      </c>
      <c r="H9" t="inlineStr">
        <is>
          <t>web</t>
        </is>
      </c>
      <c r="I9" t="inlineStr">
        <is>
          <t>de</t>
        </is>
      </c>
      <c r="J9" t="inlineStr">
        <is>
          <t>intl-de</t>
        </is>
      </c>
      <c r="K9" t="b">
        <v>1</v>
      </c>
      <c r="L9" t="inlineStr">
        <is>
          <t>partial</t>
        </is>
      </c>
      <c r="M9" t="inlineStr">
        <is>
          <t>partial</t>
        </is>
      </c>
      <c r="N9" t="inlineStr">
        <is>
          <t>partial</t>
        </is>
      </c>
      <c r="O9" t="inlineStr">
        <is>
          <t>partial</t>
        </is>
      </c>
      <c r="P9" t="b">
        <v>1</v>
      </c>
    </row>
    <row r="10">
      <c r="A10" t="inlineStr">
        <is>
          <t>Etsy customer service contact</t>
        </is>
      </c>
      <c r="B10" t="inlineStr"/>
      <c r="C10" t="n">
        <v>1094320863</v>
      </c>
      <c r="D10">
        <f>HYPERLINK("https://www.etsy.com/listing/1094320863", "link")</f>
        <v/>
      </c>
      <c r="E10">
        <f>HYPERLINK("https://atlas.etsycorp.com/listing/1094320863/lookup", "link")</f>
        <v/>
      </c>
      <c r="F10" t="inlineStr">
        <is>
          <t>Increase Customers Spell, same day option, spells, spell casting,  energy work,  witch,  spell, white magic, folk, light magic</t>
        </is>
      </c>
      <c r="G10" t="inlineStr">
        <is>
          <t>EuHj0asjJ_3qv2TuUgp7XQFPSef2</t>
        </is>
      </c>
      <c r="H10" t="inlineStr">
        <is>
          <t>boe</t>
        </is>
      </c>
      <c r="I10" t="inlineStr">
        <is>
          <t>en-US</t>
        </is>
      </c>
      <c r="J10" t="inlineStr">
        <is>
          <t>us_v2-direct_unspecified</t>
        </is>
      </c>
      <c r="K10" t="b">
        <v>1</v>
      </c>
      <c r="L10" t="inlineStr">
        <is>
          <t>not_relevant</t>
        </is>
      </c>
      <c r="M10" t="inlineStr">
        <is>
          <t>not_relevant</t>
        </is>
      </c>
      <c r="N10" t="inlineStr">
        <is>
          <t>not_relevant</t>
        </is>
      </c>
      <c r="O10" t="inlineStr">
        <is>
          <t>not_sure</t>
        </is>
      </c>
      <c r="P10" t="b">
        <v>1</v>
      </c>
    </row>
    <row r="11">
      <c r="A11" t="inlineStr">
        <is>
          <t>Custom baby blanket</t>
        </is>
      </c>
      <c r="B11" t="inlineStr"/>
      <c r="C11" t="n">
        <v>1530581565</v>
      </c>
      <c r="D11">
        <f>HYPERLINK("https://www.etsy.com/listing/1530581565", "link")</f>
        <v/>
      </c>
      <c r="E11">
        <f>HYPERLINK("https://atlas.etsycorp.com/listing/1530581565/lookup", "link")</f>
        <v/>
      </c>
      <c r="F11" t="inlineStr">
        <is>
          <t>Personalized Baby Gift, Rattle Animal Lovey, Cuddle Security Blanket  Baby Shower Gift</t>
        </is>
      </c>
      <c r="G11" t="inlineStr">
        <is>
          <t>EuETIw3AZXjrwvAZe6ozrkevyz3f</t>
        </is>
      </c>
      <c r="H11" t="inlineStr">
        <is>
          <t>boe</t>
        </is>
      </c>
      <c r="I11" t="inlineStr">
        <is>
          <t>en-US</t>
        </is>
      </c>
      <c r="J11" t="inlineStr">
        <is>
          <t>us_v2-direct_specified</t>
        </is>
      </c>
      <c r="K11" t="b">
        <v>1</v>
      </c>
      <c r="L11" t="inlineStr">
        <is>
          <t>relevant</t>
        </is>
      </c>
      <c r="M11" t="inlineStr">
        <is>
          <t>relevant</t>
        </is>
      </c>
      <c r="N11" t="inlineStr">
        <is>
          <t>relevant</t>
        </is>
      </c>
      <c r="O11" t="inlineStr">
        <is>
          <t>relevant</t>
        </is>
      </c>
      <c r="P11" t="b">
        <v>1</v>
      </c>
    </row>
    <row r="12">
      <c r="A12" t="inlineStr">
        <is>
          <t>welding caps aztec</t>
        </is>
      </c>
      <c r="B12" t="inlineStr"/>
      <c r="C12" t="n">
        <v>937827447</v>
      </c>
      <c r="D12">
        <f>HYPERLINK("https://www.etsy.com/listing/937827447", "link")</f>
        <v/>
      </c>
      <c r="E12">
        <f>HYPERLINK("https://atlas.etsycorp.com/listing/937827447/lookup", "link")</f>
        <v/>
      </c>
      <c r="F12" t="inlineStr">
        <is>
          <t>Written in blood- Reversible - Add Embroidery to Your Cap! See description for the link.</t>
        </is>
      </c>
      <c r="G12" t="inlineStr">
        <is>
          <t>EuB1lcK7Wv_ooC_QCtNIWW5Rk_b4</t>
        </is>
      </c>
      <c r="H12" t="inlineStr">
        <is>
          <t>web</t>
        </is>
      </c>
      <c r="I12" t="inlineStr">
        <is>
          <t>en-US</t>
        </is>
      </c>
      <c r="J12" t="inlineStr">
        <is>
          <t>us_v2-direct_specified</t>
        </is>
      </c>
      <c r="K12" t="b">
        <v>1</v>
      </c>
      <c r="L12" t="inlineStr">
        <is>
          <t>partial</t>
        </is>
      </c>
      <c r="M12" t="inlineStr">
        <is>
          <t>partial</t>
        </is>
      </c>
      <c r="N12" t="inlineStr">
        <is>
          <t>partial</t>
        </is>
      </c>
      <c r="O12" t="inlineStr">
        <is>
          <t>partial</t>
        </is>
      </c>
      <c r="P12" t="b">
        <v>1</v>
      </c>
    </row>
    <row r="13">
      <c r="A13" t="inlineStr">
        <is>
          <t>oraclr middle ages</t>
        </is>
      </c>
      <c r="B13" t="inlineStr">
        <is>
          <t>oraclr middle ages</t>
        </is>
      </c>
      <c r="C13" t="n">
        <v>1523227355</v>
      </c>
      <c r="D13">
        <f>HYPERLINK("https://www.etsy.com/listing/1523227355", "link")</f>
        <v/>
      </c>
      <c r="E13">
        <f>HYPERLINK("https://atlas.etsycorp.com/listing/1523227355/lookup", "link")</f>
        <v/>
      </c>
      <c r="F13" t="inlineStr">
        <is>
          <t>Octagonal Oak Runes Futhark: Ancient Nordic Wisdom Carved into Timeless Symbols - Your Guide Through Life&amp;#39;s Mysteries</t>
        </is>
      </c>
      <c r="G13" t="inlineStr">
        <is>
          <t>EuKsxJe_zqkaL4FuS2fQcQ4zXI08</t>
        </is>
      </c>
      <c r="H13" t="inlineStr">
        <is>
          <t>web</t>
        </is>
      </c>
      <c r="I13" t="inlineStr">
        <is>
          <t>it</t>
        </is>
      </c>
      <c r="J13" t="inlineStr">
        <is>
          <t>intl-it</t>
        </is>
      </c>
      <c r="K13" t="b">
        <v>1</v>
      </c>
      <c r="L13" t="inlineStr">
        <is>
          <t>partial</t>
        </is>
      </c>
      <c r="M13" t="inlineStr">
        <is>
          <t>partial</t>
        </is>
      </c>
      <c r="N13" t="inlineStr">
        <is>
          <t>not_relevant</t>
        </is>
      </c>
      <c r="O13" t="inlineStr">
        <is>
          <t>partial</t>
        </is>
      </c>
      <c r="P13" t="b">
        <v>1</v>
      </c>
    </row>
    <row r="14">
      <c r="A14" t="inlineStr">
        <is>
          <t>sexmovies</t>
        </is>
      </c>
      <c r="B14" t="inlineStr"/>
      <c r="C14" t="n">
        <v>1389820879</v>
      </c>
      <c r="D14">
        <f>HYPERLINK("https://www.etsy.com/listing/1389820879", "link")</f>
        <v/>
      </c>
      <c r="E14">
        <f>HYPERLINK("https://atlas.etsycorp.com/listing/1389820879/lookup", "link")</f>
        <v/>
      </c>
      <c r="F14" t="inlineStr">
        <is>
          <t>2 signed solo instax photos</t>
        </is>
      </c>
      <c r="G14" t="inlineStr">
        <is>
          <t>Euh_hSM8w7kXBumqYBsgT_lIPMb6</t>
        </is>
      </c>
      <c r="H14" t="inlineStr">
        <is>
          <t>boe</t>
        </is>
      </c>
      <c r="I14" t="inlineStr">
        <is>
          <t>en-US</t>
        </is>
      </c>
      <c r="J14" t="inlineStr">
        <is>
          <t>us_v2-direct_unspecified</t>
        </is>
      </c>
      <c r="K14" t="b">
        <v>1</v>
      </c>
      <c r="L14" t="inlineStr">
        <is>
          <t>not_relevant</t>
        </is>
      </c>
      <c r="M14" t="inlineStr">
        <is>
          <t>not_relevant</t>
        </is>
      </c>
      <c r="N14" t="inlineStr">
        <is>
          <t>not_relevant</t>
        </is>
      </c>
      <c r="O14" t="inlineStr">
        <is>
          <t>not_relevant</t>
        </is>
      </c>
      <c r="P14" t="b">
        <v>1</v>
      </c>
    </row>
    <row r="15">
      <c r="A15" t="inlineStr">
        <is>
          <t>adventskalender</t>
        </is>
      </c>
      <c r="B15" t="inlineStr">
        <is>
          <t>advent calendar</t>
        </is>
      </c>
      <c r="C15" t="n">
        <v>633988142</v>
      </c>
      <c r="D15">
        <f>HYPERLINK("https://www.etsy.com/listing/633988142", "link")</f>
        <v/>
      </c>
      <c r="E15">
        <f>HYPERLINK("https://atlas.etsycorp.com/listing/633988142/lookup", "link")</f>
        <v/>
      </c>
      <c r="F15" t="inlineStr">
        <is>
          <t>DIY Advent calendar to fill yourself, Advent calendar houses, Advent calendar illustrated, Advent calendar crafting, Calendar craft sheet</t>
        </is>
      </c>
      <c r="G15" t="inlineStr">
        <is>
          <t>EuydQmcrL8hemaKMCJAklffesK81</t>
        </is>
      </c>
      <c r="H15" t="inlineStr">
        <is>
          <t>boe</t>
        </is>
      </c>
      <c r="I15" t="inlineStr">
        <is>
          <t>de</t>
        </is>
      </c>
      <c r="J15" t="inlineStr">
        <is>
          <t>intl-de</t>
        </is>
      </c>
      <c r="K15" t="b">
        <v>1</v>
      </c>
      <c r="L15" t="inlineStr">
        <is>
          <t>relevant</t>
        </is>
      </c>
      <c r="M15" t="inlineStr">
        <is>
          <t>relevant</t>
        </is>
      </c>
      <c r="N15" t="inlineStr">
        <is>
          <t>relevant</t>
        </is>
      </c>
      <c r="O15" t="inlineStr">
        <is>
          <t>relevant</t>
        </is>
      </c>
      <c r="P15" t="b">
        <v>1</v>
      </c>
    </row>
    <row r="16">
      <c r="A16" t="inlineStr">
        <is>
          <t>Find shirts</t>
        </is>
      </c>
      <c r="B16" t="inlineStr">
        <is>
          <t>Find shirts</t>
        </is>
      </c>
      <c r="C16" t="n">
        <v>1749152089</v>
      </c>
      <c r="D16">
        <f>HYPERLINK("https://www.etsy.com/listing/1749152089", "link")</f>
        <v/>
      </c>
      <c r="E16">
        <f>HYPERLINK("https://atlas.etsycorp.com/listing/1749152089/lookup", "link")</f>
        <v/>
      </c>
      <c r="F16" t="inlineStr">
        <is>
          <t>Funny Bass Fishing Sublimation Design, Fishing Shirt Design, Humorous Fishing Quote png, Fish Around Find Out png</t>
        </is>
      </c>
      <c r="G16" t="inlineStr">
        <is>
          <t>EukoxHr-1ueOBqOMApVQe_pQGr38</t>
        </is>
      </c>
      <c r="H16" t="inlineStr">
        <is>
          <t>web</t>
        </is>
      </c>
      <c r="I16" t="inlineStr">
        <is>
          <t>es</t>
        </is>
      </c>
      <c r="J16" t="inlineStr">
        <is>
          <t>intl-es</t>
        </is>
      </c>
      <c r="K16" t="b">
        <v>1</v>
      </c>
      <c r="L16" t="inlineStr">
        <is>
          <t>partial</t>
        </is>
      </c>
      <c r="M16" t="inlineStr">
        <is>
          <t>partial</t>
        </is>
      </c>
      <c r="N16" t="inlineStr">
        <is>
          <t>partial</t>
        </is>
      </c>
      <c r="O16" t="inlineStr">
        <is>
          <t>partial</t>
        </is>
      </c>
      <c r="P16" t="b">
        <v>1</v>
      </c>
    </row>
    <row r="17">
      <c r="A17" t="inlineStr">
        <is>
          <t>bracelet personnalisé femme</t>
        </is>
      </c>
      <c r="B17" t="inlineStr">
        <is>
          <t>personalized bracelet for women</t>
        </is>
      </c>
      <c r="C17" t="n">
        <v>1607171169</v>
      </c>
      <c r="D17">
        <f>HYPERLINK("https://www.etsy.com/listing/1607171169", "link")</f>
        <v/>
      </c>
      <c r="E17">
        <f>HYPERLINK("https://atlas.etsycorp.com/listing/1607171169/lookup", "link")</f>
        <v/>
      </c>
      <c r="F17" t="inlineStr">
        <is>
          <t>Personalized Bangle Bracelet First Name Mother-of-Pearl Heart Star, Gift Idea Godmother Jewel Bracelet Mom Birth Grandma Bridesmaid</t>
        </is>
      </c>
      <c r="G17" t="inlineStr">
        <is>
          <t>EuCbt8rvfhJ07YGo8eoa_dgBD96f</t>
        </is>
      </c>
      <c r="H17" t="inlineStr">
        <is>
          <t>web</t>
        </is>
      </c>
      <c r="I17" t="inlineStr">
        <is>
          <t>fr</t>
        </is>
      </c>
      <c r="J17" t="inlineStr">
        <is>
          <t>intl-fr</t>
        </is>
      </c>
      <c r="K17" t="b">
        <v>1</v>
      </c>
      <c r="L17" t="inlineStr">
        <is>
          <t>relevant</t>
        </is>
      </c>
      <c r="M17" t="inlineStr">
        <is>
          <t>relevant</t>
        </is>
      </c>
      <c r="N17" t="inlineStr">
        <is>
          <t>relevant</t>
        </is>
      </c>
      <c r="O17" t="inlineStr">
        <is>
          <t>relevant</t>
        </is>
      </c>
      <c r="P17" t="b">
        <v>1</v>
      </c>
    </row>
    <row r="18">
      <c r="A18" t="inlineStr">
        <is>
          <t>witcher&amp;#39;s fan gift</t>
        </is>
      </c>
      <c r="B18" t="inlineStr"/>
      <c r="C18" t="n">
        <v>1568718608</v>
      </c>
      <c r="D18">
        <f>HYPERLINK("https://www.etsy.com/listing/1568718608", "link")</f>
        <v/>
      </c>
      <c r="E18">
        <f>HYPERLINK("https://atlas.etsycorp.com/listing/1568718608/lookup", "link")</f>
        <v/>
      </c>
      <c r="F18" t="inlineStr">
        <is>
          <t>Ice Dragon Sticker, Cool Dragon Decal for Dragon Fans, Perfect for Laptop, Notebooks and Smartphones, Waterproof and Durable Vinyl</t>
        </is>
      </c>
      <c r="G18" t="inlineStr">
        <is>
          <t>EuQihQcn91nsBOnr95cwktixyW81</t>
        </is>
      </c>
      <c r="H18" t="inlineStr">
        <is>
          <t>web</t>
        </is>
      </c>
      <c r="I18" t="inlineStr">
        <is>
          <t>en-US</t>
        </is>
      </c>
      <c r="J18" t="inlineStr">
        <is>
          <t>us_v2-gift</t>
        </is>
      </c>
      <c r="K18" t="b">
        <v>1</v>
      </c>
      <c r="L18" t="inlineStr">
        <is>
          <t>not_relevant</t>
        </is>
      </c>
      <c r="M18" t="inlineStr">
        <is>
          <t>not_relevant</t>
        </is>
      </c>
      <c r="N18" t="inlineStr">
        <is>
          <t>not_relevant</t>
        </is>
      </c>
      <c r="O18" t="inlineStr">
        <is>
          <t>not_relevant</t>
        </is>
      </c>
      <c r="P18" t="b">
        <v>1</v>
      </c>
    </row>
    <row r="19">
      <c r="A19" t="inlineStr">
        <is>
          <t>graffiti wall art</t>
        </is>
      </c>
      <c r="B19" t="inlineStr"/>
      <c r="C19" t="n">
        <v>1612813608</v>
      </c>
      <c r="D19">
        <f>HYPERLINK("https://www.etsy.com/listing/1612813608", "link")</f>
        <v/>
      </c>
      <c r="E19">
        <f>HYPERLINK("https://atlas.etsycorp.com/listing/1612813608/lookup", "link")</f>
        <v/>
      </c>
      <c r="F19" t="inlineStr">
        <is>
          <t>Street Art Dumpster, Banksy Edition, 3D Printed Dumpster Prop, Functional Art, Stash Box for Fans of Street Art, Pencil or Marker Holder</t>
        </is>
      </c>
      <c r="G19" t="inlineStr">
        <is>
          <t>EukQreNnvNuASDEO6gUnOKDq-H95</t>
        </is>
      </c>
      <c r="H19" t="inlineStr">
        <is>
          <t>boe</t>
        </is>
      </c>
      <c r="I19" t="inlineStr">
        <is>
          <t>en-US</t>
        </is>
      </c>
      <c r="J19" t="inlineStr">
        <is>
          <t>us_v2-direct_specified</t>
        </is>
      </c>
      <c r="K19" t="b">
        <v>1</v>
      </c>
      <c r="L19" t="inlineStr">
        <is>
          <t>not_relevant</t>
        </is>
      </c>
      <c r="M19" t="inlineStr">
        <is>
          <t>not_relevant</t>
        </is>
      </c>
      <c r="N19" t="inlineStr">
        <is>
          <t>partial</t>
        </is>
      </c>
      <c r="O19" t="inlineStr">
        <is>
          <t>not_relevant</t>
        </is>
      </c>
      <c r="P19" t="b">
        <v>1</v>
      </c>
    </row>
    <row r="20">
      <c r="A20" t="inlineStr">
        <is>
          <t>badge wallet</t>
        </is>
      </c>
      <c r="B20" t="inlineStr"/>
      <c r="C20" t="n">
        <v>798691373</v>
      </c>
      <c r="D20">
        <f>HYPERLINK("https://www.etsy.com/listing/798691373", "link")</f>
        <v/>
      </c>
      <c r="E20">
        <f>HYPERLINK("https://atlas.etsycorp.com/listing/798691373/lookup", "link")</f>
        <v/>
      </c>
      <c r="F20" t="inlineStr">
        <is>
          <t>DIY Coin Purse PDF Sewing Pattern</t>
        </is>
      </c>
      <c r="G20" t="inlineStr">
        <is>
          <t>EuNzne6OUocpDXUqgmkU6cGbAr15</t>
        </is>
      </c>
      <c r="H20" t="inlineStr">
        <is>
          <t>web</t>
        </is>
      </c>
      <c r="I20" t="inlineStr">
        <is>
          <t>en-US</t>
        </is>
      </c>
      <c r="J20" t="inlineStr">
        <is>
          <t>us_v2-direct_unspecified</t>
        </is>
      </c>
      <c r="K20" t="b">
        <v>1</v>
      </c>
      <c r="L20" t="inlineStr">
        <is>
          <t>not_relevant</t>
        </is>
      </c>
      <c r="M20" t="inlineStr">
        <is>
          <t>not_relevant</t>
        </is>
      </c>
      <c r="N20" t="inlineStr">
        <is>
          <t>not_relevant</t>
        </is>
      </c>
      <c r="O20" t="inlineStr">
        <is>
          <t>partial</t>
        </is>
      </c>
      <c r="P20" t="b">
        <v>1</v>
      </c>
    </row>
    <row r="21">
      <c r="A21" t="inlineStr">
        <is>
          <t>car emblem 3d printing</t>
        </is>
      </c>
      <c r="B21" t="inlineStr"/>
      <c r="C21" t="n">
        <v>1537058212</v>
      </c>
      <c r="D21">
        <f>HYPERLINK("https://www.etsy.com/listing/1537058212", "link")</f>
        <v/>
      </c>
      <c r="E21">
        <f>HYPERLINK("https://atlas.etsycorp.com/listing/1537058212/lookup", "link")</f>
        <v/>
      </c>
      <c r="F21" t="inlineStr">
        <is>
          <t>RAM Tailgate RAM Head Emblem Overlay Decals BLUE Flames Fits 2009-2024 Trucks</t>
        </is>
      </c>
      <c r="G21" t="inlineStr">
        <is>
          <t>EuybEErpRPb2kdBAlEw37N6W0H7f</t>
        </is>
      </c>
      <c r="H21" t="inlineStr">
        <is>
          <t>boe</t>
        </is>
      </c>
      <c r="I21" t="inlineStr">
        <is>
          <t>en-US</t>
        </is>
      </c>
      <c r="J21" t="inlineStr">
        <is>
          <t>us_v2-direct_specified</t>
        </is>
      </c>
      <c r="K21" t="b">
        <v>1</v>
      </c>
      <c r="L21" t="inlineStr">
        <is>
          <t>partial</t>
        </is>
      </c>
      <c r="M21" t="inlineStr">
        <is>
          <t>partial</t>
        </is>
      </c>
      <c r="N21" t="inlineStr">
        <is>
          <t>partial</t>
        </is>
      </c>
      <c r="O21" t="inlineStr">
        <is>
          <t>partial</t>
        </is>
      </c>
      <c r="P21" t="b">
        <v>1</v>
      </c>
    </row>
    <row r="22">
      <c r="A22" t="inlineStr">
        <is>
          <t>ep-133 case</t>
        </is>
      </c>
      <c r="B22" t="inlineStr"/>
      <c r="C22" t="n">
        <v>1639194804</v>
      </c>
      <c r="D22">
        <f>HYPERLINK("https://www.etsy.com/listing/1639194804", "link")</f>
        <v/>
      </c>
      <c r="E22">
        <f>HYPERLINK("https://atlas.etsycorp.com/listing/1639194804/lookup", "link")</f>
        <v/>
      </c>
      <c r="F22" t="inlineStr">
        <is>
          <t>EP-133 KO II Vinyl Sticker Skin / Precut Holes / #55</t>
        </is>
      </c>
      <c r="G22" t="inlineStr">
        <is>
          <t>Eu39iqb_1VXr_IOuUsS40C9noe2b</t>
        </is>
      </c>
      <c r="H22" t="inlineStr">
        <is>
          <t>boe</t>
        </is>
      </c>
      <c r="I22" t="inlineStr">
        <is>
          <t>en-US</t>
        </is>
      </c>
      <c r="J22" t="inlineStr">
        <is>
          <t>us_v2-direct_specified</t>
        </is>
      </c>
      <c r="K22" t="b">
        <v>1</v>
      </c>
      <c r="L22" t="inlineStr">
        <is>
          <t>partial</t>
        </is>
      </c>
      <c r="M22" t="inlineStr">
        <is>
          <t>relevant</t>
        </is>
      </c>
      <c r="N22" t="inlineStr">
        <is>
          <t>partial</t>
        </is>
      </c>
      <c r="O22" t="inlineStr">
        <is>
          <t>partial</t>
        </is>
      </c>
      <c r="P22" t="b">
        <v>1</v>
      </c>
    </row>
    <row r="23">
      <c r="A23" t="inlineStr">
        <is>
          <t>personalized gift</t>
        </is>
      </c>
      <c r="B23" t="inlineStr"/>
      <c r="C23" t="n">
        <v>1263677130</v>
      </c>
      <c r="D23">
        <f>HYPERLINK("https://www.etsy.com/listing/1263677130", "link")</f>
        <v/>
      </c>
      <c r="E23">
        <f>HYPERLINK("https://atlas.etsycorp.com/listing/1263677130/lookup", "link")</f>
        <v/>
      </c>
      <c r="F23" t="inlineStr">
        <is>
          <t>Custom line drawing, custom minimalist drawing, couple drawing from photo in my style</t>
        </is>
      </c>
      <c r="G23" t="inlineStr">
        <is>
          <t>EuoWHkYIstp9SkhBq7vPQpJw9639</t>
        </is>
      </c>
      <c r="H23" t="inlineStr">
        <is>
          <t>web</t>
        </is>
      </c>
      <c r="I23" t="inlineStr">
        <is>
          <t>en-GB</t>
        </is>
      </c>
      <c r="J23" t="inlineStr">
        <is>
          <t>us_v2-gift</t>
        </is>
      </c>
      <c r="K23" t="b">
        <v>1</v>
      </c>
      <c r="L23" t="inlineStr">
        <is>
          <t>relevant</t>
        </is>
      </c>
      <c r="M23" t="inlineStr">
        <is>
          <t>relevant</t>
        </is>
      </c>
      <c r="N23" t="inlineStr">
        <is>
          <t>partial</t>
        </is>
      </c>
      <c r="O23" t="inlineStr">
        <is>
          <t>relevant</t>
        </is>
      </c>
      <c r="P23" t="b">
        <v>1</v>
      </c>
    </row>
    <row r="24">
      <c r="A24" t="inlineStr">
        <is>
          <t>wings of fire  hivewing plush</t>
        </is>
      </c>
      <c r="B24" t="inlineStr"/>
      <c r="C24" t="n">
        <v>1014676666</v>
      </c>
      <c r="D24">
        <f>HYPERLINK("https://www.etsy.com/listing/1014676666", "link")</f>
        <v/>
      </c>
      <c r="E24">
        <f>HYPERLINK("https://atlas.etsycorp.com/listing/1014676666/lookup", "link")</f>
        <v/>
      </c>
      <c r="F24" t="inlineStr">
        <is>
          <t>Tamarin the Rainwing</t>
        </is>
      </c>
      <c r="G24" t="inlineStr">
        <is>
          <t>EudHDKudZxJ7LPbFWC3HleACx16d</t>
        </is>
      </c>
      <c r="H24" t="inlineStr">
        <is>
          <t>web</t>
        </is>
      </c>
      <c r="I24" t="inlineStr">
        <is>
          <t>en-US</t>
        </is>
      </c>
      <c r="J24" t="inlineStr">
        <is>
          <t>us_v2-direct_specified</t>
        </is>
      </c>
      <c r="K24" t="b">
        <v>1</v>
      </c>
      <c r="L24" t="inlineStr">
        <is>
          <t>partial</t>
        </is>
      </c>
      <c r="M24" t="inlineStr">
        <is>
          <t>partial</t>
        </is>
      </c>
      <c r="N24" t="inlineStr">
        <is>
          <t>partial</t>
        </is>
      </c>
      <c r="O24" t="inlineStr">
        <is>
          <t>not_relevant</t>
        </is>
      </c>
      <c r="P24" t="b">
        <v>1</v>
      </c>
    </row>
    <row r="25">
      <c r="A25" t="inlineStr">
        <is>
          <t>bracelet pour montre femme 1cm</t>
        </is>
      </c>
      <c r="B25" t="inlineStr">
        <is>
          <t>bracelet for women's watch 1cm</t>
        </is>
      </c>
      <c r="C25" t="n">
        <v>1658910815</v>
      </c>
      <c r="D25">
        <f>HYPERLINK("https://www.etsy.com/listing/1658910815", "link")</f>
        <v/>
      </c>
      <c r="E25">
        <f>HYPERLINK("https://atlas.etsycorp.com/listing/1658910815/lookup", "link")</f>
        <v/>
      </c>
      <c r="F25" t="inlineStr">
        <is>
          <t>Pink girl&amp;#39;s scarf watch Fabric watch Fabric bracelet watch Ribbon watch Women&amp;#39;s fabric watch Liberty mitsi valéria pink handmade gift</t>
        </is>
      </c>
      <c r="G25" t="inlineStr">
        <is>
          <t>EuGQjDTmaJq6BAoPuKJnGxrEHVdb</t>
        </is>
      </c>
      <c r="H25" t="inlineStr">
        <is>
          <t>web</t>
        </is>
      </c>
      <c r="I25" t="inlineStr">
        <is>
          <t>fr</t>
        </is>
      </c>
      <c r="J25" t="inlineStr">
        <is>
          <t>intl-fr</t>
        </is>
      </c>
      <c r="K25" t="b">
        <v>1</v>
      </c>
      <c r="L25" t="inlineStr">
        <is>
          <t>partial</t>
        </is>
      </c>
      <c r="M25" t="inlineStr">
        <is>
          <t>partial</t>
        </is>
      </c>
      <c r="N25" t="inlineStr">
        <is>
          <t>partial</t>
        </is>
      </c>
      <c r="O25" t="inlineStr">
        <is>
          <t>relevant</t>
        </is>
      </c>
      <c r="P25" t="b">
        <v>1</v>
      </c>
    </row>
    <row r="26">
      <c r="A26" t="inlineStr">
        <is>
          <t>football gifts for girls</t>
        </is>
      </c>
      <c r="B26" t="inlineStr"/>
      <c r="C26" t="n">
        <v>1363462243</v>
      </c>
      <c r="D26">
        <f>HYPERLINK("https://www.etsy.com/listing/1363462243", "link")</f>
        <v/>
      </c>
      <c r="E26">
        <f>HYPERLINK("https://atlas.etsycorp.com/listing/1363462243/lookup", "link")</f>
        <v/>
      </c>
      <c r="F26" t="inlineStr">
        <is>
          <t>Just a Boy Who Loves Football&amp;quot; Kids&amp;#39; Personalised T-Shirt</t>
        </is>
      </c>
      <c r="G26" t="inlineStr">
        <is>
          <t>EuzWzZp17RfZEp2I86zJR8c48Y45</t>
        </is>
      </c>
      <c r="H26" t="inlineStr">
        <is>
          <t>web</t>
        </is>
      </c>
      <c r="I26" t="inlineStr">
        <is>
          <t>en-GB</t>
        </is>
      </c>
      <c r="J26" t="inlineStr">
        <is>
          <t>us_v2-gift</t>
        </is>
      </c>
      <c r="K26" t="b">
        <v>1</v>
      </c>
      <c r="L26" t="inlineStr">
        <is>
          <t>not_relevant</t>
        </is>
      </c>
      <c r="M26" t="inlineStr">
        <is>
          <t>not_relevant</t>
        </is>
      </c>
      <c r="N26" t="inlineStr">
        <is>
          <t>not_relevant</t>
        </is>
      </c>
      <c r="O26" t="inlineStr">
        <is>
          <t>not_relevant</t>
        </is>
      </c>
      <c r="P26" t="b">
        <v>1</v>
      </c>
    </row>
    <row r="27">
      <c r="A27" t="inlineStr">
        <is>
          <t>piel de cocodrilo</t>
        </is>
      </c>
      <c r="B27" t="inlineStr">
        <is>
          <t>crocodile skin</t>
        </is>
      </c>
      <c r="C27" t="n">
        <v>1313047323</v>
      </c>
      <c r="D27">
        <f>HYPERLINK("https://www.etsy.com/listing/1313047323", "link")</f>
        <v/>
      </c>
      <c r="E27">
        <f>HYPERLINK("https://atlas.etsycorp.com/listing/1313047323/lookup", "link")</f>
        <v/>
      </c>
      <c r="F27" t="inlineStr">
        <is>
          <t>Double Sides Black Alligator Leather Wallet/ Personalized Wallet For Men/ Anniversary Gift For Him/Mens Wallet/ Custom Wallet/Gift For Dad</t>
        </is>
      </c>
      <c r="G27" t="inlineStr">
        <is>
          <t>EuuzJODFax-m9gCSTIyQ6CpQtT55</t>
        </is>
      </c>
      <c r="H27" t="inlineStr">
        <is>
          <t>boe</t>
        </is>
      </c>
      <c r="I27" t="inlineStr">
        <is>
          <t>es</t>
        </is>
      </c>
      <c r="J27" t="inlineStr">
        <is>
          <t>intl-es</t>
        </is>
      </c>
      <c r="K27" t="b">
        <v>1</v>
      </c>
      <c r="L27" t="inlineStr">
        <is>
          <t>relevant</t>
        </is>
      </c>
      <c r="M27" t="inlineStr">
        <is>
          <t>relevant</t>
        </is>
      </c>
      <c r="N27" t="inlineStr">
        <is>
          <t>relevant</t>
        </is>
      </c>
      <c r="O27" t="inlineStr">
        <is>
          <t>relevant</t>
        </is>
      </c>
      <c r="P27" t="b">
        <v>1</v>
      </c>
    </row>
    <row r="28">
      <c r="A28" t="inlineStr">
        <is>
          <t>wickelauflage</t>
        </is>
      </c>
      <c r="B28" t="inlineStr">
        <is>
          <t>changing mat</t>
        </is>
      </c>
      <c r="C28" t="n">
        <v>1087431613</v>
      </c>
      <c r="D28">
        <f>HYPERLINK("https://www.etsy.com/listing/1087431613", "link")</f>
        <v/>
      </c>
      <c r="E28">
        <f>HYPERLINK("https://atlas.etsycorp.com/listing/1087431613/lookup", "link")</f>
        <v/>
      </c>
      <c r="F28" t="inlineStr">
        <is>
          <t>Changing mat white dots, white terry cloth</t>
        </is>
      </c>
      <c r="G28" t="inlineStr">
        <is>
          <t>EuR3NErghPyCZFZOO74M_uHdfq2e</t>
        </is>
      </c>
      <c r="H28" t="inlineStr">
        <is>
          <t>boe</t>
        </is>
      </c>
      <c r="I28" t="inlineStr">
        <is>
          <t>de</t>
        </is>
      </c>
      <c r="J28" t="inlineStr">
        <is>
          <t>intl-de</t>
        </is>
      </c>
      <c r="K28" t="b">
        <v>1</v>
      </c>
      <c r="L28" t="inlineStr">
        <is>
          <t>relevant</t>
        </is>
      </c>
      <c r="M28" t="inlineStr">
        <is>
          <t>relevant</t>
        </is>
      </c>
      <c r="N28" t="inlineStr">
        <is>
          <t>relevant</t>
        </is>
      </c>
      <c r="O28" t="inlineStr">
        <is>
          <t>relevant</t>
        </is>
      </c>
      <c r="P28" t="b">
        <v>1</v>
      </c>
    </row>
    <row r="29">
      <c r="A29" t="inlineStr">
        <is>
          <t>wickelunterlage to go wasserabweisend</t>
        </is>
      </c>
      <c r="B29" t="inlineStr">
        <is>
          <t>changing mat to go water repellent</t>
        </is>
      </c>
      <c r="C29" t="n">
        <v>1473920795</v>
      </c>
      <c r="D29">
        <f>HYPERLINK("https://www.etsy.com/listing/1473920795", "link")</f>
        <v/>
      </c>
      <c r="E29">
        <f>HYPERLINK("https://atlas.etsycorp.com/listing/1473920795/lookup", "link")</f>
        <v/>
      </c>
      <c r="F29" t="inlineStr">
        <is>
          <t>Changing bag to go, changing pad to go</t>
        </is>
      </c>
      <c r="G29" t="inlineStr">
        <is>
          <t>EuSNlpMdVgWENNjQYXMco7ts5V3d</t>
        </is>
      </c>
      <c r="H29" t="inlineStr">
        <is>
          <t>web</t>
        </is>
      </c>
      <c r="I29" t="inlineStr">
        <is>
          <t>de</t>
        </is>
      </c>
      <c r="J29" t="inlineStr">
        <is>
          <t>intl-de</t>
        </is>
      </c>
      <c r="K29" t="b">
        <v>1</v>
      </c>
      <c r="L29" t="inlineStr">
        <is>
          <t>relevant</t>
        </is>
      </c>
      <c r="M29" t="inlineStr">
        <is>
          <t>relevant</t>
        </is>
      </c>
      <c r="N29" t="inlineStr">
        <is>
          <t>relevant</t>
        </is>
      </c>
      <c r="O29" t="inlineStr">
        <is>
          <t>relevant</t>
        </is>
      </c>
      <c r="P29" t="b">
        <v>1</v>
      </c>
    </row>
    <row r="30">
      <c r="A30" t="inlineStr">
        <is>
          <t>thigh high socks</t>
        </is>
      </c>
      <c r="B30" t="inlineStr"/>
      <c r="C30" t="n">
        <v>1554609057</v>
      </c>
      <c r="D30">
        <f>HYPERLINK("https://www.etsy.com/listing/1554609057", "link")</f>
        <v/>
      </c>
      <c r="E30">
        <f>HYPERLINK("https://atlas.etsycorp.com/listing/1554609057/lookup", "link")</f>
        <v/>
      </c>
      <c r="F30" t="inlineStr">
        <is>
          <t>Tie dye Thigh high socks</t>
        </is>
      </c>
      <c r="G30" t="inlineStr">
        <is>
          <t>EuLaIXtvIc0fb1AlIpPJGSjtvy77</t>
        </is>
      </c>
      <c r="H30" t="inlineStr">
        <is>
          <t>web</t>
        </is>
      </c>
      <c r="I30" t="inlineStr">
        <is>
          <t>en-US</t>
        </is>
      </c>
      <c r="J30" t="inlineStr">
        <is>
          <t>us_v2-direct_specified</t>
        </is>
      </c>
      <c r="K30" t="b">
        <v>1</v>
      </c>
      <c r="L30" t="inlineStr">
        <is>
          <t>relevant</t>
        </is>
      </c>
      <c r="M30" t="inlineStr">
        <is>
          <t>relevant</t>
        </is>
      </c>
      <c r="N30" t="inlineStr">
        <is>
          <t>relevant</t>
        </is>
      </c>
      <c r="O30" t="inlineStr">
        <is>
          <t>relevant</t>
        </is>
      </c>
      <c r="P30" t="b">
        <v>1</v>
      </c>
    </row>
    <row r="31">
      <c r="A31" t="inlineStr">
        <is>
          <t>smart doll wig</t>
        </is>
      </c>
      <c r="B31" t="inlineStr"/>
      <c r="C31" t="n">
        <v>1503532019</v>
      </c>
      <c r="D31">
        <f>HYPERLINK("https://www.etsy.com/listing/1503532019", "link")</f>
        <v/>
      </c>
      <c r="E31">
        <f>HYPERLINK("https://atlas.etsycorp.com/listing/1503532019/lookup", "link")</f>
        <v/>
      </c>
      <c r="F31" t="inlineStr">
        <is>
          <t>PDF Copy Book Patterns for Fashion Dolls</t>
        </is>
      </c>
      <c r="G31" t="inlineStr">
        <is>
          <t>Eu52YF_XJHgRzJCZCypPlch6tj49</t>
        </is>
      </c>
      <c r="H31" t="inlineStr">
        <is>
          <t>boe</t>
        </is>
      </c>
      <c r="I31" t="inlineStr">
        <is>
          <t>en-US</t>
        </is>
      </c>
      <c r="J31" t="inlineStr">
        <is>
          <t>us_v2-direct_specified</t>
        </is>
      </c>
      <c r="K31" t="b">
        <v>1</v>
      </c>
      <c r="L31" t="inlineStr">
        <is>
          <t>relevant</t>
        </is>
      </c>
      <c r="M31" t="inlineStr">
        <is>
          <t>partial</t>
        </is>
      </c>
      <c r="N31" t="inlineStr">
        <is>
          <t>relevant</t>
        </is>
      </c>
      <c r="O31" t="inlineStr">
        <is>
          <t>relevant</t>
        </is>
      </c>
      <c r="P31" t="b">
        <v>1</v>
      </c>
    </row>
    <row r="32">
      <c r="A32" t="inlineStr">
        <is>
          <t>statue grecque</t>
        </is>
      </c>
      <c r="B32" t="inlineStr">
        <is>
          <t>greek statue</t>
        </is>
      </c>
      <c r="C32" t="n">
        <v>1571748970</v>
      </c>
      <c r="D32">
        <f>HYPERLINK("https://www.etsy.com/listing/1571748970", "link")</f>
        <v/>
      </c>
      <c r="E32">
        <f>HYPERLINK("https://atlas.etsycorp.com/listing/1571748970/lookup", "link")</f>
        <v/>
      </c>
      <c r="F32" t="inlineStr">
        <is>
          <t>HANDPAINTED Hebe - RESIN REPLICA</t>
        </is>
      </c>
      <c r="G32" t="inlineStr">
        <is>
          <t>Eu49Yx_V9DAJ8OuxW4sPMDmo9892</t>
        </is>
      </c>
      <c r="H32" t="inlineStr">
        <is>
          <t>boe</t>
        </is>
      </c>
      <c r="I32" t="inlineStr">
        <is>
          <t>fr</t>
        </is>
      </c>
      <c r="J32" t="inlineStr">
        <is>
          <t>intl-fr</t>
        </is>
      </c>
      <c r="K32" t="b">
        <v>1</v>
      </c>
      <c r="L32" t="inlineStr">
        <is>
          <t>relevant</t>
        </is>
      </c>
      <c r="M32" t="inlineStr">
        <is>
          <t>relevant</t>
        </is>
      </c>
      <c r="N32" t="inlineStr">
        <is>
          <t>relevant</t>
        </is>
      </c>
      <c r="O32" t="inlineStr">
        <is>
          <t>relevant</t>
        </is>
      </c>
      <c r="P32" t="b">
        <v>1</v>
      </c>
    </row>
    <row r="33">
      <c r="A33" t="inlineStr">
        <is>
          <t>taschen damen</t>
        </is>
      </c>
      <c r="B33" t="inlineStr">
        <is>
          <t>bags ladies</t>
        </is>
      </c>
      <c r="C33" t="n">
        <v>1212527275</v>
      </c>
      <c r="D33">
        <f>HYPERLINK("https://www.etsy.com/listing/1212527275", "link")</f>
        <v/>
      </c>
      <c r="E33">
        <f>HYPERLINK("https://atlas.etsycorp.com/listing/1212527275/lookup", "link")</f>
        <v/>
      </c>
      <c r="F33" t="inlineStr">
        <is>
          <t>Purple Golf Cart Golf Towel Personalized Golf Towel Golf Towel Ladies League Gift Womans Golf Towel Girls Golf Towel Golft Gift Mothers Day</t>
        </is>
      </c>
      <c r="G33" t="inlineStr">
        <is>
          <t>Eu9i3c6kBsBF0TKzTq_gpqPk6Z9e</t>
        </is>
      </c>
      <c r="H33" t="inlineStr">
        <is>
          <t>boe</t>
        </is>
      </c>
      <c r="I33" t="inlineStr">
        <is>
          <t>de</t>
        </is>
      </c>
      <c r="J33" t="inlineStr">
        <is>
          <t>intl-de</t>
        </is>
      </c>
      <c r="K33" t="b">
        <v>1</v>
      </c>
      <c r="L33" t="inlineStr">
        <is>
          <t>not_relevant</t>
        </is>
      </c>
      <c r="M33" t="inlineStr">
        <is>
          <t>relevant</t>
        </is>
      </c>
      <c r="N33" t="inlineStr">
        <is>
          <t>not_relevant</t>
        </is>
      </c>
      <c r="O33" t="inlineStr">
        <is>
          <t>not_relevant</t>
        </is>
      </c>
      <c r="P33" t="b">
        <v>1</v>
      </c>
    </row>
    <row r="34">
      <c r="A34" t="inlineStr">
        <is>
          <t>aphid crochet</t>
        </is>
      </c>
      <c r="B34" t="inlineStr"/>
      <c r="C34" t="n">
        <v>1635053947</v>
      </c>
      <c r="D34">
        <f>HYPERLINK("https://www.etsy.com/listing/1635053947", "link")</f>
        <v/>
      </c>
      <c r="E34">
        <f>HYPERLINK("https://atlas.etsycorp.com/listing/1635053947/lookup", "link")</f>
        <v/>
      </c>
      <c r="F34" t="inlineStr">
        <is>
          <t>Koi Pond  ORIGINAL PAINTING</t>
        </is>
      </c>
      <c r="G34" t="inlineStr">
        <is>
          <t>EuKsEUuSfuhCHhggzRCY4G_iR648</t>
        </is>
      </c>
      <c r="H34" t="inlineStr">
        <is>
          <t>web</t>
        </is>
      </c>
      <c r="I34" t="inlineStr">
        <is>
          <t>en-US</t>
        </is>
      </c>
      <c r="J34" t="inlineStr">
        <is>
          <t>us_v2-direct_unspecified</t>
        </is>
      </c>
      <c r="K34" t="b">
        <v>1</v>
      </c>
      <c r="L34" t="inlineStr">
        <is>
          <t>not_relevant</t>
        </is>
      </c>
      <c r="M34" t="inlineStr">
        <is>
          <t>not_relevant</t>
        </is>
      </c>
      <c r="N34" t="inlineStr">
        <is>
          <t>not_relevant</t>
        </is>
      </c>
      <c r="O34" t="inlineStr">
        <is>
          <t>not_relevant</t>
        </is>
      </c>
      <c r="P34" t="b">
        <v>1</v>
      </c>
    </row>
    <row r="35">
      <c r="A35" t="inlineStr">
        <is>
          <t>vintage portable compact mirror asiatique</t>
        </is>
      </c>
      <c r="B35" t="inlineStr">
        <is>
          <t>vintage portable compact mirror asiatique</t>
        </is>
      </c>
      <c r="C35" t="n">
        <v>1752630739</v>
      </c>
      <c r="D35">
        <f>HYPERLINK("https://www.etsy.com/listing/1752630739", "link")</f>
        <v/>
      </c>
      <c r="E35">
        <f>HYPERLINK("https://atlas.etsycorp.com/listing/1752630739/lookup", "link")</f>
        <v/>
      </c>
      <c r="F35" t="inlineStr">
        <is>
          <t>Vintage Japanese powder compact, vintage chokin art peacocks compact mirror, collectable Japanese chokin compact mirror</t>
        </is>
      </c>
      <c r="G35" t="inlineStr">
        <is>
          <t>EubNtsjAxYzIuuxmQbECBkWe5sef</t>
        </is>
      </c>
      <c r="H35" t="inlineStr">
        <is>
          <t>boe</t>
        </is>
      </c>
      <c r="I35" t="inlineStr">
        <is>
          <t>fr</t>
        </is>
      </c>
      <c r="J35" t="inlineStr">
        <is>
          <t>intl-fr</t>
        </is>
      </c>
      <c r="K35" t="b">
        <v>1</v>
      </c>
      <c r="L35" t="inlineStr">
        <is>
          <t>relevant</t>
        </is>
      </c>
      <c r="M35" t="inlineStr">
        <is>
          <t>relevant</t>
        </is>
      </c>
      <c r="N35" t="inlineStr">
        <is>
          <t>relevant</t>
        </is>
      </c>
      <c r="O35" t="inlineStr">
        <is>
          <t>relevant</t>
        </is>
      </c>
      <c r="P35" t="b">
        <v>1</v>
      </c>
    </row>
    <row r="36">
      <c r="A36" t="inlineStr">
        <is>
          <t>dexters laboratory dvd</t>
        </is>
      </c>
      <c r="B36" t="inlineStr"/>
      <c r="C36" t="n">
        <v>1455169492</v>
      </c>
      <c r="D36">
        <f>HYPERLINK("https://www.etsy.com/listing/1455169492", "link")</f>
        <v/>
      </c>
      <c r="E36">
        <f>HYPERLINK("https://atlas.etsycorp.com/listing/1455169492/lookup", "link")</f>
        <v/>
      </c>
      <c r="F36" t="inlineStr">
        <is>
          <t>Green Hornet (1966-1967) Complete TV DVD Series</t>
        </is>
      </c>
      <c r="G36" t="inlineStr">
        <is>
          <t>Eufg0SyvrrxlUDUC3xA-V7cVk6cd</t>
        </is>
      </c>
      <c r="H36" t="inlineStr">
        <is>
          <t>boe</t>
        </is>
      </c>
      <c r="I36" t="inlineStr">
        <is>
          <t>en-US</t>
        </is>
      </c>
      <c r="J36" t="inlineStr">
        <is>
          <t>us_v2-direct_specified</t>
        </is>
      </c>
      <c r="K36" t="b">
        <v>1</v>
      </c>
      <c r="L36" t="inlineStr">
        <is>
          <t>partial</t>
        </is>
      </c>
      <c r="M36" t="inlineStr">
        <is>
          <t>partial</t>
        </is>
      </c>
      <c r="N36" t="inlineStr">
        <is>
          <t>partial</t>
        </is>
      </c>
      <c r="O36" t="inlineStr">
        <is>
          <t>partial</t>
        </is>
      </c>
      <c r="P36" t="b">
        <v>1</v>
      </c>
    </row>
    <row r="37">
      <c r="A37" t="inlineStr">
        <is>
          <t>cushion cover fabric</t>
        </is>
      </c>
      <c r="B37" t="inlineStr"/>
      <c r="C37" t="n">
        <v>1547900274</v>
      </c>
      <c r="D37">
        <f>HYPERLINK("https://www.etsy.com/listing/1547900274", "link")</f>
        <v/>
      </c>
      <c r="E37">
        <f>HYPERLINK("https://atlas.etsycorp.com/listing/1547900274/lookup", "link")</f>
        <v/>
      </c>
      <c r="F37" t="inlineStr">
        <is>
          <t>Pretty Vintage Barkcloth</t>
        </is>
      </c>
      <c r="G37" t="inlineStr">
        <is>
          <t>EuxM9wZYJ4qIgw4JZ8FhXjKRyIfd</t>
        </is>
      </c>
      <c r="H37" t="inlineStr">
        <is>
          <t>web</t>
        </is>
      </c>
      <c r="I37" t="inlineStr">
        <is>
          <t>en-GB</t>
        </is>
      </c>
      <c r="J37" t="inlineStr">
        <is>
          <t>us_v2-direct_unspecified</t>
        </is>
      </c>
      <c r="K37" t="b">
        <v>1</v>
      </c>
      <c r="L37" t="inlineStr">
        <is>
          <t>partial</t>
        </is>
      </c>
      <c r="M37" t="inlineStr">
        <is>
          <t>partial</t>
        </is>
      </c>
      <c r="N37" t="inlineStr">
        <is>
          <t>partial</t>
        </is>
      </c>
      <c r="O37" t="inlineStr">
        <is>
          <t>partial</t>
        </is>
      </c>
      <c r="P37" t="b">
        <v>1</v>
      </c>
    </row>
    <row r="38">
      <c r="A38" t="inlineStr">
        <is>
          <t>groomsmen labels</t>
        </is>
      </c>
      <c r="B38" t="inlineStr"/>
      <c r="C38" t="n">
        <v>1521388973</v>
      </c>
      <c r="D38">
        <f>HYPERLINK("https://www.etsy.com/listing/1521388973", "link")</f>
        <v/>
      </c>
      <c r="E38">
        <f>HYPERLINK("https://atlas.etsycorp.com/listing/1521388973/lookup", "link")</f>
        <v/>
      </c>
      <c r="F38" t="inlineStr">
        <is>
          <t>Groomsman Proposal Whiskey Label Template, Groomsmen Gift, Best Man Gift, Wedding Day, Best Man Proposal, Liquor, Instant Download</t>
        </is>
      </c>
      <c r="G38" t="inlineStr">
        <is>
          <t>EuyVU3bdI-94G4u4N8DZCe8iX98f</t>
        </is>
      </c>
      <c r="H38" t="inlineStr">
        <is>
          <t>web</t>
        </is>
      </c>
      <c r="I38" t="inlineStr">
        <is>
          <t>en-GB</t>
        </is>
      </c>
      <c r="J38" t="inlineStr">
        <is>
          <t>us_v2-direct_unspecified</t>
        </is>
      </c>
      <c r="K38" t="b">
        <v>1</v>
      </c>
      <c r="L38" t="inlineStr">
        <is>
          <t>relevant</t>
        </is>
      </c>
      <c r="M38" t="inlineStr">
        <is>
          <t>relevant</t>
        </is>
      </c>
      <c r="N38" t="inlineStr">
        <is>
          <t>relevant</t>
        </is>
      </c>
      <c r="O38" t="inlineStr">
        <is>
          <t>relevant</t>
        </is>
      </c>
      <c r="P38" t="b">
        <v>1</v>
      </c>
    </row>
    <row r="39">
      <c r="A39" t="inlineStr">
        <is>
          <t>vintage shapewear</t>
        </is>
      </c>
      <c r="B39" t="inlineStr"/>
      <c r="C39" t="n">
        <v>1545008362</v>
      </c>
      <c r="D39">
        <f>HYPERLINK("https://www.etsy.com/listing/1545008362", "link")</f>
        <v/>
      </c>
      <c r="E39">
        <f>HYPERLINK("https://atlas.etsycorp.com/listing/1545008362/lookup", "link")</f>
        <v/>
      </c>
      <c r="F39" t="inlineStr">
        <is>
          <t>Full suit body shaper</t>
        </is>
      </c>
      <c r="G39" t="inlineStr">
        <is>
          <t>EuDJNK8_5S0SHfv1dx278zaZBw9e</t>
        </is>
      </c>
      <c r="H39" t="inlineStr">
        <is>
          <t>web</t>
        </is>
      </c>
      <c r="I39" t="inlineStr">
        <is>
          <t>en-GB</t>
        </is>
      </c>
      <c r="J39" t="inlineStr">
        <is>
          <t>us_v2-direct_specified</t>
        </is>
      </c>
      <c r="K39" t="b">
        <v>1</v>
      </c>
      <c r="L39" t="inlineStr">
        <is>
          <t>relevant</t>
        </is>
      </c>
      <c r="M39" t="inlineStr">
        <is>
          <t>relevant</t>
        </is>
      </c>
      <c r="N39" t="inlineStr">
        <is>
          <t>relevant</t>
        </is>
      </c>
      <c r="O39" t="inlineStr">
        <is>
          <t>partial</t>
        </is>
      </c>
      <c r="P39" t="b">
        <v>1</v>
      </c>
    </row>
    <row r="40">
      <c r="A40" t="inlineStr">
        <is>
          <t>stainless steel ring</t>
        </is>
      </c>
      <c r="B40" t="inlineStr"/>
      <c r="C40" t="n">
        <v>1471978178</v>
      </c>
      <c r="D40">
        <f>HYPERLINK("https://www.etsy.com/listing/1471978178", "link")</f>
        <v/>
      </c>
      <c r="E40">
        <f>HYPERLINK("https://atlas.etsycorp.com/listing/1471978178/lookup", "link")</f>
        <v/>
      </c>
      <c r="F40" t="inlineStr">
        <is>
          <t>Customized Signature Ring | Personalized Engraved Signet Ring for Men or Women | Custom Made Silver Ring | Birthday Gift | Gift for BFF</t>
        </is>
      </c>
      <c r="G40" t="inlineStr">
        <is>
          <t>Euwn5wmSfp7SkbRTXdKmtdq8QWd5</t>
        </is>
      </c>
      <c r="H40" t="inlineStr">
        <is>
          <t>web</t>
        </is>
      </c>
      <c r="I40" t="inlineStr">
        <is>
          <t>en-GB</t>
        </is>
      </c>
      <c r="J40" t="inlineStr">
        <is>
          <t>us_v2-direct_specified</t>
        </is>
      </c>
      <c r="K40" t="b">
        <v>1</v>
      </c>
      <c r="L40" t="inlineStr">
        <is>
          <t>partial</t>
        </is>
      </c>
      <c r="M40" t="inlineStr">
        <is>
          <t>partial</t>
        </is>
      </c>
      <c r="N40" t="inlineStr">
        <is>
          <t>partial</t>
        </is>
      </c>
      <c r="O40" t="inlineStr">
        <is>
          <t>partial</t>
        </is>
      </c>
      <c r="P40" t="b">
        <v>1</v>
      </c>
    </row>
    <row r="41">
      <c r="A41" t="inlineStr">
        <is>
          <t>continuos light</t>
        </is>
      </c>
      <c r="B41" t="inlineStr">
        <is>
          <t>continuous light</t>
        </is>
      </c>
      <c r="C41" t="n">
        <v>880876879</v>
      </c>
      <c r="D41">
        <f>HYPERLINK("https://www.etsy.com/listing/880876879", "link")</f>
        <v/>
      </c>
      <c r="E41">
        <f>HYPERLINK("https://atlas.etsycorp.com/listing/880876879/lookup", "link")</f>
        <v/>
      </c>
      <c r="F41" t="inlineStr">
        <is>
          <t>Grass Green Zipper Tape with Light Gold Coil Teeth - #5 Zip, Size 5 Zipper by the metre, UK Shop</t>
        </is>
      </c>
      <c r="G41" t="inlineStr">
        <is>
          <t>EucBiiE4X2gADwrRpy3vMocAgzdc</t>
        </is>
      </c>
      <c r="H41" t="inlineStr">
        <is>
          <t>web</t>
        </is>
      </c>
      <c r="I41" t="inlineStr">
        <is>
          <t>it</t>
        </is>
      </c>
      <c r="J41" t="inlineStr">
        <is>
          <t>intl-it</t>
        </is>
      </c>
      <c r="K41" t="b">
        <v>1</v>
      </c>
      <c r="L41" t="inlineStr">
        <is>
          <t>not_relevant</t>
        </is>
      </c>
      <c r="M41" t="inlineStr">
        <is>
          <t>relevant</t>
        </is>
      </c>
      <c r="N41" t="inlineStr">
        <is>
          <t>not_relevant</t>
        </is>
      </c>
      <c r="O41" t="inlineStr">
        <is>
          <t>not_relevant</t>
        </is>
      </c>
      <c r="P41" t="b">
        <v>1</v>
      </c>
    </row>
    <row r="42">
      <c r="A42" t="inlineStr">
        <is>
          <t>make up bag</t>
        </is>
      </c>
      <c r="B42" t="inlineStr">
        <is>
          <t>make up bag</t>
        </is>
      </c>
      <c r="C42" t="n">
        <v>822786025</v>
      </c>
      <c r="D42">
        <f>HYPERLINK("https://www.etsy.com/listing/822786025", "link")</f>
        <v/>
      </c>
      <c r="E42">
        <f>HYPERLINK("https://atlas.etsycorp.com/listing/822786025/lookup", "link")</f>
        <v/>
      </c>
      <c r="F42" t="inlineStr">
        <is>
          <t>Verity Zipper Pouch PDF Sewing Pattern / Sewing Tutorial / Toiletry Bag / Cosmetic Bag / 3 Sizes / DIY / Instant Download / Project Pouch</t>
        </is>
      </c>
      <c r="G42" t="inlineStr">
        <is>
          <t>EuQ7_6cRfsSoES7gV6QxpspeTUab</t>
        </is>
      </c>
      <c r="H42" t="inlineStr">
        <is>
          <t>boe</t>
        </is>
      </c>
      <c r="I42" t="inlineStr">
        <is>
          <t>it</t>
        </is>
      </c>
      <c r="J42" t="inlineStr">
        <is>
          <t>intl-it</t>
        </is>
      </c>
      <c r="K42" t="b">
        <v>1</v>
      </c>
      <c r="L42" t="inlineStr">
        <is>
          <t>relevant</t>
        </is>
      </c>
      <c r="M42" t="inlineStr">
        <is>
          <t>relevant</t>
        </is>
      </c>
      <c r="N42" t="inlineStr">
        <is>
          <t>relevant</t>
        </is>
      </c>
      <c r="O42" t="inlineStr">
        <is>
          <t>relevant</t>
        </is>
      </c>
      <c r="P42" t="b">
        <v>1</v>
      </c>
    </row>
    <row r="43">
      <c r="A43" t="inlineStr">
        <is>
          <t>watercolour safari decal</t>
        </is>
      </c>
      <c r="B43" t="inlineStr"/>
      <c r="C43" t="n">
        <v>1529105745</v>
      </c>
      <c r="D43">
        <f>HYPERLINK("https://www.etsy.com/listing/1529105745", "link")</f>
        <v/>
      </c>
      <c r="E43">
        <f>HYPERLINK("https://atlas.etsycorp.com/listing/1529105745/lookup", "link")</f>
        <v/>
      </c>
      <c r="F43" t="inlineStr">
        <is>
          <t>Safari animals and monkey large wall decals, jungle animal wall stickers for nurseries, adjustable jungle wall decals, repositionable decal</t>
        </is>
      </c>
      <c r="G43" t="inlineStr">
        <is>
          <t>EuFmaNhL7D6oSoUSGNZVVJeXB6a6</t>
        </is>
      </c>
      <c r="H43" t="inlineStr">
        <is>
          <t>web</t>
        </is>
      </c>
      <c r="I43" t="inlineStr">
        <is>
          <t>en-GB</t>
        </is>
      </c>
      <c r="J43" t="inlineStr">
        <is>
          <t>us_v2-direct_specified</t>
        </is>
      </c>
      <c r="K43" t="b">
        <v>1</v>
      </c>
      <c r="L43" t="inlineStr">
        <is>
          <t>relevant</t>
        </is>
      </c>
      <c r="M43" t="inlineStr">
        <is>
          <t>relevant</t>
        </is>
      </c>
      <c r="N43" t="inlineStr">
        <is>
          <t>partial</t>
        </is>
      </c>
      <c r="O43" t="inlineStr">
        <is>
          <t>relevant</t>
        </is>
      </c>
      <c r="P43" t="b">
        <v>1</v>
      </c>
    </row>
    <row r="44">
      <c r="A44" t="inlineStr">
        <is>
          <t>sarape decoración de mesa</t>
        </is>
      </c>
      <c r="B44" t="inlineStr">
        <is>
          <t>serape table decoration</t>
        </is>
      </c>
      <c r="C44" t="n">
        <v>1449354631</v>
      </c>
      <c r="D44">
        <f>HYPERLINK("https://www.etsy.com/listing/1449354631", "link")</f>
        <v/>
      </c>
      <c r="E44">
        <f>HYPERLINK("https://atlas.etsycorp.com/listing/1449354631/lookup", "link")</f>
        <v/>
      </c>
      <c r="F44" t="inlineStr">
        <is>
          <t>Three Esta Birthday Hat, Mini Sombrero, Cinco De Mayo Party Decor, Fiesta Celebration, Taco Bout Two Birthday, Baby&amp;#39;s First Fiesta</t>
        </is>
      </c>
      <c r="G44" t="inlineStr">
        <is>
          <t>Eum83TxiE3OJrSv-jKhN1Tt-lL0c</t>
        </is>
      </c>
      <c r="H44" t="inlineStr">
        <is>
          <t>boe</t>
        </is>
      </c>
      <c r="I44" t="inlineStr">
        <is>
          <t>es</t>
        </is>
      </c>
      <c r="J44" t="inlineStr">
        <is>
          <t>intl-es</t>
        </is>
      </c>
      <c r="K44" t="b">
        <v>1</v>
      </c>
      <c r="L44" t="inlineStr">
        <is>
          <t>not_relevant</t>
        </is>
      </c>
      <c r="M44" t="inlineStr">
        <is>
          <t>not_relevant</t>
        </is>
      </c>
      <c r="N44" t="inlineStr">
        <is>
          <t>not_relevant</t>
        </is>
      </c>
      <c r="O44" t="inlineStr">
        <is>
          <t>not_relevant</t>
        </is>
      </c>
      <c r="P44" t="b">
        <v>1</v>
      </c>
    </row>
    <row r="45">
      <c r="A45" t="inlineStr">
        <is>
          <t>bruno fernandes</t>
        </is>
      </c>
      <c r="B45" t="inlineStr"/>
      <c r="C45" t="n">
        <v>1600964087</v>
      </c>
      <c r="D45">
        <f>HYPERLINK("https://www.etsy.com/listing/1600964087", "link")</f>
        <v/>
      </c>
      <c r="E45">
        <f>HYPERLINK("https://atlas.etsycorp.com/listing/1600964087/lookup", "link")</f>
        <v/>
      </c>
      <c r="F45" t="inlineStr">
        <is>
          <t>Casemiro Man U Autograph Player Photo Signed A4 Printed Memorabilia Reproduction Print Picture Display Man Utd No145</t>
        </is>
      </c>
      <c r="G45" t="inlineStr">
        <is>
          <t>Euw10TjfdRVPFH9NNeG3-_j6Kuae</t>
        </is>
      </c>
      <c r="H45" t="inlineStr">
        <is>
          <t>web</t>
        </is>
      </c>
      <c r="I45" t="inlineStr">
        <is>
          <t>en-GB</t>
        </is>
      </c>
      <c r="J45" t="inlineStr">
        <is>
          <t>us_v2-broad</t>
        </is>
      </c>
      <c r="K45" t="b">
        <v>1</v>
      </c>
      <c r="L45" t="inlineStr">
        <is>
          <t>not_relevant</t>
        </is>
      </c>
      <c r="M45" t="inlineStr">
        <is>
          <t>partial</t>
        </is>
      </c>
      <c r="N45" t="inlineStr">
        <is>
          <t>not_relevant</t>
        </is>
      </c>
      <c r="O45" t="inlineStr">
        <is>
          <t>not_relevant</t>
        </is>
      </c>
      <c r="P45" t="b">
        <v>1</v>
      </c>
    </row>
    <row r="46">
      <c r="A46" t="inlineStr">
        <is>
          <t>boar school</t>
        </is>
      </c>
      <c r="B46" t="inlineStr">
        <is>
          <t>boar school</t>
        </is>
      </c>
      <c r="C46" t="n">
        <v>1634997412</v>
      </c>
      <c r="D46">
        <f>HYPERLINK("https://www.etsy.com/listing/1634997412", "link")</f>
        <v/>
      </c>
      <c r="E46">
        <f>HYPERLINK("https://atlas.etsycorp.com/listing/1634997412/lookup", "link")</f>
        <v/>
      </c>
      <c r="F46" t="inlineStr">
        <is>
          <t>10 Wild boar in Seasons Clipart, Poster, Printable Watercolor clipart, High Quality JPGs, Digital download, Paper crafts, junk journals</t>
        </is>
      </c>
      <c r="G46" t="inlineStr">
        <is>
          <t>EuluJOXgNOx23CJeI5KIxr9iIi72</t>
        </is>
      </c>
      <c r="H46" t="inlineStr">
        <is>
          <t>boe</t>
        </is>
      </c>
      <c r="I46" t="inlineStr">
        <is>
          <t>pl</t>
        </is>
      </c>
      <c r="J46" t="inlineStr">
        <is>
          <t>intl-pl</t>
        </is>
      </c>
      <c r="K46" t="b">
        <v>1</v>
      </c>
      <c r="L46" t="inlineStr">
        <is>
          <t>relevant</t>
        </is>
      </c>
      <c r="M46" t="inlineStr">
        <is>
          <t>partial</t>
        </is>
      </c>
      <c r="N46" t="inlineStr">
        <is>
          <t>relevant</t>
        </is>
      </c>
      <c r="O46" t="inlineStr">
        <is>
          <t>relevant</t>
        </is>
      </c>
      <c r="P46" t="b">
        <v>1</v>
      </c>
    </row>
    <row r="47">
      <c r="A47" t="inlineStr">
        <is>
          <t>vivienne westwood lighter</t>
        </is>
      </c>
      <c r="B47" t="inlineStr">
        <is>
          <t>vivienne westwood lighter</t>
        </is>
      </c>
      <c r="C47" t="n">
        <v>1695093484</v>
      </c>
      <c r="D47">
        <f>HYPERLINK("https://www.etsy.com/listing/1695093484", "link")</f>
        <v/>
      </c>
      <c r="E47">
        <f>HYPERLINK("https://atlas.etsycorp.com/listing/1695093484/lookup", "link")</f>
        <v/>
      </c>
      <c r="F47" t="inlineStr">
        <is>
          <t>NANA Figure , Nana and Hachi Figure , Nana Komatsu and Nana Osaki</t>
        </is>
      </c>
      <c r="G47" t="inlineStr">
        <is>
          <t>Eu9Av1tSXJxDI75y9jKwz5_3Np7d</t>
        </is>
      </c>
      <c r="H47" t="inlineStr">
        <is>
          <t>web</t>
        </is>
      </c>
      <c r="I47" t="inlineStr">
        <is>
          <t>es</t>
        </is>
      </c>
      <c r="J47" t="inlineStr">
        <is>
          <t>intl-es</t>
        </is>
      </c>
      <c r="K47" t="b">
        <v>1</v>
      </c>
      <c r="L47" t="inlineStr">
        <is>
          <t>not_relevant</t>
        </is>
      </c>
      <c r="M47" t="inlineStr">
        <is>
          <t>not_relevant</t>
        </is>
      </c>
      <c r="N47" t="inlineStr">
        <is>
          <t>not_relevant</t>
        </is>
      </c>
      <c r="O47" t="inlineStr">
        <is>
          <t>not_relevant</t>
        </is>
      </c>
      <c r="P47" t="b">
        <v>1</v>
      </c>
    </row>
    <row r="48">
      <c r="A48" t="inlineStr">
        <is>
          <t>bean bag</t>
        </is>
      </c>
      <c r="B48" t="inlineStr">
        <is>
          <t>bean bag</t>
        </is>
      </c>
      <c r="C48" t="n">
        <v>1236331178</v>
      </c>
      <c r="D48">
        <f>HYPERLINK("https://www.etsy.com/listing/1236331178", "link")</f>
        <v/>
      </c>
      <c r="E48">
        <f>HYPERLINK("https://atlas.etsycorp.com/listing/1236331178/lookup", "link")</f>
        <v/>
      </c>
      <c r="F48" t="inlineStr">
        <is>
          <t>vintage handmade patchwork quilt</t>
        </is>
      </c>
      <c r="G48" t="inlineStr">
        <is>
          <t>EuJ3Ugi71BiOO5NT-4eknWz8Uz54</t>
        </is>
      </c>
      <c r="H48" t="inlineStr">
        <is>
          <t>boe</t>
        </is>
      </c>
      <c r="I48" t="inlineStr">
        <is>
          <t>pl</t>
        </is>
      </c>
      <c r="J48" t="inlineStr">
        <is>
          <t>intl-pl</t>
        </is>
      </c>
      <c r="K48" t="b">
        <v>1</v>
      </c>
      <c r="L48" t="inlineStr">
        <is>
          <t>not_relevant</t>
        </is>
      </c>
      <c r="M48" t="inlineStr">
        <is>
          <t>not_relevant</t>
        </is>
      </c>
      <c r="N48" t="inlineStr">
        <is>
          <t>not_relevant</t>
        </is>
      </c>
      <c r="O48" t="inlineStr">
        <is>
          <t>not_relevant</t>
        </is>
      </c>
      <c r="P48" t="b">
        <v>1</v>
      </c>
    </row>
    <row r="49">
      <c r="A49" t="inlineStr">
        <is>
          <t>vitage fischer</t>
        </is>
      </c>
      <c r="B49" t="inlineStr">
        <is>
          <t>vitage fischer</t>
        </is>
      </c>
      <c r="C49" t="n">
        <v>1726491240</v>
      </c>
      <c r="D49">
        <f>HYPERLINK("https://www.etsy.com/listing/1726491240", "link")</f>
        <v/>
      </c>
      <c r="E49">
        <f>HYPERLINK("https://atlas.etsycorp.com/listing/1726491240/lookup", "link")</f>
        <v/>
      </c>
      <c r="F49" t="inlineStr">
        <is>
          <t>Activity Center Fischer Price, vintage</t>
        </is>
      </c>
      <c r="G49" t="inlineStr">
        <is>
          <t>EuiZIMfcG1WdgY45iGZikrMmrAa7</t>
        </is>
      </c>
      <c r="H49" t="inlineStr">
        <is>
          <t>web</t>
        </is>
      </c>
      <c r="I49" t="inlineStr">
        <is>
          <t>de</t>
        </is>
      </c>
      <c r="J49" t="inlineStr">
        <is>
          <t>intl-de</t>
        </is>
      </c>
      <c r="K49" t="b">
        <v>1</v>
      </c>
      <c r="L49" t="inlineStr">
        <is>
          <t>relevant</t>
        </is>
      </c>
      <c r="M49" t="inlineStr">
        <is>
          <t>relevant</t>
        </is>
      </c>
      <c r="N49" t="inlineStr">
        <is>
          <t>not_relevant</t>
        </is>
      </c>
      <c r="O49" t="inlineStr">
        <is>
          <t>relevant</t>
        </is>
      </c>
      <c r="P49" t="b">
        <v>1</v>
      </c>
    </row>
    <row r="50">
      <c r="A50" t="inlineStr">
        <is>
          <t>pendurar puxador</t>
        </is>
      </c>
      <c r="B50" t="inlineStr">
        <is>
          <t>hang handle</t>
        </is>
      </c>
      <c r="C50" t="n">
        <v>1594700212</v>
      </c>
      <c r="D50">
        <f>HYPERLINK("https://www.etsy.com/listing/1594700212", "link")</f>
        <v/>
      </c>
      <c r="E50">
        <f>HYPERLINK("https://atlas.etsycorp.com/listing/1594700212/lookup", "link")</f>
        <v/>
      </c>
      <c r="F50" t="inlineStr">
        <is>
          <t>Coffee mug with turtle figurine on handle.</t>
        </is>
      </c>
      <c r="G50" t="inlineStr">
        <is>
          <t>EuErvFNHbrqIRnJ0kuJMDvPWhH72</t>
        </is>
      </c>
      <c r="H50" t="inlineStr">
        <is>
          <t>boe</t>
        </is>
      </c>
      <c r="I50" t="inlineStr">
        <is>
          <t>pt</t>
        </is>
      </c>
      <c r="J50" t="inlineStr">
        <is>
          <t>intl-pt</t>
        </is>
      </c>
      <c r="K50" t="b">
        <v>1</v>
      </c>
      <c r="L50" t="inlineStr">
        <is>
          <t>not_relevant</t>
        </is>
      </c>
      <c r="M50" t="inlineStr">
        <is>
          <t>relevant</t>
        </is>
      </c>
      <c r="N50" t="inlineStr">
        <is>
          <t>not_relevant</t>
        </is>
      </c>
      <c r="O50" t="inlineStr">
        <is>
          <t>not_relevant</t>
        </is>
      </c>
      <c r="P50" t="b">
        <v>1</v>
      </c>
    </row>
    <row r="51">
      <c r="A51" t="inlineStr">
        <is>
          <t>sausalito</t>
        </is>
      </c>
      <c r="B51" t="inlineStr"/>
      <c r="C51" t="n">
        <v>1578857344</v>
      </c>
      <c r="D51">
        <f>HYPERLINK("https://www.etsy.com/listing/1578857344", "link")</f>
        <v/>
      </c>
      <c r="E51">
        <f>HYPERLINK("https://atlas.etsycorp.com/listing/1578857344/lookup", "link")</f>
        <v/>
      </c>
      <c r="F51" t="inlineStr">
        <is>
          <t>It’s Not Gravy, it’s Sauce - Embroidered kitchen towel - Sauce Gravy Debate For Sunday Dinner | Italian Flag | Chef Funny Nonna Kitchen Gift</t>
        </is>
      </c>
      <c r="G51" t="inlineStr">
        <is>
          <t>EuU9nYauEFJIFLuPqN_23yUubz32</t>
        </is>
      </c>
      <c r="H51" t="inlineStr">
        <is>
          <t>web</t>
        </is>
      </c>
      <c r="I51" t="inlineStr">
        <is>
          <t>en-US</t>
        </is>
      </c>
      <c r="J51" t="inlineStr">
        <is>
          <t>us_v2-broad</t>
        </is>
      </c>
      <c r="K51" t="b">
        <v>1</v>
      </c>
      <c r="L51" t="inlineStr">
        <is>
          <t>not_relevant</t>
        </is>
      </c>
      <c r="M51" t="inlineStr">
        <is>
          <t>not_relevant</t>
        </is>
      </c>
      <c r="N51" t="inlineStr">
        <is>
          <t>not_relevant</t>
        </is>
      </c>
      <c r="O51" t="inlineStr">
        <is>
          <t>not_relevant</t>
        </is>
      </c>
      <c r="P51" t="b">
        <v>1</v>
      </c>
    </row>
    <row r="52">
      <c r="A52" t="inlineStr">
        <is>
          <t>Rosalina hot</t>
        </is>
      </c>
      <c r="B52" t="inlineStr">
        <is>
          <t>Rosalina hot</t>
        </is>
      </c>
      <c r="C52" t="n">
        <v>1486034129</v>
      </c>
      <c r="D52">
        <f>HYPERLINK("https://www.etsy.com/listing/1486034129", "link")</f>
        <v/>
      </c>
      <c r="E52">
        <f>HYPERLINK("https://atlas.etsycorp.com/listing/1486034129/lookup", "link")</f>
        <v/>
      </c>
      <c r="F52" t="inlineStr">
        <is>
          <t>Colorful Chain Chomps (Limited stock) [3D-Printed, Hand Painted, Collectible Figurine, Super Mario, Nintendo, Sculpture]</t>
        </is>
      </c>
      <c r="G52" t="inlineStr">
        <is>
          <t>EuRk-iADqUiYNJZ3FRqxjPKLuy64</t>
        </is>
      </c>
      <c r="H52" t="inlineStr">
        <is>
          <t>web</t>
        </is>
      </c>
      <c r="I52" t="inlineStr">
        <is>
          <t>es</t>
        </is>
      </c>
      <c r="J52" t="inlineStr">
        <is>
          <t>intl-es</t>
        </is>
      </c>
      <c r="K52" t="b">
        <v>1</v>
      </c>
      <c r="L52" t="inlineStr">
        <is>
          <t>not_relevant</t>
        </is>
      </c>
      <c r="M52" t="inlineStr">
        <is>
          <t>not_relevant</t>
        </is>
      </c>
      <c r="N52" t="inlineStr">
        <is>
          <t>not_relevant</t>
        </is>
      </c>
      <c r="O52" t="inlineStr">
        <is>
          <t>not_relevant</t>
        </is>
      </c>
      <c r="P52" t="b">
        <v>1</v>
      </c>
    </row>
    <row r="53">
      <c r="A53" t="inlineStr">
        <is>
          <t>autocollant mural personnalisé</t>
        </is>
      </c>
      <c r="B53" t="inlineStr">
        <is>
          <t>personalized wall sticker</t>
        </is>
      </c>
      <c r="C53" t="n">
        <v>670378135</v>
      </c>
      <c r="D53">
        <f>HYPERLINK("https://www.etsy.com/listing/670378135", "link")</f>
        <v/>
      </c>
      <c r="E53">
        <f>HYPERLINK("https://atlas.etsycorp.com/listing/670378135/lookup", "link")</f>
        <v/>
      </c>
      <c r="F53" t="inlineStr">
        <is>
          <t>Custom Name Wall Decal Nursery,  Peony Flower Wall Decal Baby Girl Bedroom, Pink White Watercolor Peonies Sticker Toddler Girl Room</t>
        </is>
      </c>
      <c r="G53" t="inlineStr">
        <is>
          <t>Eubc0--wBBrgojf8w1RSE7jlQ679</t>
        </is>
      </c>
      <c r="H53" t="inlineStr">
        <is>
          <t>boe</t>
        </is>
      </c>
      <c r="I53" t="inlineStr">
        <is>
          <t>fr</t>
        </is>
      </c>
      <c r="J53" t="inlineStr">
        <is>
          <t>intl-fr</t>
        </is>
      </c>
      <c r="K53" t="b">
        <v>1</v>
      </c>
      <c r="L53" t="inlineStr">
        <is>
          <t>relevant</t>
        </is>
      </c>
      <c r="M53" t="inlineStr">
        <is>
          <t>relevant</t>
        </is>
      </c>
      <c r="N53" t="inlineStr">
        <is>
          <t>relevant</t>
        </is>
      </c>
      <c r="O53" t="inlineStr">
        <is>
          <t>relevant</t>
        </is>
      </c>
      <c r="P53" t="b">
        <v>1</v>
      </c>
    </row>
    <row r="54">
      <c r="A54" t="inlineStr">
        <is>
          <t>fnaf diy kit</t>
        </is>
      </c>
      <c r="B54" t="inlineStr"/>
      <c r="C54" t="n">
        <v>1430128197</v>
      </c>
      <c r="D54">
        <f>HYPERLINK("https://www.etsy.com/listing/1430128197", "link")</f>
        <v/>
      </c>
      <c r="E54">
        <f>HYPERLINK("https://atlas.etsycorp.com/listing/1430128197/lookup", "link")</f>
        <v/>
      </c>
      <c r="F54" t="inlineStr">
        <is>
          <t>DIGITAL PDF 2in1 Top Hat Teddy Crochet Pattern - Teddy Bear, Amigurumi Tutorial, Crochet Animals</t>
        </is>
      </c>
      <c r="G54" t="inlineStr">
        <is>
          <t>EuQUGWV8_B754PJHTvTIsBUvm6a4</t>
        </is>
      </c>
      <c r="H54" t="inlineStr">
        <is>
          <t>web</t>
        </is>
      </c>
      <c r="I54" t="inlineStr">
        <is>
          <t>en-US</t>
        </is>
      </c>
      <c r="J54" t="inlineStr">
        <is>
          <t>us_v2-direct_unspecified</t>
        </is>
      </c>
      <c r="K54" t="b">
        <v>1</v>
      </c>
      <c r="L54" t="inlineStr">
        <is>
          <t>not_relevant</t>
        </is>
      </c>
      <c r="M54" t="inlineStr">
        <is>
          <t>partial</t>
        </is>
      </c>
      <c r="N54" t="inlineStr">
        <is>
          <t>not_relevant</t>
        </is>
      </c>
      <c r="O54" t="inlineStr">
        <is>
          <t>not_relevant</t>
        </is>
      </c>
      <c r="P54" t="b">
        <v>1</v>
      </c>
    </row>
    <row r="55">
      <c r="A55" t="inlineStr">
        <is>
          <t>Find shirts</t>
        </is>
      </c>
      <c r="B55" t="inlineStr">
        <is>
          <t>Find shirts</t>
        </is>
      </c>
      <c r="C55" t="n">
        <v>1577979770</v>
      </c>
      <c r="D55">
        <f>HYPERLINK("https://www.etsy.com/listing/1577979770", "link")</f>
        <v/>
      </c>
      <c r="E55">
        <f>HYPERLINK("https://atlas.etsycorp.com/listing/1577979770/lookup", "link")</f>
        <v/>
      </c>
      <c r="F55" t="inlineStr">
        <is>
          <t>Find Someone Who Grows Flowers In The Darkest Parts Of You Tee Unisex Gift Crewneck Sweatshirt</t>
        </is>
      </c>
      <c r="G55" t="inlineStr">
        <is>
          <t>EuOanlJAEiDgAOVkOIRVHI9m7r77</t>
        </is>
      </c>
      <c r="H55" t="inlineStr">
        <is>
          <t>web</t>
        </is>
      </c>
      <c r="I55" t="inlineStr">
        <is>
          <t>es</t>
        </is>
      </c>
      <c r="J55" t="inlineStr">
        <is>
          <t>intl-es</t>
        </is>
      </c>
      <c r="K55" t="b">
        <v>1</v>
      </c>
      <c r="L55" t="inlineStr">
        <is>
          <t>not_relevant</t>
        </is>
      </c>
      <c r="M55" t="inlineStr">
        <is>
          <t>not_relevant</t>
        </is>
      </c>
      <c r="N55" t="inlineStr">
        <is>
          <t>relevant</t>
        </is>
      </c>
      <c r="O55" t="inlineStr">
        <is>
          <t>not_relevant</t>
        </is>
      </c>
      <c r="P55" t="b">
        <v>1</v>
      </c>
    </row>
    <row r="56">
      <c r="A56" t="inlineStr">
        <is>
          <t>anniversary gifts for women</t>
        </is>
      </c>
      <c r="B56" t="inlineStr"/>
      <c r="C56" t="n">
        <v>801724215</v>
      </c>
      <c r="D56">
        <f>HYPERLINK("https://www.etsy.com/listing/801724215", "link")</f>
        <v/>
      </c>
      <c r="E56">
        <f>HYPERLINK("https://atlas.etsycorp.com/listing/801724215/lookup", "link")</f>
        <v/>
      </c>
      <c r="F56" t="inlineStr">
        <is>
          <t>Tiger eye brass Ring, Handmade Ring, Women Ring, Vintage Ring, Unique Ring, Boho Ring, Anniversary Ring, Gift Ring, Deco Ring, Gift For Her</t>
        </is>
      </c>
      <c r="G56" t="inlineStr">
        <is>
          <t>EueMU1ppuQpAY2hp5qEPMdMhkFbd</t>
        </is>
      </c>
      <c r="H56" t="inlineStr">
        <is>
          <t>boe</t>
        </is>
      </c>
      <c r="I56" t="inlineStr">
        <is>
          <t>en-US</t>
        </is>
      </c>
      <c r="J56" t="inlineStr">
        <is>
          <t>us_v2-broad</t>
        </is>
      </c>
      <c r="K56" t="b">
        <v>1</v>
      </c>
      <c r="L56" t="inlineStr">
        <is>
          <t>relevant</t>
        </is>
      </c>
      <c r="M56" t="inlineStr">
        <is>
          <t>relevant</t>
        </is>
      </c>
      <c r="N56" t="inlineStr">
        <is>
          <t>relevant</t>
        </is>
      </c>
      <c r="O56" t="inlineStr">
        <is>
          <t>relevant</t>
        </is>
      </c>
      <c r="P56" t="b">
        <v>1</v>
      </c>
    </row>
    <row r="57">
      <c r="A57" t="inlineStr">
        <is>
          <t>rose tea</t>
        </is>
      </c>
      <c r="B57" t="inlineStr"/>
      <c r="C57" t="n">
        <v>1551978263</v>
      </c>
      <c r="D57">
        <f>HYPERLINK("https://www.etsy.com/listing/1551978263", "link")</f>
        <v/>
      </c>
      <c r="E57">
        <f>HYPERLINK("https://atlas.etsycorp.com/listing/1551978263/lookup", "link")</f>
        <v/>
      </c>
      <c r="F57" t="inlineStr">
        <is>
          <t>Double-Layer Glass Tea Tumbler (Black), Borosilicate Glass, with  Stainless Steel Tea Compartment, and small infuser chamber.</t>
        </is>
      </c>
      <c r="G57" t="inlineStr">
        <is>
          <t>Eu1FFx8qLDVRZ8_HcNqUM_SBW02b</t>
        </is>
      </c>
      <c r="H57" t="inlineStr">
        <is>
          <t>web</t>
        </is>
      </c>
      <c r="I57" t="inlineStr">
        <is>
          <t>en-US</t>
        </is>
      </c>
      <c r="J57" t="inlineStr">
        <is>
          <t>us_v2-direct_unspecified</t>
        </is>
      </c>
      <c r="K57" t="b">
        <v>1</v>
      </c>
      <c r="L57" t="inlineStr">
        <is>
          <t>partial</t>
        </is>
      </c>
      <c r="M57" t="inlineStr">
        <is>
          <t>partial</t>
        </is>
      </c>
      <c r="N57" t="inlineStr">
        <is>
          <t>partial</t>
        </is>
      </c>
      <c r="O57" t="inlineStr">
        <is>
          <t>partial</t>
        </is>
      </c>
      <c r="P57" t="b">
        <v>1</v>
      </c>
    </row>
    <row r="58">
      <c r="A58" t="inlineStr">
        <is>
          <t>taylor swift crewneck</t>
        </is>
      </c>
      <c r="B58" t="inlineStr">
        <is>
          <t>taylor swift crewneck</t>
        </is>
      </c>
      <c r="C58" t="n">
        <v>1762087899</v>
      </c>
      <c r="D58">
        <f>HYPERLINK("https://www.etsy.com/listing/1762087899", "link")</f>
        <v/>
      </c>
      <c r="E58">
        <f>HYPERLINK("https://atlas.etsycorp.com/listing/1762087899/lookup", "link")</f>
        <v/>
      </c>
      <c r="F58" t="inlineStr">
        <is>
          <t>Taylor Swift Crewneck | Folklore Merch | Holiday House Sweatshirt | The Last Great American Dynasty</t>
        </is>
      </c>
      <c r="G58" t="inlineStr">
        <is>
          <t>EuRtJijnFRvvncCxWw5LBQbT0T25</t>
        </is>
      </c>
      <c r="H58" t="inlineStr">
        <is>
          <t>boe</t>
        </is>
      </c>
      <c r="I58" t="inlineStr">
        <is>
          <t>it</t>
        </is>
      </c>
      <c r="J58" t="inlineStr">
        <is>
          <t>intl-it</t>
        </is>
      </c>
      <c r="K58" t="b">
        <v>1</v>
      </c>
      <c r="L58" t="inlineStr">
        <is>
          <t>relevant</t>
        </is>
      </c>
      <c r="M58" t="inlineStr">
        <is>
          <t>relevant</t>
        </is>
      </c>
      <c r="N58" t="inlineStr">
        <is>
          <t>relevant</t>
        </is>
      </c>
      <c r="O58" t="inlineStr">
        <is>
          <t>relevant</t>
        </is>
      </c>
      <c r="P58" t="b">
        <v>1</v>
      </c>
    </row>
    <row r="59">
      <c r="A59" t="inlineStr">
        <is>
          <t>solidarity forever</t>
        </is>
      </c>
      <c r="B59" t="inlineStr"/>
      <c r="C59" t="n">
        <v>1500271387</v>
      </c>
      <c r="D59">
        <f>HYPERLINK("https://www.etsy.com/listing/1500271387", "link")</f>
        <v/>
      </c>
      <c r="E59">
        <f>HYPERLINK("https://atlas.etsycorp.com/listing/1500271387/lookup", "link")</f>
        <v/>
      </c>
      <c r="F59" t="inlineStr">
        <is>
          <t>The Women&amp;#39;s Liberation Movement/Double Exploitation/Feminist Equality/70s 80s Riot Propaganda Protest Poster, 5 sizes available!</t>
        </is>
      </c>
      <c r="G59" t="inlineStr">
        <is>
          <t>EulIgYDL3oO-hGS50_YaNaQ9tb6a</t>
        </is>
      </c>
      <c r="H59" t="inlineStr">
        <is>
          <t>web</t>
        </is>
      </c>
      <c r="I59" t="inlineStr">
        <is>
          <t>en-GB</t>
        </is>
      </c>
      <c r="J59" t="inlineStr">
        <is>
          <t>us_v2-broad</t>
        </is>
      </c>
      <c r="K59" t="b">
        <v>1</v>
      </c>
      <c r="L59" t="inlineStr">
        <is>
          <t>not_relevant</t>
        </is>
      </c>
      <c r="M59" t="inlineStr">
        <is>
          <t>not_relevant</t>
        </is>
      </c>
      <c r="N59" t="inlineStr">
        <is>
          <t>not_relevant</t>
        </is>
      </c>
      <c r="O59" t="inlineStr">
        <is>
          <t>not_relevant</t>
        </is>
      </c>
      <c r="P59" t="b">
        <v>1</v>
      </c>
    </row>
    <row r="60">
      <c r="A60" t="inlineStr">
        <is>
          <t>mtg yu gi oh</t>
        </is>
      </c>
      <c r="B60" t="inlineStr">
        <is>
          <t>mtg yu gi oh</t>
        </is>
      </c>
      <c r="C60" t="n">
        <v>1447216173</v>
      </c>
      <c r="D60">
        <f>HYPERLINK("https://www.etsy.com/listing/1447216173", "link")</f>
        <v/>
      </c>
      <c r="E60">
        <f>HYPERLINK("https://atlas.etsycorp.com/listing/1447216173/lookup", "link")</f>
        <v/>
      </c>
      <c r="F60" t="inlineStr">
        <is>
          <t>YGO Playmat Red-Eyes Black Dragon with Free Carry Bag | Premium Fabric Custom Duel TCG Mat | Ultra HD Print with Anti-Slip Surface |</t>
        </is>
      </c>
      <c r="G60" t="inlineStr">
        <is>
          <t>EuiqnSTTEPB9xDQUKj6tcI_XZj9d</t>
        </is>
      </c>
      <c r="H60" t="inlineStr">
        <is>
          <t>web</t>
        </is>
      </c>
      <c r="I60" t="inlineStr">
        <is>
          <t>fr</t>
        </is>
      </c>
      <c r="J60" t="inlineStr">
        <is>
          <t>intl-fr</t>
        </is>
      </c>
      <c r="K60" t="b">
        <v>1</v>
      </c>
      <c r="L60" t="inlineStr">
        <is>
          <t>not_relevant</t>
        </is>
      </c>
      <c r="M60" t="inlineStr">
        <is>
          <t>not_relevant</t>
        </is>
      </c>
      <c r="N60" t="inlineStr">
        <is>
          <t>relevant</t>
        </is>
      </c>
      <c r="O60" t="inlineStr">
        <is>
          <t>not_relevant</t>
        </is>
      </c>
      <c r="P60" t="b">
        <v>1</v>
      </c>
    </row>
    <row r="61">
      <c r="A61" t="inlineStr">
        <is>
          <t>small hoop earrings</t>
        </is>
      </c>
      <c r="B61" t="inlineStr"/>
      <c r="C61" t="n">
        <v>709691646</v>
      </c>
      <c r="D61">
        <f>HYPERLINK("https://www.etsy.com/listing/709691646", "link")</f>
        <v/>
      </c>
      <c r="E61">
        <f>HYPERLINK("https://atlas.etsycorp.com/listing/709691646/lookup", "link")</f>
        <v/>
      </c>
      <c r="F61" t="inlineStr">
        <is>
          <t>Faceted Silver hoop earrings- 1 1/2 inches hoop earring- Hammered Silver hoop earrings- 40 mm Silver hoop earring- High polished Silver hoop</t>
        </is>
      </c>
      <c r="G61" t="inlineStr">
        <is>
          <t>Eu0mamn6sWQcBgG6Oj_jVf-Xx823</t>
        </is>
      </c>
      <c r="H61" t="inlineStr">
        <is>
          <t>web</t>
        </is>
      </c>
      <c r="I61" t="inlineStr">
        <is>
          <t>en-US</t>
        </is>
      </c>
      <c r="J61" t="inlineStr">
        <is>
          <t>us_v2-direct_specified</t>
        </is>
      </c>
      <c r="K61" t="b">
        <v>1</v>
      </c>
      <c r="L61" t="inlineStr">
        <is>
          <t>relevant</t>
        </is>
      </c>
      <c r="M61" t="inlineStr">
        <is>
          <t>relevant</t>
        </is>
      </c>
      <c r="N61" t="inlineStr">
        <is>
          <t>relevant</t>
        </is>
      </c>
      <c r="O61" t="inlineStr">
        <is>
          <t>relevant</t>
        </is>
      </c>
      <c r="P61" t="b">
        <v>1</v>
      </c>
    </row>
    <row r="62">
      <c r="A62" t="inlineStr">
        <is>
          <t>pearl star necklace</t>
        </is>
      </c>
      <c r="B62" t="inlineStr"/>
      <c r="C62" t="n">
        <v>595009456</v>
      </c>
      <c r="D62">
        <f>HYPERLINK("https://www.etsy.com/listing/595009456", "link")</f>
        <v/>
      </c>
      <c r="E62">
        <f>HYPERLINK("https://atlas.etsycorp.com/listing/595009456/lookup", "link")</f>
        <v/>
      </c>
      <c r="F62" t="inlineStr">
        <is>
          <t>Single Pearl Necklace, Boho Pearl Necklace, Gold Fill, Silver, Rose Gold Fill Chain, Pearl Choker, Simple Keshi Pearl Necklace</t>
        </is>
      </c>
      <c r="G62" t="inlineStr">
        <is>
          <t>Eu8oQeD0fDsYyDp0F6u6GCoYrj86</t>
        </is>
      </c>
      <c r="H62" t="inlineStr">
        <is>
          <t>web</t>
        </is>
      </c>
      <c r="I62" t="inlineStr">
        <is>
          <t>en-US</t>
        </is>
      </c>
      <c r="J62" t="inlineStr">
        <is>
          <t>us_v2-direct_specified</t>
        </is>
      </c>
      <c r="K62" t="b">
        <v>1</v>
      </c>
      <c r="L62" t="inlineStr">
        <is>
          <t>partial</t>
        </is>
      </c>
      <c r="M62" t="inlineStr">
        <is>
          <t>partial</t>
        </is>
      </c>
      <c r="N62" t="inlineStr">
        <is>
          <t>partial</t>
        </is>
      </c>
      <c r="O62" t="inlineStr">
        <is>
          <t>partial</t>
        </is>
      </c>
      <c r="P62" t="b">
        <v>1</v>
      </c>
    </row>
    <row r="63">
      <c r="A63" t="inlineStr">
        <is>
          <t>monedas de fantasia</t>
        </is>
      </c>
      <c r="B63" t="inlineStr">
        <is>
          <t>fantasy coins</t>
        </is>
      </c>
      <c r="C63" t="n">
        <v>1588050073</v>
      </c>
      <c r="D63">
        <f>HYPERLINK("https://www.etsy.com/listing/1588050073", "link")</f>
        <v/>
      </c>
      <c r="E63">
        <f>HYPERLINK("https://atlas.etsycorp.com/listing/1588050073/lookup", "link")</f>
        <v/>
      </c>
      <c r="F63" t="inlineStr">
        <is>
          <t>Frank Frazetta’s Masterpiece Death Dealer Hand Cut 2 Ounce Copper Medallion Pendant - Heavy Metal Fantasy Art Keepsake</t>
        </is>
      </c>
      <c r="G63" t="inlineStr">
        <is>
          <t>EuYMO9aILfGgDleJPStQ3pab3x1b</t>
        </is>
      </c>
      <c r="H63" t="inlineStr">
        <is>
          <t>web</t>
        </is>
      </c>
      <c r="I63" t="inlineStr">
        <is>
          <t>es</t>
        </is>
      </c>
      <c r="J63" t="inlineStr">
        <is>
          <t>intl-es</t>
        </is>
      </c>
      <c r="K63" t="b">
        <v>1</v>
      </c>
      <c r="L63" t="inlineStr">
        <is>
          <t>not_relevant</t>
        </is>
      </c>
      <c r="M63" t="inlineStr">
        <is>
          <t>not_relevant</t>
        </is>
      </c>
      <c r="N63" t="inlineStr">
        <is>
          <t>not_relevant</t>
        </is>
      </c>
      <c r="O63" t="inlineStr">
        <is>
          <t>not_relevant</t>
        </is>
      </c>
      <c r="P63" t="b">
        <v>1</v>
      </c>
    </row>
    <row r="64">
      <c r="A64" t="inlineStr">
        <is>
          <t>simone biles shirt</t>
        </is>
      </c>
      <c r="B64" t="inlineStr">
        <is>
          <t>simone biles shirt</t>
        </is>
      </c>
      <c r="C64" t="n">
        <v>753430623</v>
      </c>
      <c r="D64">
        <f>HYPERLINK("https://www.etsy.com/listing/753430623", "link")</f>
        <v/>
      </c>
      <c r="E64">
        <f>HYPERLINK("https://atlas.etsycorp.com/listing/753430623/lookup", "link")</f>
        <v/>
      </c>
      <c r="F64" t="inlineStr">
        <is>
          <t>Digital Birthday invitation, invites simon the rabbit invitation, rabbit digital invite</t>
        </is>
      </c>
      <c r="G64" t="inlineStr">
        <is>
          <t>EuHooHWTRSJab0-E7iqHuORPCXa9</t>
        </is>
      </c>
      <c r="H64" t="inlineStr">
        <is>
          <t>boe</t>
        </is>
      </c>
      <c r="I64" t="inlineStr">
        <is>
          <t>es</t>
        </is>
      </c>
      <c r="J64" t="inlineStr">
        <is>
          <t>intl-es</t>
        </is>
      </c>
      <c r="K64" t="b">
        <v>1</v>
      </c>
      <c r="L64" t="inlineStr">
        <is>
          <t>not_relevant</t>
        </is>
      </c>
      <c r="M64" t="inlineStr">
        <is>
          <t>not_relevant</t>
        </is>
      </c>
      <c r="N64" t="inlineStr">
        <is>
          <t>not_relevant</t>
        </is>
      </c>
      <c r="O64" t="inlineStr">
        <is>
          <t>not_relevant</t>
        </is>
      </c>
      <c r="P64" t="b">
        <v>1</v>
      </c>
    </row>
    <row r="65">
      <c r="A65" t="inlineStr">
        <is>
          <t>vivienne westwood</t>
        </is>
      </c>
      <c r="B65" t="inlineStr">
        <is>
          <t>vivienne westwood</t>
        </is>
      </c>
      <c r="C65" t="n">
        <v>1596367116</v>
      </c>
      <c r="D65">
        <f>HYPERLINK("https://www.etsy.com/listing/1596367116", "link")</f>
        <v/>
      </c>
      <c r="E65">
        <f>HYPERLINK("https://atlas.etsycorp.com/listing/1596367116/lookup", "link")</f>
        <v/>
      </c>
      <c r="F65" t="inlineStr">
        <is>
          <t>Vintage Vivienne Westwood Red Label Choice Zipper Jacket Size 2 (S) Grey Colour</t>
        </is>
      </c>
      <c r="G65" t="inlineStr">
        <is>
          <t>EuwYHq-emCk0wJREUGyFy6hQiy14</t>
        </is>
      </c>
      <c r="H65" t="inlineStr">
        <is>
          <t>web</t>
        </is>
      </c>
      <c r="I65" t="inlineStr">
        <is>
          <t>de</t>
        </is>
      </c>
      <c r="J65" t="inlineStr">
        <is>
          <t>intl-de</t>
        </is>
      </c>
      <c r="K65" t="b">
        <v>1</v>
      </c>
      <c r="L65" t="inlineStr">
        <is>
          <t>relevant</t>
        </is>
      </c>
      <c r="M65" t="inlineStr">
        <is>
          <t>relevant</t>
        </is>
      </c>
      <c r="N65" t="inlineStr">
        <is>
          <t>relevant</t>
        </is>
      </c>
      <c r="O65" t="inlineStr">
        <is>
          <t>relevant</t>
        </is>
      </c>
      <c r="P65" t="b">
        <v>1</v>
      </c>
    </row>
    <row r="66">
      <c r="A66" t="inlineStr">
        <is>
          <t>taschen damen</t>
        </is>
      </c>
      <c r="B66" t="inlineStr">
        <is>
          <t>bags ladies</t>
        </is>
      </c>
      <c r="C66" t="n">
        <v>1525000019</v>
      </c>
      <c r="D66">
        <f>HYPERLINK("https://www.etsy.com/listing/1525000019", "link")</f>
        <v/>
      </c>
      <c r="E66">
        <f>HYPERLINK("https://atlas.etsycorp.com/listing/1525000019/lookup", "link")</f>
        <v/>
      </c>
      <c r="F66" t="inlineStr">
        <is>
          <t>Shoulder bag handbag cat crossover embroidered HANDMADE women faux leather fabric animal motif bag grey</t>
        </is>
      </c>
      <c r="G66" t="inlineStr">
        <is>
          <t>EurF1_siCrlP_wCxNlc030ULIqb2</t>
        </is>
      </c>
      <c r="H66" t="inlineStr">
        <is>
          <t>web</t>
        </is>
      </c>
      <c r="I66" t="inlineStr">
        <is>
          <t>de</t>
        </is>
      </c>
      <c r="J66" t="inlineStr">
        <is>
          <t>intl-de</t>
        </is>
      </c>
      <c r="K66" t="b">
        <v>1</v>
      </c>
      <c r="L66" t="inlineStr">
        <is>
          <t>relevant</t>
        </is>
      </c>
      <c r="M66" t="inlineStr">
        <is>
          <t>relevant</t>
        </is>
      </c>
      <c r="N66" t="inlineStr">
        <is>
          <t>relevant</t>
        </is>
      </c>
      <c r="O66" t="inlineStr">
        <is>
          <t>relevant</t>
        </is>
      </c>
      <c r="P66" t="b">
        <v>1</v>
      </c>
    </row>
    <row r="67">
      <c r="A67" t="inlineStr">
        <is>
          <t>&amp;quot;sigrid nunez&amp;quot;</t>
        </is>
      </c>
      <c r="B67" t="inlineStr"/>
      <c r="C67" t="n">
        <v>1038525124</v>
      </c>
      <c r="D67">
        <f>HYPERLINK("https://www.etsy.com/listing/1038525124", "link")</f>
        <v/>
      </c>
      <c r="E67">
        <f>HYPERLINK("https://atlas.etsycorp.com/listing/1038525124/lookup", "link")</f>
        <v/>
      </c>
      <c r="F67" t="inlineStr">
        <is>
          <t>Custom Sisters Print - Sisters Christmas Gifts - Sister Personalized Gift - Sister Birthday Gift - Sister Gift Ideas - Sisters Wall Art</t>
        </is>
      </c>
      <c r="G67" t="inlineStr">
        <is>
          <t>Euyp7eJhKDUC67U7xhAuKbnm1o5a</t>
        </is>
      </c>
      <c r="H67" t="inlineStr">
        <is>
          <t>web</t>
        </is>
      </c>
      <c r="I67" t="inlineStr">
        <is>
          <t>en-US</t>
        </is>
      </c>
      <c r="J67" t="inlineStr">
        <is>
          <t>us_v2-broad</t>
        </is>
      </c>
      <c r="K67" t="b">
        <v>1</v>
      </c>
      <c r="L67" t="inlineStr">
        <is>
          <t>not_relevant</t>
        </is>
      </c>
      <c r="M67" t="inlineStr">
        <is>
          <t>not_relevant</t>
        </is>
      </c>
      <c r="N67" t="inlineStr">
        <is>
          <t>relevant</t>
        </is>
      </c>
      <c r="O67" t="inlineStr">
        <is>
          <t>not_relevant</t>
        </is>
      </c>
      <c r="P67" t="b">
        <v>1</v>
      </c>
    </row>
    <row r="68">
      <c r="A68" t="inlineStr">
        <is>
          <t>graduation ideas</t>
        </is>
      </c>
      <c r="B68" t="inlineStr"/>
      <c r="C68" t="n">
        <v>579155494</v>
      </c>
      <c r="D68">
        <f>HYPERLINK("https://www.etsy.com/listing/579155494", "link")</f>
        <v/>
      </c>
      <c r="E68">
        <f>HYPERLINK("https://atlas.etsycorp.com/listing/579155494/lookup", "link")</f>
        <v/>
      </c>
      <c r="F68" t="inlineStr">
        <is>
          <t>2024, Graduation Centerpiece, Graduation Party Decorations, Graduation Centerpiece, Class of 2024, Graduation 2024</t>
        </is>
      </c>
      <c r="G68" t="inlineStr">
        <is>
          <t>EuSNFEgtay6wJJsJLFxmbyN3DX47</t>
        </is>
      </c>
      <c r="H68" t="inlineStr">
        <is>
          <t>web</t>
        </is>
      </c>
      <c r="I68" t="inlineStr">
        <is>
          <t>en-US</t>
        </is>
      </c>
      <c r="J68" t="inlineStr">
        <is>
          <t>us_v2-direct_unspecified</t>
        </is>
      </c>
      <c r="K68" t="b">
        <v>1</v>
      </c>
      <c r="L68" t="inlineStr">
        <is>
          <t>relevant</t>
        </is>
      </c>
      <c r="M68" t="inlineStr">
        <is>
          <t>relevant</t>
        </is>
      </c>
      <c r="N68" t="inlineStr">
        <is>
          <t>relevant</t>
        </is>
      </c>
      <c r="O68" t="inlineStr">
        <is>
          <t>relevant</t>
        </is>
      </c>
      <c r="P68" t="b">
        <v>1</v>
      </c>
    </row>
    <row r="69">
      <c r="A69" t="inlineStr">
        <is>
          <t>floor vases large blue</t>
        </is>
      </c>
      <c r="B69" t="inlineStr"/>
      <c r="C69" t="n">
        <v>1234484300</v>
      </c>
      <c r="D69">
        <f>HYPERLINK("https://www.etsy.com/listing/1234484300", "link")</f>
        <v/>
      </c>
      <c r="E69">
        <f>HYPERLINK("https://atlas.etsycorp.com/listing/1234484300/lookup", "link")</f>
        <v/>
      </c>
      <c r="F69" t="inlineStr">
        <is>
          <t>8.5&amp;#39;&amp;#39; Turkish Caftan Decor, Handmade Caftan Figure, Turkish Ceramic Caftan</t>
        </is>
      </c>
      <c r="G69" t="inlineStr">
        <is>
          <t>EuznlhUV2X8HEAbFPSU5vkNL1y16</t>
        </is>
      </c>
      <c r="H69" t="inlineStr">
        <is>
          <t>boe</t>
        </is>
      </c>
      <c r="I69" t="inlineStr">
        <is>
          <t>en-GB</t>
        </is>
      </c>
      <c r="J69" t="inlineStr">
        <is>
          <t>us_v2-direct_specified</t>
        </is>
      </c>
      <c r="K69" t="b">
        <v>1</v>
      </c>
      <c r="L69" t="inlineStr">
        <is>
          <t>not_relevant</t>
        </is>
      </c>
      <c r="M69" t="inlineStr">
        <is>
          <t>partial</t>
        </is>
      </c>
      <c r="N69" t="inlineStr">
        <is>
          <t>not_relevant</t>
        </is>
      </c>
      <c r="O69" t="inlineStr">
        <is>
          <t>not_relevant</t>
        </is>
      </c>
      <c r="P69" t="b">
        <v>1</v>
      </c>
    </row>
    <row r="70">
      <c r="A70" t="inlineStr">
        <is>
          <t>woppet bucket</t>
        </is>
      </c>
      <c r="B70" t="inlineStr"/>
      <c r="C70" t="n">
        <v>1277917406</v>
      </c>
      <c r="D70">
        <f>HYPERLINK("https://www.etsy.com/listing/1277917406", "link")</f>
        <v/>
      </c>
      <c r="E70">
        <f>HYPERLINK("https://atlas.etsycorp.com/listing/1277917406/lookup", "link")</f>
        <v/>
      </c>
      <c r="F70" t="inlineStr">
        <is>
          <t>Spring Flowers - pdf pattern</t>
        </is>
      </c>
      <c r="G70" t="inlineStr">
        <is>
          <t>EuYCAYD_oAUUENapqf6V1WXzrcd7</t>
        </is>
      </c>
      <c r="H70" t="inlineStr">
        <is>
          <t>web</t>
        </is>
      </c>
      <c r="I70" t="inlineStr">
        <is>
          <t>en-US</t>
        </is>
      </c>
      <c r="J70" t="inlineStr">
        <is>
          <t>us_v2-direct_unspecified</t>
        </is>
      </c>
      <c r="K70" t="b">
        <v>1</v>
      </c>
      <c r="L70" t="inlineStr">
        <is>
          <t>not_relevant</t>
        </is>
      </c>
      <c r="M70" t="inlineStr">
        <is>
          <t>not_relevant</t>
        </is>
      </c>
      <c r="N70" t="inlineStr">
        <is>
          <t>not_relevant</t>
        </is>
      </c>
      <c r="O70" t="inlineStr">
        <is>
          <t>not_relevant</t>
        </is>
      </c>
      <c r="P70" t="b">
        <v>1</v>
      </c>
    </row>
    <row r="71">
      <c r="A71" t="inlineStr">
        <is>
          <t>personalized party decor</t>
        </is>
      </c>
      <c r="B71" t="inlineStr">
        <is>
          <t>personalized party decor</t>
        </is>
      </c>
      <c r="C71" t="n">
        <v>269622319</v>
      </c>
      <c r="D71">
        <f>HYPERLINK("https://www.etsy.com/listing/269622319", "link")</f>
        <v/>
      </c>
      <c r="E71">
        <f>HYPERLINK("https://atlas.etsycorp.com/listing/269622319/lookup", "link")</f>
        <v/>
      </c>
      <c r="F71" t="inlineStr">
        <is>
          <t>Personalised Floral Number Cake Topper</t>
        </is>
      </c>
      <c r="G71" t="inlineStr">
        <is>
          <t>EuHNNuWEtEgGCuV14y0doToZEB23</t>
        </is>
      </c>
      <c r="H71" t="inlineStr">
        <is>
          <t>boe</t>
        </is>
      </c>
      <c r="I71" t="inlineStr">
        <is>
          <t>es</t>
        </is>
      </c>
      <c r="J71" t="inlineStr">
        <is>
          <t>intl-es</t>
        </is>
      </c>
      <c r="K71" t="b">
        <v>1</v>
      </c>
      <c r="L71" t="inlineStr">
        <is>
          <t>relevant</t>
        </is>
      </c>
      <c r="M71" t="inlineStr">
        <is>
          <t>relevant</t>
        </is>
      </c>
      <c r="N71" t="inlineStr">
        <is>
          <t>relevant</t>
        </is>
      </c>
      <c r="O71" t="inlineStr">
        <is>
          <t>relevant</t>
        </is>
      </c>
      <c r="P71" t="b">
        <v>1</v>
      </c>
    </row>
    <row r="72">
      <c r="A72" t="inlineStr">
        <is>
          <t>good omens cross stitch pattern</t>
        </is>
      </c>
      <c r="B72" t="inlineStr"/>
      <c r="C72" t="n">
        <v>1528142603</v>
      </c>
      <c r="D72">
        <f>HYPERLINK("https://www.etsy.com/listing/1528142603", "link")</f>
        <v/>
      </c>
      <c r="E72">
        <f>HYPERLINK("https://atlas.etsycorp.com/listing/1528142603/lookup", "link")</f>
        <v/>
      </c>
      <c r="F72" t="inlineStr">
        <is>
          <t>Crowley Bookmark</t>
        </is>
      </c>
      <c r="G72" t="inlineStr">
        <is>
          <t>Eu8VsacBzael73NGVnPfBYCFMHef</t>
        </is>
      </c>
      <c r="H72" t="inlineStr">
        <is>
          <t>boe</t>
        </is>
      </c>
      <c r="I72" t="inlineStr">
        <is>
          <t>en-GB</t>
        </is>
      </c>
      <c r="J72" t="inlineStr">
        <is>
          <t>us_v2-direct_specified</t>
        </is>
      </c>
      <c r="K72" t="b">
        <v>1</v>
      </c>
      <c r="L72" t="inlineStr">
        <is>
          <t>not_relevant</t>
        </is>
      </c>
      <c r="M72" t="inlineStr">
        <is>
          <t>partial</t>
        </is>
      </c>
      <c r="N72" t="inlineStr">
        <is>
          <t>not_relevant</t>
        </is>
      </c>
      <c r="O72" t="inlineStr">
        <is>
          <t>not_relevant</t>
        </is>
      </c>
      <c r="P72" t="b">
        <v>1</v>
      </c>
    </row>
    <row r="73">
      <c r="A73" t="inlineStr">
        <is>
          <t>laserburn rose</t>
        </is>
      </c>
      <c r="B73" t="inlineStr"/>
      <c r="C73" t="n">
        <v>1644146021</v>
      </c>
      <c r="D73">
        <f>HYPERLINK("https://www.etsy.com/listing/1644146021", "link")</f>
        <v/>
      </c>
      <c r="E73">
        <f>HYPERLINK("https://atlas.etsycorp.com/listing/1644146021/lookup", "link")</f>
        <v/>
      </c>
      <c r="F73" t="inlineStr">
        <is>
          <t>Laser Burn PNG, 3D Illusion Laser Engraving File, Lightburn File, xTool Laser Burn PNG, Laser Engrave Ready, Instant Download Aster Flower</t>
        </is>
      </c>
      <c r="G73" t="inlineStr">
        <is>
          <t>EucGn0fA1UZrZc2ShXEvMx3YnVb9</t>
        </is>
      </c>
      <c r="H73" t="inlineStr">
        <is>
          <t>web</t>
        </is>
      </c>
      <c r="I73" t="inlineStr">
        <is>
          <t>en-US</t>
        </is>
      </c>
      <c r="J73" t="inlineStr">
        <is>
          <t>us_v2-broad</t>
        </is>
      </c>
      <c r="K73" t="b">
        <v>1</v>
      </c>
      <c r="L73" t="inlineStr">
        <is>
          <t>relevant</t>
        </is>
      </c>
      <c r="M73" t="inlineStr">
        <is>
          <t>relevant</t>
        </is>
      </c>
      <c r="N73" t="inlineStr">
        <is>
          <t>partial</t>
        </is>
      </c>
      <c r="O73" t="inlineStr">
        <is>
          <t>relevant</t>
        </is>
      </c>
      <c r="P73" t="b">
        <v>1</v>
      </c>
    </row>
    <row r="74">
      <c r="A74" t="inlineStr">
        <is>
          <t>framed portraits</t>
        </is>
      </c>
      <c r="B74" t="inlineStr"/>
      <c r="C74" t="n">
        <v>1256191429</v>
      </c>
      <c r="D74">
        <f>HYPERLINK("https://www.etsy.com/listing/1256191429", "link")</f>
        <v/>
      </c>
      <c r="E74">
        <f>HYPERLINK("https://atlas.etsycorp.com/listing/1256191429/lookup", "link")</f>
        <v/>
      </c>
      <c r="F74" t="inlineStr">
        <is>
          <t>Arch Photo Template, Arch wall photo, Arched wall photo, Editable family photo template, Family photo template, arch wedding photo template</t>
        </is>
      </c>
      <c r="G74" t="inlineStr">
        <is>
          <t>Euy_pX1MZDgezxETm58FSy7A3fc8</t>
        </is>
      </c>
      <c r="H74" t="inlineStr">
        <is>
          <t>web</t>
        </is>
      </c>
      <c r="I74" t="inlineStr">
        <is>
          <t>en-US</t>
        </is>
      </c>
      <c r="J74" t="inlineStr">
        <is>
          <t>us_v2-direct_unspecified</t>
        </is>
      </c>
      <c r="K74" t="b">
        <v>1</v>
      </c>
      <c r="L74" t="inlineStr">
        <is>
          <t>partial</t>
        </is>
      </c>
      <c r="M74" t="inlineStr">
        <is>
          <t>relevant</t>
        </is>
      </c>
      <c r="N74" t="inlineStr">
        <is>
          <t>partial</t>
        </is>
      </c>
      <c r="O74" t="inlineStr">
        <is>
          <t>partial</t>
        </is>
      </c>
      <c r="P74" t="b">
        <v>1</v>
      </c>
    </row>
    <row r="75">
      <c r="A75" t="inlineStr">
        <is>
          <t>custom embroidery</t>
        </is>
      </c>
      <c r="B75" t="inlineStr"/>
      <c r="C75" t="n">
        <v>1105118135</v>
      </c>
      <c r="D75">
        <f>HYPERLINK("https://www.etsy.com/listing/1105118135", "link")</f>
        <v/>
      </c>
      <c r="E75">
        <f>HYPERLINK("https://atlas.etsycorp.com/listing/1105118135/lookup", "link")</f>
        <v/>
      </c>
      <c r="F75" t="inlineStr">
        <is>
          <t>adult sweatshirt x hand embroidered x The Kirjonta x custom</t>
        </is>
      </c>
      <c r="G75" t="inlineStr">
        <is>
          <t>EuJ4wHZzigoh4nl8q2WmgSY1Eo02</t>
        </is>
      </c>
      <c r="H75" t="inlineStr">
        <is>
          <t>web</t>
        </is>
      </c>
      <c r="I75" t="inlineStr">
        <is>
          <t>en-US</t>
        </is>
      </c>
      <c r="J75" t="inlineStr">
        <is>
          <t>us_v2-direct_specified</t>
        </is>
      </c>
      <c r="K75" t="b">
        <v>1</v>
      </c>
      <c r="L75" t="inlineStr">
        <is>
          <t>relevant</t>
        </is>
      </c>
      <c r="M75" t="inlineStr">
        <is>
          <t>relevant</t>
        </is>
      </c>
      <c r="N75" t="inlineStr">
        <is>
          <t>relevant</t>
        </is>
      </c>
      <c r="O75" t="inlineStr">
        <is>
          <t>relevant</t>
        </is>
      </c>
      <c r="P75" t="b">
        <v>1</v>
      </c>
    </row>
    <row r="76">
      <c r="A76" t="inlineStr">
        <is>
          <t>sandspielzeug tasche</t>
        </is>
      </c>
      <c r="B76" t="inlineStr">
        <is>
          <t>sand toy bag</t>
        </is>
      </c>
      <c r="C76" t="n">
        <v>1697011768</v>
      </c>
      <c r="D76">
        <f>HYPERLINK("https://www.etsy.com/listing/1697011768", "link")</f>
        <v/>
      </c>
      <c r="E76">
        <f>HYPERLINK("https://atlas.etsycorp.com/listing/1697011768/lookup", "link")</f>
        <v/>
      </c>
      <c r="F76" t="inlineStr">
        <is>
          <t>Mesh bags for sand, bath toys, fruit, vegetable bags</t>
        </is>
      </c>
      <c r="G76" t="inlineStr">
        <is>
          <t>Euf0U3KXLV_OjTno31g11wUbPxf6</t>
        </is>
      </c>
      <c r="H76" t="inlineStr">
        <is>
          <t>boe</t>
        </is>
      </c>
      <c r="I76" t="inlineStr">
        <is>
          <t>de</t>
        </is>
      </c>
      <c r="J76" t="inlineStr">
        <is>
          <t>intl-de</t>
        </is>
      </c>
      <c r="K76" t="b">
        <v>1</v>
      </c>
      <c r="L76" t="inlineStr">
        <is>
          <t>relevant</t>
        </is>
      </c>
      <c r="M76" t="inlineStr">
        <is>
          <t>relevant</t>
        </is>
      </c>
      <c r="N76" t="inlineStr">
        <is>
          <t>relevant</t>
        </is>
      </c>
      <c r="O76" t="inlineStr">
        <is>
          <t>relevant</t>
        </is>
      </c>
      <c r="P76" t="b">
        <v>1</v>
      </c>
    </row>
    <row r="77">
      <c r="A77" t="inlineStr">
        <is>
          <t>skeleton controller stand</t>
        </is>
      </c>
      <c r="B77" t="inlineStr"/>
      <c r="C77" t="n">
        <v>1466107548</v>
      </c>
      <c r="D77">
        <f>HYPERLINK("https://www.etsy.com/listing/1466107548", "link")</f>
        <v/>
      </c>
      <c r="E77">
        <f>HYPERLINK("https://atlas.etsycorp.com/listing/1466107548/lookup", "link")</f>
        <v/>
      </c>
      <c r="F77" t="inlineStr">
        <is>
          <t>Headphone Stand wood, Headphone Holder for Desk, Airpods Max Stand, Gaming Headset Stand for home office, Best Boyfriend Gift</t>
        </is>
      </c>
      <c r="G77" t="inlineStr">
        <is>
          <t>EuazCRl3VxbAnEr38Z9FONbeS_66</t>
        </is>
      </c>
      <c r="H77" t="inlineStr">
        <is>
          <t>boe</t>
        </is>
      </c>
      <c r="I77" t="inlineStr">
        <is>
          <t>en-US</t>
        </is>
      </c>
      <c r="J77" t="inlineStr">
        <is>
          <t>us_v2-direct_unspecified</t>
        </is>
      </c>
      <c r="K77" t="b">
        <v>1</v>
      </c>
      <c r="L77" t="inlineStr">
        <is>
          <t>not_relevant</t>
        </is>
      </c>
      <c r="M77" t="inlineStr">
        <is>
          <t>not_relevant</t>
        </is>
      </c>
      <c r="N77" t="inlineStr">
        <is>
          <t>not_relevant</t>
        </is>
      </c>
      <c r="O77" t="inlineStr">
        <is>
          <t>partial</t>
        </is>
      </c>
      <c r="P77" t="b">
        <v>1</v>
      </c>
    </row>
    <row r="78">
      <c r="A78" t="inlineStr">
        <is>
          <t>serviette maternelle</t>
        </is>
      </c>
      <c r="B78" t="inlineStr">
        <is>
          <t>maternal towel</t>
        </is>
      </c>
      <c r="C78" t="n">
        <v>1753176562</v>
      </c>
      <c r="D78">
        <f>HYPERLINK("https://www.etsy.com/listing/1753176562", "link")</f>
        <v/>
      </c>
      <c r="E78">
        <f>HYPERLINK("https://atlas.etsycorp.com/listing/1753176562/lookup", "link")</f>
        <v/>
      </c>
      <c r="F78" t="inlineStr">
        <is>
          <t>Canteen towel. Table. Kindergarten</t>
        </is>
      </c>
      <c r="G78" t="inlineStr">
        <is>
          <t>EuO_hPAGamu_DA63tIy_vNwaNG5a</t>
        </is>
      </c>
      <c r="H78" t="inlineStr">
        <is>
          <t>web</t>
        </is>
      </c>
      <c r="I78" t="inlineStr">
        <is>
          <t>fr</t>
        </is>
      </c>
      <c r="J78" t="inlineStr">
        <is>
          <t>intl-fr</t>
        </is>
      </c>
      <c r="K78" t="b">
        <v>1</v>
      </c>
      <c r="L78" t="inlineStr">
        <is>
          <t>relevant</t>
        </is>
      </c>
      <c r="M78" t="inlineStr">
        <is>
          <t>relevant</t>
        </is>
      </c>
      <c r="N78" t="inlineStr">
        <is>
          <t>relevant</t>
        </is>
      </c>
      <c r="O78" t="inlineStr">
        <is>
          <t>relevant</t>
        </is>
      </c>
      <c r="P78" t="b">
        <v>1</v>
      </c>
    </row>
    <row r="79">
      <c r="A79" t="inlineStr">
        <is>
          <t>unique gifts for her</t>
        </is>
      </c>
      <c r="B79" t="inlineStr">
        <is>
          <t>unique gifts for her</t>
        </is>
      </c>
      <c r="C79" t="n">
        <v>1405418532</v>
      </c>
      <c r="D79">
        <f>HYPERLINK("https://www.etsy.com/listing/1405418532", "link")</f>
        <v/>
      </c>
      <c r="E79">
        <f>HYPERLINK("https://atlas.etsycorp.com/listing/1405418532/lookup", "link")</f>
        <v/>
      </c>
      <c r="F79" t="inlineStr">
        <is>
          <t>Vintage zodiac charm pendant - sagittarius charm in 9 ct yellow gold - star sign pendant - perfect gift - Christmas gift</t>
        </is>
      </c>
      <c r="G79" t="inlineStr">
        <is>
          <t>EuoVxlZmrGD-8ul8vpKBu_A1Pw9d</t>
        </is>
      </c>
      <c r="H79" t="inlineStr">
        <is>
          <t>boe</t>
        </is>
      </c>
      <c r="I79" t="inlineStr">
        <is>
          <t>fr</t>
        </is>
      </c>
      <c r="J79" t="inlineStr">
        <is>
          <t>intl-fr</t>
        </is>
      </c>
      <c r="K79" t="b">
        <v>1</v>
      </c>
      <c r="L79" t="inlineStr">
        <is>
          <t>relevant</t>
        </is>
      </c>
      <c r="M79" t="inlineStr">
        <is>
          <t>relevant</t>
        </is>
      </c>
      <c r="N79" t="inlineStr">
        <is>
          <t>relevant</t>
        </is>
      </c>
      <c r="O79" t="inlineStr">
        <is>
          <t>relevant</t>
        </is>
      </c>
      <c r="P79" t="b">
        <v>1</v>
      </c>
    </row>
    <row r="80">
      <c r="A80" t="inlineStr">
        <is>
          <t>pantalon linl</t>
        </is>
      </c>
      <c r="B80" t="inlineStr">
        <is>
          <t>Linl pants</t>
        </is>
      </c>
      <c r="C80" t="n">
        <v>1748194963</v>
      </c>
      <c r="D80">
        <f>HYPERLINK("https://www.etsy.com/listing/1748194963", "link")</f>
        <v/>
      </c>
      <c r="E80">
        <f>HYPERLINK("https://atlas.etsycorp.com/listing/1748194963/lookup", "link")</f>
        <v/>
      </c>
      <c r="F80" t="inlineStr">
        <is>
          <t>Women&amp;#39;s pants - Wide pants - Shiny pants - Flowy pants - Summer pants - Water green pants</t>
        </is>
      </c>
      <c r="G80" t="inlineStr">
        <is>
          <t>Euk1aWrNEHww5SYnNY2n5ayHS1c6</t>
        </is>
      </c>
      <c r="H80" t="inlineStr">
        <is>
          <t>boe</t>
        </is>
      </c>
      <c r="I80" t="inlineStr">
        <is>
          <t>es</t>
        </is>
      </c>
      <c r="J80" t="inlineStr">
        <is>
          <t>intl-es</t>
        </is>
      </c>
      <c r="K80" t="b">
        <v>1</v>
      </c>
      <c r="L80" t="inlineStr">
        <is>
          <t>partial</t>
        </is>
      </c>
      <c r="M80" t="inlineStr">
        <is>
          <t>relevant</t>
        </is>
      </c>
      <c r="N80" t="inlineStr">
        <is>
          <t>partial</t>
        </is>
      </c>
      <c r="O80" t="inlineStr">
        <is>
          <t>partial</t>
        </is>
      </c>
      <c r="P80" t="b">
        <v>1</v>
      </c>
    </row>
    <row r="81">
      <c r="A81" t="inlineStr">
        <is>
          <t>mit strohhalm und holzdeckel</t>
        </is>
      </c>
      <c r="B81" t="inlineStr">
        <is>
          <t>with straw and wooden lid</t>
        </is>
      </c>
      <c r="C81" t="n">
        <v>1693520571</v>
      </c>
      <c r="D81">
        <f>HYPERLINK("https://www.etsy.com/listing/1693520571", "link")</f>
        <v/>
      </c>
      <c r="E81">
        <f>HYPERLINK("https://atlas.etsycorp.com/listing/1693520571/lookup", "link")</f>
        <v/>
      </c>
      <c r="F81" t="inlineStr">
        <is>
          <t>Personalized Name Coffee Cup, Bridesmaid Proposal Gift, Custom Glass Tumbler with Lid and Straw, Birthday Gift for Her, Party Favors</t>
        </is>
      </c>
      <c r="G81" t="inlineStr">
        <is>
          <t>EuFZQgxVXdzQzXKpRMUSf_TBqhd3</t>
        </is>
      </c>
      <c r="H81" t="inlineStr">
        <is>
          <t>boe</t>
        </is>
      </c>
      <c r="I81" t="inlineStr">
        <is>
          <t>de</t>
        </is>
      </c>
      <c r="J81" t="inlineStr">
        <is>
          <t>intl-de</t>
        </is>
      </c>
      <c r="K81" t="b">
        <v>1</v>
      </c>
      <c r="L81" t="inlineStr">
        <is>
          <t>relevant</t>
        </is>
      </c>
      <c r="M81" t="inlineStr">
        <is>
          <t>relevant</t>
        </is>
      </c>
      <c r="N81" t="inlineStr">
        <is>
          <t>relevant</t>
        </is>
      </c>
      <c r="O81" t="inlineStr">
        <is>
          <t>relevant</t>
        </is>
      </c>
      <c r="P81" t="b">
        <v>1</v>
      </c>
    </row>
    <row r="82">
      <c r="A82" t="inlineStr">
        <is>
          <t>scott pilgrim</t>
        </is>
      </c>
      <c r="B82" t="inlineStr">
        <is>
          <t>scott pilgrim</t>
        </is>
      </c>
      <c r="C82" t="n">
        <v>1631026089</v>
      </c>
      <c r="D82">
        <f>HYPERLINK("https://www.etsy.com/listing/1631026089", "link")</f>
        <v/>
      </c>
      <c r="E82">
        <f>HYPERLINK("https://atlas.etsycorp.com/listing/1631026089/lookup", "link")</f>
        <v/>
      </c>
      <c r="F82" t="inlineStr">
        <is>
          <t>Scott Pilgrim, Wallace Wells and Ramona Flowers Badges!</t>
        </is>
      </c>
      <c r="G82" t="inlineStr">
        <is>
          <t>Eu2bwisBxZ-Rpg9ERY3QYIyz0cf8</t>
        </is>
      </c>
      <c r="H82" t="inlineStr">
        <is>
          <t>boe</t>
        </is>
      </c>
      <c r="I82" t="inlineStr">
        <is>
          <t>es</t>
        </is>
      </c>
      <c r="J82" t="inlineStr">
        <is>
          <t>intl-es</t>
        </is>
      </c>
      <c r="K82" t="b">
        <v>1</v>
      </c>
      <c r="L82" t="inlineStr">
        <is>
          <t>relevant</t>
        </is>
      </c>
      <c r="M82" t="inlineStr">
        <is>
          <t>relevant</t>
        </is>
      </c>
      <c r="N82" t="inlineStr">
        <is>
          <t>relevant</t>
        </is>
      </c>
      <c r="O82" t="inlineStr">
        <is>
          <t>relevant</t>
        </is>
      </c>
      <c r="P82" t="b">
        <v>1</v>
      </c>
    </row>
    <row r="83">
      <c r="A83" t="inlineStr">
        <is>
          <t>spores</t>
        </is>
      </c>
      <c r="B83" t="inlineStr"/>
      <c r="C83" t="n">
        <v>1173538812</v>
      </c>
      <c r="D83">
        <f>HYPERLINK("https://www.etsy.com/listing/1173538812", "link")</f>
        <v/>
      </c>
      <c r="E83">
        <f>HYPERLINK("https://atlas.etsycorp.com/listing/1173538812/lookup", "link")</f>
        <v/>
      </c>
      <c r="F83" t="inlineStr">
        <is>
          <t>1x Half-Pint Liquid Culture Solution Jar with Magnetic Stir Bar, Leak-proof Plastic Lid, Assorted Colors, 0.22 μm Filter, Self-healing Port</t>
        </is>
      </c>
      <c r="G83" t="inlineStr">
        <is>
          <t>Euxy3-ZVLXwwqow3kAP_pnvhfUfa</t>
        </is>
      </c>
      <c r="H83" t="inlineStr">
        <is>
          <t>boe</t>
        </is>
      </c>
      <c r="I83" t="inlineStr">
        <is>
          <t>en-US</t>
        </is>
      </c>
      <c r="J83" t="inlineStr">
        <is>
          <t>us_v2-direct_unspecified</t>
        </is>
      </c>
      <c r="K83" t="b">
        <v>1</v>
      </c>
      <c r="L83" t="inlineStr">
        <is>
          <t>not_relevant</t>
        </is>
      </c>
      <c r="M83" t="inlineStr">
        <is>
          <t>not_relevant</t>
        </is>
      </c>
      <c r="N83" t="inlineStr">
        <is>
          <t>relevant</t>
        </is>
      </c>
      <c r="O83" t="inlineStr">
        <is>
          <t>not_relevant</t>
        </is>
      </c>
      <c r="P83" t="b">
        <v>1</v>
      </c>
    </row>
    <row r="84">
      <c r="A84" t="inlineStr">
        <is>
          <t>personalized gift for him</t>
        </is>
      </c>
      <c r="B84" t="inlineStr"/>
      <c r="C84" t="n">
        <v>1393233546</v>
      </c>
      <c r="D84">
        <f>HYPERLINK("https://www.etsy.com/listing/1393233546", "link")</f>
        <v/>
      </c>
      <c r="E84">
        <f>HYPERLINK("https://atlas.etsycorp.com/listing/1393233546/lookup", "link")</f>
        <v/>
      </c>
      <c r="F84" t="inlineStr">
        <is>
          <t>Adventure Book Scrapbook Couples Gift for Boyfriend, Anniversary Gifts Couples, Personalized Gift, Valentines Day Gift for Him</t>
        </is>
      </c>
      <c r="G84" t="inlineStr">
        <is>
          <t>Eu5sFjO5nQZ_vwAr8iAzYrL7nDc1</t>
        </is>
      </c>
      <c r="H84" t="inlineStr">
        <is>
          <t>boe</t>
        </is>
      </c>
      <c r="I84" t="inlineStr">
        <is>
          <t>en-US</t>
        </is>
      </c>
      <c r="J84" t="inlineStr">
        <is>
          <t>us_v2-broad</t>
        </is>
      </c>
      <c r="K84" t="b">
        <v>1</v>
      </c>
      <c r="L84" t="inlineStr">
        <is>
          <t>relevant</t>
        </is>
      </c>
      <c r="M84" t="inlineStr">
        <is>
          <t>relevant</t>
        </is>
      </c>
      <c r="N84" t="inlineStr">
        <is>
          <t>relevant</t>
        </is>
      </c>
      <c r="O84" t="inlineStr">
        <is>
          <t>relevant</t>
        </is>
      </c>
      <c r="P84" t="b">
        <v>1</v>
      </c>
    </row>
    <row r="85">
      <c r="A85" t="inlineStr">
        <is>
          <t>Ring Guards &amp; Spacers</t>
        </is>
      </c>
      <c r="B85" t="inlineStr"/>
      <c r="C85" t="n">
        <v>1596443726</v>
      </c>
      <c r="D85">
        <f>HYPERLINK("https://www.etsy.com/listing/1596443726", "link")</f>
        <v/>
      </c>
      <c r="E85">
        <f>HYPERLINK("https://atlas.etsycorp.com/listing/1596443726/lookup", "link")</f>
        <v/>
      </c>
      <c r="F85" t="inlineStr">
        <is>
          <t>1/12Ct Diamond Ring Guard Engagement Ring Enhancer Wrap 925 Sterling Silver Wedding Ring Jacket Promise Ring Bridal Anniversary Gift For Her</t>
        </is>
      </c>
      <c r="G85" t="inlineStr">
        <is>
          <t>EuD3o3c2p6FKpt1JfJBgWoKFyb09</t>
        </is>
      </c>
      <c r="H85" t="inlineStr">
        <is>
          <t>boe</t>
        </is>
      </c>
      <c r="I85" t="inlineStr">
        <is>
          <t>en-US</t>
        </is>
      </c>
      <c r="J85" t="inlineStr">
        <is>
          <t>us_v2-direct_unspecified</t>
        </is>
      </c>
      <c r="K85" t="b">
        <v>1</v>
      </c>
      <c r="L85" t="inlineStr">
        <is>
          <t>partial</t>
        </is>
      </c>
      <c r="M85" t="inlineStr">
        <is>
          <t>partial</t>
        </is>
      </c>
      <c r="N85" t="inlineStr">
        <is>
          <t>relevant</t>
        </is>
      </c>
      <c r="O85" t="inlineStr">
        <is>
          <t>partial</t>
        </is>
      </c>
      <c r="P85" t="b">
        <v>1</v>
      </c>
    </row>
    <row r="86">
      <c r="A86" t="inlineStr">
        <is>
          <t>cards for 10year old boy</t>
        </is>
      </c>
      <c r="B86" t="inlineStr"/>
      <c r="C86" t="n">
        <v>1266373802</v>
      </c>
      <c r="D86">
        <f>HYPERLINK("https://www.etsy.com/listing/1266373802", "link")</f>
        <v/>
      </c>
      <c r="E86">
        <f>HYPERLINK("https://atlas.etsycorp.com/listing/1266373802/lookup", "link")</f>
        <v/>
      </c>
      <c r="F86" t="inlineStr">
        <is>
          <t>Personalised Birthday card Gaming controller Son nephew grandson  Any Name Age Relation child</t>
        </is>
      </c>
      <c r="G86" t="inlineStr">
        <is>
          <t>EuXEZoPQhMeWmGSRKePQaJj4xfe5</t>
        </is>
      </c>
      <c r="H86" t="inlineStr">
        <is>
          <t>web</t>
        </is>
      </c>
      <c r="I86" t="inlineStr">
        <is>
          <t>en-GB</t>
        </is>
      </c>
      <c r="J86" t="inlineStr">
        <is>
          <t>us_v2-direct_unspecified</t>
        </is>
      </c>
      <c r="K86" t="b">
        <v>1</v>
      </c>
      <c r="L86" t="inlineStr">
        <is>
          <t>partial</t>
        </is>
      </c>
      <c r="M86" t="inlineStr">
        <is>
          <t>partial</t>
        </is>
      </c>
      <c r="N86" t="inlineStr">
        <is>
          <t>partial</t>
        </is>
      </c>
      <c r="O86" t="inlineStr">
        <is>
          <t>relevant</t>
        </is>
      </c>
      <c r="P86" t="b">
        <v>1</v>
      </c>
    </row>
    <row r="87">
      <c r="A87" t="inlineStr">
        <is>
          <t>bitch pillow case</t>
        </is>
      </c>
      <c r="B87" t="inlineStr"/>
      <c r="C87" t="n">
        <v>1201069222</v>
      </c>
      <c r="D87">
        <f>HYPERLINK("https://www.etsy.com/listing/1201069222", "link")</f>
        <v/>
      </c>
      <c r="E87">
        <f>HYPERLINK("https://atlas.etsycorp.com/listing/1201069222/lookup", "link")</f>
        <v/>
      </c>
      <c r="F87" t="inlineStr">
        <is>
          <t>Funny Cushion Cover | Profanity Cushion | Rude Pillow | Gift For Her | Novelty Gift Idea | Funny Swearing Gift | Banter Pillow | Valentine&amp;#39;s</t>
        </is>
      </c>
      <c r="G87" t="inlineStr">
        <is>
          <t>EuoJMgBXbWUKpxne4vt2QEbRIW19</t>
        </is>
      </c>
      <c r="H87" t="inlineStr">
        <is>
          <t>boe</t>
        </is>
      </c>
      <c r="I87" t="inlineStr">
        <is>
          <t>en-GB</t>
        </is>
      </c>
      <c r="J87" t="inlineStr">
        <is>
          <t>us_v2-direct_specified</t>
        </is>
      </c>
      <c r="K87" t="b">
        <v>1</v>
      </c>
      <c r="L87" t="inlineStr">
        <is>
          <t>partial</t>
        </is>
      </c>
      <c r="M87" t="inlineStr">
        <is>
          <t>partial</t>
        </is>
      </c>
      <c r="N87" t="inlineStr">
        <is>
          <t>partial</t>
        </is>
      </c>
      <c r="O87" t="inlineStr">
        <is>
          <t>partial</t>
        </is>
      </c>
      <c r="P87" t="b">
        <v>1</v>
      </c>
    </row>
    <row r="88">
      <c r="A88" t="inlineStr">
        <is>
          <t>Custom wedding invitations</t>
        </is>
      </c>
      <c r="B88" t="inlineStr"/>
      <c r="C88" t="n">
        <v>1510958588</v>
      </c>
      <c r="D88">
        <f>HYPERLINK("https://www.etsy.com/listing/1510958588", "link")</f>
        <v/>
      </c>
      <c r="E88">
        <f>HYPERLINK("https://atlas.etsycorp.com/listing/1510958588/lookup", "link")</f>
        <v/>
      </c>
      <c r="F88" t="inlineStr">
        <is>
          <t>Custom Watercolor Venue Wedding Invitation Set, Wedding Invitations</t>
        </is>
      </c>
      <c r="G88" t="inlineStr">
        <is>
          <t>EuT11Ml0PDokBdbo2iqy9VtAlt2b</t>
        </is>
      </c>
      <c r="H88" t="inlineStr">
        <is>
          <t>boe</t>
        </is>
      </c>
      <c r="I88" t="inlineStr">
        <is>
          <t>en-US</t>
        </is>
      </c>
      <c r="J88" t="inlineStr">
        <is>
          <t>us_v2-direct_unspecified</t>
        </is>
      </c>
      <c r="K88" t="b">
        <v>1</v>
      </c>
      <c r="L88" t="inlineStr">
        <is>
          <t>relevant</t>
        </is>
      </c>
      <c r="M88" t="inlineStr">
        <is>
          <t>relevant</t>
        </is>
      </c>
      <c r="N88" t="inlineStr">
        <is>
          <t>relevant</t>
        </is>
      </c>
      <c r="O88" t="inlineStr">
        <is>
          <t>relevant</t>
        </is>
      </c>
      <c r="P88" t="b">
        <v>1</v>
      </c>
    </row>
    <row r="89">
      <c r="A89" t="inlineStr">
        <is>
          <t>rings for men</t>
        </is>
      </c>
      <c r="B89" t="inlineStr"/>
      <c r="C89" t="n">
        <v>1367429104</v>
      </c>
      <c r="D89">
        <f>HYPERLINK("https://www.etsy.com/listing/1367429104", "link")</f>
        <v/>
      </c>
      <c r="E89">
        <f>HYPERLINK("https://atlas.etsycorp.com/listing/1367429104/lookup", "link")</f>
        <v/>
      </c>
      <c r="F89" t="inlineStr">
        <is>
          <t>Boyfriend Gift - Engraved Name Rings - Couples Rings Black - Custom Rings Both Sides Engraveable - Handmade Gift For Him Unique</t>
        </is>
      </c>
      <c r="G89" t="inlineStr">
        <is>
          <t>EursvEV_dbgdkWAtGqOuji6oZK96</t>
        </is>
      </c>
      <c r="H89" t="inlineStr">
        <is>
          <t>boe</t>
        </is>
      </c>
      <c r="I89" t="inlineStr">
        <is>
          <t>en-US</t>
        </is>
      </c>
      <c r="J89" t="inlineStr">
        <is>
          <t>us_v2-direct_unspecified</t>
        </is>
      </c>
      <c r="K89" t="b">
        <v>1</v>
      </c>
      <c r="L89" t="inlineStr">
        <is>
          <t>relevant</t>
        </is>
      </c>
      <c r="M89" t="inlineStr">
        <is>
          <t>relevant</t>
        </is>
      </c>
      <c r="N89" t="inlineStr">
        <is>
          <t>relevant</t>
        </is>
      </c>
      <c r="O89" t="inlineStr">
        <is>
          <t>relevant</t>
        </is>
      </c>
      <c r="P89" t="b">
        <v>1</v>
      </c>
    </row>
    <row r="90">
      <c r="A90" t="inlineStr">
        <is>
          <t>royal pet portrait</t>
        </is>
      </c>
      <c r="B90" t="inlineStr"/>
      <c r="C90" t="n">
        <v>1555465127</v>
      </c>
      <c r="D90">
        <f>HYPERLINK("https://www.etsy.com/listing/1555465127", "link")</f>
        <v/>
      </c>
      <c r="E90">
        <f>HYPERLINK("https://atlas.etsycorp.com/listing/1555465127/lookup", "link")</f>
        <v/>
      </c>
      <c r="F90" t="inlineStr">
        <is>
          <t>Hand-Painted Pet Portrait From Photo, Custom Watercolor Art, Made to Order Dog &amp; Cat Painting, Family Pet Illustration, Customized</t>
        </is>
      </c>
      <c r="G90" t="inlineStr">
        <is>
          <t>Eu8np0Kj6jhDXtti_HgCO8pdyO60</t>
        </is>
      </c>
      <c r="H90" t="inlineStr">
        <is>
          <t>boe</t>
        </is>
      </c>
      <c r="I90" t="inlineStr">
        <is>
          <t>en-US</t>
        </is>
      </c>
      <c r="J90" t="inlineStr">
        <is>
          <t>us_v2-direct_unspecified</t>
        </is>
      </c>
      <c r="K90" t="b">
        <v>1</v>
      </c>
      <c r="L90" t="inlineStr">
        <is>
          <t>partial</t>
        </is>
      </c>
      <c r="M90" t="inlineStr">
        <is>
          <t>partial</t>
        </is>
      </c>
      <c r="N90" t="inlineStr">
        <is>
          <t>partial</t>
        </is>
      </c>
      <c r="O90" t="inlineStr">
        <is>
          <t>partial</t>
        </is>
      </c>
      <c r="P90" t="b">
        <v>1</v>
      </c>
    </row>
    <row r="91">
      <c r="A91" t="inlineStr">
        <is>
          <t>queenclothes for baby</t>
        </is>
      </c>
      <c r="B91" t="inlineStr"/>
      <c r="C91" t="n">
        <v>1168584883</v>
      </c>
      <c r="D91">
        <f>HYPERLINK("https://www.etsy.com/listing/1168584883", "link")</f>
        <v/>
      </c>
      <c r="E91">
        <f>HYPERLINK("https://atlas.etsycorp.com/listing/1168584883/lookup", "link")</f>
        <v/>
      </c>
      <c r="F91" t="inlineStr">
        <is>
          <t>Baby Girl Baby Boy Sweater Cotton Knit Dressy top for romper dress 3 button 5 button Earth Tone Warm ANDI Cardigan</t>
        </is>
      </c>
      <c r="G91" t="inlineStr">
        <is>
          <t>EuITfZRnQycytIVhQ0INY5g7BL82</t>
        </is>
      </c>
      <c r="H91" t="inlineStr">
        <is>
          <t>boe</t>
        </is>
      </c>
      <c r="I91" t="inlineStr">
        <is>
          <t>en-US</t>
        </is>
      </c>
      <c r="J91" t="inlineStr">
        <is>
          <t>us_v2-direct_unspecified</t>
        </is>
      </c>
      <c r="K91" t="b">
        <v>1</v>
      </c>
      <c r="L91" t="inlineStr">
        <is>
          <t>partial</t>
        </is>
      </c>
      <c r="M91" t="inlineStr">
        <is>
          <t>partial</t>
        </is>
      </c>
      <c r="N91" t="inlineStr">
        <is>
          <t>partial</t>
        </is>
      </c>
      <c r="O91" t="inlineStr">
        <is>
          <t>partial</t>
        </is>
      </c>
      <c r="P91" t="b">
        <v>1</v>
      </c>
    </row>
    <row r="92">
      <c r="A92" t="inlineStr">
        <is>
          <t>simone biles shirt</t>
        </is>
      </c>
      <c r="B92" t="inlineStr">
        <is>
          <t>simone biles shirt</t>
        </is>
      </c>
      <c r="C92" t="n">
        <v>1763023631</v>
      </c>
      <c r="D92">
        <f>HYPERLINK("https://www.etsy.com/listing/1763023631", "link")</f>
        <v/>
      </c>
      <c r="E92">
        <f>HYPERLINK("https://atlas.etsycorp.com/listing/1763023631/lookup", "link")</f>
        <v/>
      </c>
      <c r="F92" t="inlineStr">
        <is>
          <t>USA Basketball Team Paris LeBron James, Steph Curry, Joel Embiid, Jayson Tatum, Anthony Edwards Devin Booker Streetwear Heavyweight T-Shirt</t>
        </is>
      </c>
      <c r="G92" t="inlineStr">
        <is>
          <t>EuHooHWTRSJab0-E7iqHuORPCXa9</t>
        </is>
      </c>
      <c r="H92" t="inlineStr">
        <is>
          <t>boe</t>
        </is>
      </c>
      <c r="I92" t="inlineStr">
        <is>
          <t>es</t>
        </is>
      </c>
      <c r="J92" t="inlineStr">
        <is>
          <t>intl-es</t>
        </is>
      </c>
      <c r="K92" t="b">
        <v>1</v>
      </c>
      <c r="L92" t="inlineStr">
        <is>
          <t>partial</t>
        </is>
      </c>
      <c r="M92" t="inlineStr">
        <is>
          <t>partial</t>
        </is>
      </c>
      <c r="N92" t="inlineStr">
        <is>
          <t>partial</t>
        </is>
      </c>
      <c r="O92" t="inlineStr">
        <is>
          <t>partial</t>
        </is>
      </c>
      <c r="P92" t="b">
        <v>1</v>
      </c>
    </row>
    <row r="93">
      <c r="A93" t="inlineStr">
        <is>
          <t>black wooden light pull</t>
        </is>
      </c>
      <c r="B93" t="inlineStr"/>
      <c r="C93" t="n">
        <v>1514233080</v>
      </c>
      <c r="D93">
        <f>HYPERLINK("https://www.etsy.com/listing/1514233080", "link")</f>
        <v/>
      </c>
      <c r="E93">
        <f>HYPERLINK("https://atlas.etsycorp.com/listing/1514233080/lookup", "link")</f>
        <v/>
      </c>
      <c r="F93" t="inlineStr">
        <is>
          <t>Beech Walnut Wood Drawer Pulls Knobs Closet Handles Natural Round Dresser Knobs Replacement Handles Kitchen Hardware 2.5&amp;quot;3.78&amp;quot;5&amp;quot;6.3&amp;quot;7.56&amp;quot;</t>
        </is>
      </c>
      <c r="G93" t="inlineStr">
        <is>
          <t>Eul4mx-PxfaXeAevOPUQZ11-EA5e</t>
        </is>
      </c>
      <c r="H93" t="inlineStr">
        <is>
          <t>web</t>
        </is>
      </c>
      <c r="I93" t="inlineStr">
        <is>
          <t>en-GB</t>
        </is>
      </c>
      <c r="J93" t="inlineStr">
        <is>
          <t>us_v2-direct_specified</t>
        </is>
      </c>
      <c r="K93" t="b">
        <v>1</v>
      </c>
      <c r="L93" t="inlineStr">
        <is>
          <t>partial</t>
        </is>
      </c>
      <c r="M93" t="inlineStr">
        <is>
          <t>partial</t>
        </is>
      </c>
      <c r="N93" t="inlineStr">
        <is>
          <t>partial</t>
        </is>
      </c>
      <c r="O93" t="inlineStr">
        <is>
          <t>partial</t>
        </is>
      </c>
      <c r="P93" t="b">
        <v>1</v>
      </c>
    </row>
    <row r="94">
      <c r="A94" t="inlineStr">
        <is>
          <t>broek</t>
        </is>
      </c>
      <c r="B94" t="inlineStr">
        <is>
          <t>pants</t>
        </is>
      </c>
      <c r="C94" t="n">
        <v>612040534</v>
      </c>
      <c r="D94">
        <f>HYPERLINK("https://www.etsy.com/listing/612040534", "link")</f>
        <v/>
      </c>
      <c r="E94">
        <f>HYPERLINK("https://atlas.etsycorp.com/listing/612040534/lookup", "link")</f>
        <v/>
      </c>
      <c r="F94" t="inlineStr">
        <is>
          <t>Baby or toddler shorts. Size 0-1 months. Off white comfy slim fit shorts with black doodles. cotton knit fabric.</t>
        </is>
      </c>
      <c r="G94" t="inlineStr">
        <is>
          <t>EumQ3uRyqbuZ5DgeJPQjZ8hyUS19</t>
        </is>
      </c>
      <c r="H94" t="inlineStr">
        <is>
          <t>web</t>
        </is>
      </c>
      <c r="I94" t="inlineStr">
        <is>
          <t>nl</t>
        </is>
      </c>
      <c r="J94" t="inlineStr">
        <is>
          <t>intl-nl</t>
        </is>
      </c>
      <c r="K94" t="b">
        <v>1</v>
      </c>
      <c r="L94" t="inlineStr">
        <is>
          <t>partial</t>
        </is>
      </c>
      <c r="M94" t="inlineStr">
        <is>
          <t>not_relevant</t>
        </is>
      </c>
      <c r="N94" t="inlineStr">
        <is>
          <t>partial</t>
        </is>
      </c>
      <c r="O94" t="inlineStr">
        <is>
          <t>partial</t>
        </is>
      </c>
      <c r="P94" t="b">
        <v>1</v>
      </c>
    </row>
    <row r="95">
      <c r="A95" t="inlineStr">
        <is>
          <t>Find shirts</t>
        </is>
      </c>
      <c r="B95" t="inlineStr">
        <is>
          <t>Find shirts</t>
        </is>
      </c>
      <c r="C95" t="n">
        <v>1700516913</v>
      </c>
      <c r="D95">
        <f>HYPERLINK("https://www.etsy.com/listing/1700516913", "link")</f>
        <v/>
      </c>
      <c r="E95">
        <f>HYPERLINK("https://atlas.etsycorp.com/listing/1700516913/lookup", "link")</f>
        <v/>
      </c>
      <c r="F95" t="inlineStr">
        <is>
          <t>FAFO Cause &amp; Effect Hoodie | F Around and Find Out, Funny Gift, Pop Culture, Sassy Adult Humor, Sarcastic, Birthday Gifts, Pop Culture</t>
        </is>
      </c>
      <c r="G95" t="inlineStr">
        <is>
          <t>EuvIS1lmey4F6GIBWbndSoAuVE5b</t>
        </is>
      </c>
      <c r="H95" t="inlineStr">
        <is>
          <t>web</t>
        </is>
      </c>
      <c r="I95" t="inlineStr">
        <is>
          <t>es</t>
        </is>
      </c>
      <c r="J95" t="inlineStr">
        <is>
          <t>intl-es</t>
        </is>
      </c>
      <c r="K95" t="b">
        <v>1</v>
      </c>
      <c r="L95" t="inlineStr">
        <is>
          <t>partial</t>
        </is>
      </c>
      <c r="M95" t="inlineStr">
        <is>
          <t>partial</t>
        </is>
      </c>
      <c r="N95" t="inlineStr">
        <is>
          <t>partial</t>
        </is>
      </c>
      <c r="O95" t="inlineStr">
        <is>
          <t>partial</t>
        </is>
      </c>
      <c r="P95" t="b">
        <v>1</v>
      </c>
    </row>
    <row r="96">
      <c r="A96" t="inlineStr">
        <is>
          <t>suspension fleur</t>
        </is>
      </c>
      <c r="B96" t="inlineStr">
        <is>
          <t>flower hanging</t>
        </is>
      </c>
      <c r="C96" t="n">
        <v>1478198431</v>
      </c>
      <c r="D96">
        <f>HYPERLINK("https://www.etsy.com/listing/1478198431", "link")</f>
        <v/>
      </c>
      <c r="E96">
        <f>HYPERLINK("https://atlas.etsycorp.com/listing/1478198431/lookup", "link")</f>
        <v/>
      </c>
      <c r="F96" t="inlineStr">
        <is>
          <t>20pcs/ 40 pcs artificial flowers for weddings, artificial Garland Hanging Plants, wisteria garland, wedding decor Vine Fake garlands</t>
        </is>
      </c>
      <c r="G96" t="inlineStr">
        <is>
          <t>Eu9P7IG4stpin-munk65yIEY5Qd1</t>
        </is>
      </c>
      <c r="H96" t="inlineStr">
        <is>
          <t>web</t>
        </is>
      </c>
      <c r="I96" t="inlineStr">
        <is>
          <t>fr</t>
        </is>
      </c>
      <c r="J96" t="inlineStr">
        <is>
          <t>intl-fr</t>
        </is>
      </c>
      <c r="K96" t="b">
        <v>1</v>
      </c>
      <c r="L96" t="inlineStr">
        <is>
          <t>partial</t>
        </is>
      </c>
      <c r="M96" t="inlineStr">
        <is>
          <t>partial</t>
        </is>
      </c>
      <c r="N96" t="inlineStr">
        <is>
          <t>partial</t>
        </is>
      </c>
      <c r="O96" t="inlineStr">
        <is>
          <t>partial</t>
        </is>
      </c>
      <c r="P96" t="b">
        <v>1</v>
      </c>
    </row>
    <row r="97">
      <c r="A97" t="inlineStr">
        <is>
          <t>wine cork display</t>
        </is>
      </c>
      <c r="B97" t="inlineStr"/>
      <c r="C97" t="n">
        <v>977075221</v>
      </c>
      <c r="D97">
        <f>HYPERLINK("https://www.etsy.com/listing/977075221", "link")</f>
        <v/>
      </c>
      <c r="E97">
        <f>HYPERLINK("https://atlas.etsycorp.com/listing/977075221/lookup", "link")</f>
        <v/>
      </c>
      <c r="F97" t="inlineStr">
        <is>
          <t>Every Bottle Wine Quote ~ SVG ~ PNG ~ Sign Making ~ Print ~ Cricut or Silhouette graphics ~ Cork Holder ~ Card Making ~ Sticker Design</t>
        </is>
      </c>
      <c r="G97" t="inlineStr">
        <is>
          <t>Eu8rMi61b8jOpMcDn2JZrdbkBJ5e</t>
        </is>
      </c>
      <c r="H97" t="inlineStr">
        <is>
          <t>web</t>
        </is>
      </c>
      <c r="I97" t="inlineStr">
        <is>
          <t>en-US</t>
        </is>
      </c>
      <c r="J97" t="inlineStr">
        <is>
          <t>us_v2-direct_unspecified</t>
        </is>
      </c>
      <c r="K97" t="b">
        <v>1</v>
      </c>
      <c r="L97" t="inlineStr">
        <is>
          <t>relevant</t>
        </is>
      </c>
      <c r="M97" t="inlineStr">
        <is>
          <t>relevant</t>
        </is>
      </c>
      <c r="N97" t="inlineStr">
        <is>
          <t>relevant</t>
        </is>
      </c>
      <c r="O97" t="inlineStr">
        <is>
          <t>relevant</t>
        </is>
      </c>
      <c r="P97" t="b">
        <v>1</v>
      </c>
    </row>
    <row r="98">
      <c r="A98" t="inlineStr">
        <is>
          <t>cadena bolso gris</t>
        </is>
      </c>
      <c r="B98" t="inlineStr"/>
      <c r="C98" t="n">
        <v>1248661033</v>
      </c>
      <c r="D98">
        <f>HYPERLINK("https://www.etsy.com/listing/1248661033", "link")</f>
        <v/>
      </c>
      <c r="E98">
        <f>HYPERLINK("https://atlas.etsycorp.com/listing/1248661033/lookup", "link")</f>
        <v/>
      </c>
      <c r="F98" t="inlineStr">
        <is>
          <t>Chain for crossbody| Bag Replacement Chain Metal | Metal Shoulder Handbag Strap| Purse Chain</t>
        </is>
      </c>
      <c r="G98" t="inlineStr">
        <is>
          <t>Euadtc-e0WIFRsyPqT3U6XKKLL63</t>
        </is>
      </c>
      <c r="H98" t="inlineStr">
        <is>
          <t>web</t>
        </is>
      </c>
      <c r="I98" t="inlineStr">
        <is>
          <t>en-GB</t>
        </is>
      </c>
      <c r="J98" t="inlineStr">
        <is>
          <t>us_v2-broad</t>
        </is>
      </c>
      <c r="K98" t="b">
        <v>1</v>
      </c>
      <c r="L98" t="inlineStr">
        <is>
          <t>relevant</t>
        </is>
      </c>
      <c r="M98" t="inlineStr">
        <is>
          <t>partial</t>
        </is>
      </c>
      <c r="N98" t="inlineStr">
        <is>
          <t>relevant</t>
        </is>
      </c>
      <c r="O98" t="inlineStr">
        <is>
          <t>relevant</t>
        </is>
      </c>
      <c r="P98" t="b">
        <v>1</v>
      </c>
    </row>
    <row r="99">
      <c r="A99" t="inlineStr">
        <is>
          <t>spring clothing</t>
        </is>
      </c>
      <c r="B99" t="inlineStr"/>
      <c r="C99" t="n">
        <v>1655570351</v>
      </c>
      <c r="D99">
        <f>HYPERLINK("https://www.etsy.com/listing/1655570351", "link")</f>
        <v/>
      </c>
      <c r="E99">
        <f>HYPERLINK("https://atlas.etsycorp.com/listing/1655570351/lookup", "link")</f>
        <v/>
      </c>
      <c r="F99" t="inlineStr">
        <is>
          <t>Vintage Crocheted Cardigan, Green Crocheted Sweater, Womens Y2K Crochet Top, Vintage Sweater, Pastel Spring Sweater, Size Small</t>
        </is>
      </c>
      <c r="G99" t="inlineStr">
        <is>
          <t>EuKVumvBqy1v8DcRuQMAKJA8UQ46</t>
        </is>
      </c>
      <c r="H99" t="inlineStr">
        <is>
          <t>boe</t>
        </is>
      </c>
      <c r="I99" t="inlineStr">
        <is>
          <t>en-US</t>
        </is>
      </c>
      <c r="J99" t="inlineStr">
        <is>
          <t>us_v2-direct_unspecified</t>
        </is>
      </c>
      <c r="K99" t="b">
        <v>1</v>
      </c>
      <c r="L99" t="inlineStr">
        <is>
          <t>relevant</t>
        </is>
      </c>
      <c r="M99" t="inlineStr">
        <is>
          <t>relevant</t>
        </is>
      </c>
      <c r="N99" t="inlineStr">
        <is>
          <t>relevant</t>
        </is>
      </c>
      <c r="O99" t="inlineStr">
        <is>
          <t>relevant</t>
        </is>
      </c>
      <c r="P99" t="b">
        <v>1</v>
      </c>
    </row>
    <row r="100">
      <c r="A100" t="inlineStr">
        <is>
          <t>watercolor terracota flower</t>
        </is>
      </c>
      <c r="B100" t="inlineStr">
        <is>
          <t>watercolor terracotta flower</t>
        </is>
      </c>
      <c r="C100" t="n">
        <v>1648282167</v>
      </c>
      <c r="D100">
        <f>HYPERLINK("https://www.etsy.com/listing/1648282167", "link")</f>
        <v/>
      </c>
      <c r="E100">
        <f>HYPERLINK("https://atlas.etsycorp.com/listing/1648282167/lookup", "link")</f>
        <v/>
      </c>
      <c r="F100" t="inlineStr">
        <is>
          <t>My fall wedding - Hand-drawn Watercolor Rust and Plum Flowers Pattern - Robes / Pjs / Rompers - Bridesmaids Getting Ready Outfits</t>
        </is>
      </c>
      <c r="G100" t="inlineStr">
        <is>
          <t>EuVg2_EkWq0UB6b9_yBLs4iW3Uc8</t>
        </is>
      </c>
      <c r="H100" t="inlineStr">
        <is>
          <t>web</t>
        </is>
      </c>
      <c r="I100" t="inlineStr">
        <is>
          <t>pt</t>
        </is>
      </c>
      <c r="J100" t="inlineStr">
        <is>
          <t>intl-pt</t>
        </is>
      </c>
      <c r="K100" t="b">
        <v>1</v>
      </c>
      <c r="L100" t="inlineStr">
        <is>
          <t>not_relevant</t>
        </is>
      </c>
      <c r="M100" t="inlineStr">
        <is>
          <t>not_relevant</t>
        </is>
      </c>
      <c r="N100" t="inlineStr">
        <is>
          <t>not_relevant</t>
        </is>
      </c>
      <c r="O100" t="inlineStr">
        <is>
          <t>not_relevant</t>
        </is>
      </c>
      <c r="P100" t="b">
        <v>1</v>
      </c>
    </row>
    <row r="101">
      <c r="A101" t="inlineStr">
        <is>
          <t>linen</t>
        </is>
      </c>
      <c r="B101" t="inlineStr">
        <is>
          <t>linen</t>
        </is>
      </c>
      <c r="C101" t="n">
        <v>1561062342</v>
      </c>
      <c r="D101">
        <f>HYPERLINK("https://www.etsy.com/listing/1561062342", "link")</f>
        <v/>
      </c>
      <c r="E101">
        <f>HYPERLINK("https://atlas.etsycorp.com/listing/1561062342/lookup", "link")</f>
        <v/>
      </c>
      <c r="F101" t="inlineStr">
        <is>
          <t>Gray green linen curtain, Handcrafted custom linen curtain, Natural linen curtain in various colors, Linen home decor, Window treatments.</t>
        </is>
      </c>
      <c r="G101" t="inlineStr">
        <is>
          <t>EujRAiPdq8MOswFztA0os8yKhm37</t>
        </is>
      </c>
      <c r="H101" t="inlineStr">
        <is>
          <t>boe</t>
        </is>
      </c>
      <c r="I101" t="inlineStr">
        <is>
          <t>pl</t>
        </is>
      </c>
      <c r="J101" t="inlineStr">
        <is>
          <t>intl-pl</t>
        </is>
      </c>
      <c r="K101" t="b">
        <v>1</v>
      </c>
      <c r="L101" t="inlineStr">
        <is>
          <t>relevant</t>
        </is>
      </c>
      <c r="M101" t="inlineStr">
        <is>
          <t>relevant</t>
        </is>
      </c>
      <c r="N101" t="inlineStr">
        <is>
          <t>relevant</t>
        </is>
      </c>
      <c r="O101" t="inlineStr">
        <is>
          <t>relevant</t>
        </is>
      </c>
      <c r="P101" t="b">
        <v>1</v>
      </c>
    </row>
    <row r="102">
      <c r="A102" t="inlineStr">
        <is>
          <t>echarpe triangle</t>
        </is>
      </c>
      <c r="B102" t="inlineStr">
        <is>
          <t>triangle scarf</t>
        </is>
      </c>
      <c r="C102" t="n">
        <v>994065416</v>
      </c>
      <c r="D102">
        <f>HYPERLINK("https://www.etsy.com/listing/994065416", "link")</f>
        <v/>
      </c>
      <c r="E102">
        <f>HYPERLINK("https://atlas.etsycorp.com/listing/994065416/lookup", "link")</f>
        <v/>
      </c>
      <c r="F102" t="inlineStr">
        <is>
          <t>Cotton muslin women scarf shawl, cotton triangle scarf  - soft spring scarf shawl scarf for women, cotton shawl wrap</t>
        </is>
      </c>
      <c r="G102" t="inlineStr">
        <is>
          <t>EuHMADbLaTX7rs2r6Frilwd6ORb8</t>
        </is>
      </c>
      <c r="H102" t="inlineStr">
        <is>
          <t>web</t>
        </is>
      </c>
      <c r="I102" t="inlineStr">
        <is>
          <t>fr</t>
        </is>
      </c>
      <c r="J102" t="inlineStr">
        <is>
          <t>intl-fr</t>
        </is>
      </c>
      <c r="K102" t="b">
        <v>1</v>
      </c>
      <c r="L102" t="inlineStr">
        <is>
          <t>relevant</t>
        </is>
      </c>
      <c r="M102" t="inlineStr">
        <is>
          <t>relevant</t>
        </is>
      </c>
      <c r="N102" t="inlineStr">
        <is>
          <t>relevant</t>
        </is>
      </c>
      <c r="O102" t="inlineStr">
        <is>
          <t>relevant</t>
        </is>
      </c>
      <c r="P102" t="b">
        <v>1</v>
      </c>
    </row>
    <row r="103">
      <c r="A103" t="inlineStr">
        <is>
          <t>make up bag</t>
        </is>
      </c>
      <c r="B103" t="inlineStr">
        <is>
          <t>make up bag</t>
        </is>
      </c>
      <c r="C103" t="n">
        <v>1247156935</v>
      </c>
      <c r="D103">
        <f>HYPERLINK("https://www.etsy.com/listing/1247156935", "link")</f>
        <v/>
      </c>
      <c r="E103">
        <f>HYPERLINK("https://atlas.etsycorp.com/listing/1247156935/lookup", "link")</f>
        <v/>
      </c>
      <c r="F103" t="inlineStr">
        <is>
          <t>Personalised Make up Bag with monogram I Cosmetic custom bag I Personalized gift for her</t>
        </is>
      </c>
      <c r="G103" t="inlineStr">
        <is>
          <t>EuQ7_6cRfsSoES7gV6QxpspeTUab</t>
        </is>
      </c>
      <c r="H103" t="inlineStr">
        <is>
          <t>boe</t>
        </is>
      </c>
      <c r="I103" t="inlineStr">
        <is>
          <t>it</t>
        </is>
      </c>
      <c r="J103" t="inlineStr">
        <is>
          <t>intl-it</t>
        </is>
      </c>
      <c r="K103" t="b">
        <v>1</v>
      </c>
      <c r="L103" t="inlineStr">
        <is>
          <t>relevant</t>
        </is>
      </c>
      <c r="M103" t="inlineStr">
        <is>
          <t>relevant</t>
        </is>
      </c>
      <c r="N103" t="inlineStr">
        <is>
          <t>relevant</t>
        </is>
      </c>
      <c r="O103" t="inlineStr">
        <is>
          <t>relevant</t>
        </is>
      </c>
      <c r="P103" t="b">
        <v>1</v>
      </c>
    </row>
    <row r="104">
      <c r="A104" t="inlineStr">
        <is>
          <t>vitage fischer</t>
        </is>
      </c>
      <c r="B104" t="inlineStr">
        <is>
          <t>vitage fischer</t>
        </is>
      </c>
      <c r="C104" t="n">
        <v>1450572388</v>
      </c>
      <c r="D104">
        <f>HYPERLINK("https://www.etsy.com/listing/1450572388", "link")</f>
        <v/>
      </c>
      <c r="E104">
        <f>HYPERLINK("https://atlas.etsycorp.com/listing/1450572388/lookup", "link")</f>
        <v/>
      </c>
      <c r="F104" t="inlineStr">
        <is>
          <t>Personalized wooden magnet box for anglers and fishermen | Gift box with wobblers and baits for pike, perch, trout and zander | Father&amp;#39;s Day</t>
        </is>
      </c>
      <c r="G104" t="inlineStr">
        <is>
          <t>EuiZIMfcG1WdgY45iGZikrMmrAa7</t>
        </is>
      </c>
      <c r="H104" t="inlineStr">
        <is>
          <t>web</t>
        </is>
      </c>
      <c r="I104" t="inlineStr">
        <is>
          <t>de</t>
        </is>
      </c>
      <c r="J104" t="inlineStr">
        <is>
          <t>intl-de</t>
        </is>
      </c>
      <c r="K104" t="b">
        <v>1</v>
      </c>
      <c r="L104" t="inlineStr">
        <is>
          <t>not_relevant</t>
        </is>
      </c>
      <c r="M104" t="inlineStr">
        <is>
          <t>relevant</t>
        </is>
      </c>
      <c r="N104" t="inlineStr">
        <is>
          <t>not_relevant</t>
        </is>
      </c>
      <c r="O104" t="inlineStr">
        <is>
          <t>not_relevant</t>
        </is>
      </c>
      <c r="P104" t="b">
        <v>1</v>
      </c>
    </row>
    <row r="105">
      <c r="A105" t="inlineStr">
        <is>
          <t>cadre personnalise main</t>
        </is>
      </c>
      <c r="B105" t="inlineStr">
        <is>
          <t>hand personalized frame</t>
        </is>
      </c>
      <c r="C105" t="n">
        <v>1584245479</v>
      </c>
      <c r="D105">
        <f>HYPERLINK("https://www.etsy.com/listing/1584245479", "link")</f>
        <v/>
      </c>
      <c r="E105">
        <f>HYPERLINK("https://atlas.etsycorp.com/listing/1584245479/lookup", "link")</f>
        <v/>
      </c>
      <c r="F105" t="inlineStr">
        <is>
          <t>Personalized godmother frame</t>
        </is>
      </c>
      <c r="G105" t="inlineStr">
        <is>
          <t>EuecDMfMJ5TT_CmkgL60Ca98z-f9</t>
        </is>
      </c>
      <c r="H105" t="inlineStr">
        <is>
          <t>boe</t>
        </is>
      </c>
      <c r="I105" t="inlineStr">
        <is>
          <t>fr</t>
        </is>
      </c>
      <c r="J105" t="inlineStr">
        <is>
          <t>intl-fr</t>
        </is>
      </c>
      <c r="K105" t="b">
        <v>1</v>
      </c>
      <c r="L105" t="inlineStr">
        <is>
          <t>relevant</t>
        </is>
      </c>
      <c r="M105" t="inlineStr">
        <is>
          <t>relevant</t>
        </is>
      </c>
      <c r="N105" t="inlineStr">
        <is>
          <t>relevant</t>
        </is>
      </c>
      <c r="O105" t="inlineStr">
        <is>
          <t>partial</t>
        </is>
      </c>
      <c r="P105" t="b">
        <v>1</v>
      </c>
    </row>
    <row r="106">
      <c r="A106" t="inlineStr">
        <is>
          <t>suspension fleur</t>
        </is>
      </c>
      <c r="B106" t="inlineStr">
        <is>
          <t>flower hanging</t>
        </is>
      </c>
      <c r="C106" t="n">
        <v>1290337809</v>
      </c>
      <c r="D106">
        <f>HYPERLINK("https://www.etsy.com/listing/1290337809", "link")</f>
        <v/>
      </c>
      <c r="E106">
        <f>HYPERLINK("https://atlas.etsycorp.com/listing/1290337809/lookup", "link")</f>
        <v/>
      </c>
      <c r="F106" t="inlineStr">
        <is>
          <t>Lampshade Japanese cotton fabric duck blue background chrysanthemum flowers, lampshade for Japanese table lamp, suspension, Japanese fabric</t>
        </is>
      </c>
      <c r="G106" t="inlineStr">
        <is>
          <t>Eu9P7IG4stpin-munk65yIEY5Qd1</t>
        </is>
      </c>
      <c r="H106" t="inlineStr">
        <is>
          <t>web</t>
        </is>
      </c>
      <c r="I106" t="inlineStr">
        <is>
          <t>fr</t>
        </is>
      </c>
      <c r="J106" t="inlineStr">
        <is>
          <t>intl-fr</t>
        </is>
      </c>
      <c r="K106" t="b">
        <v>1</v>
      </c>
      <c r="L106" t="inlineStr">
        <is>
          <t>partial</t>
        </is>
      </c>
      <c r="M106" t="inlineStr">
        <is>
          <t>partial</t>
        </is>
      </c>
      <c r="N106" t="inlineStr">
        <is>
          <t>relevant</t>
        </is>
      </c>
      <c r="O106" t="inlineStr">
        <is>
          <t>partial</t>
        </is>
      </c>
      <c r="P106" t="b">
        <v>1</v>
      </c>
    </row>
    <row r="107">
      <c r="A107" t="inlineStr">
        <is>
          <t>monalisa prendedor</t>
        </is>
      </c>
      <c r="B107" t="inlineStr">
        <is>
          <t>monalisa clip</t>
        </is>
      </c>
      <c r="C107" t="n">
        <v>1754434613</v>
      </c>
      <c r="D107">
        <f>HYPERLINK("https://www.etsy.com/listing/1754434613", "link")</f>
        <v/>
      </c>
      <c r="E107">
        <f>HYPERLINK("https://atlas.etsycorp.com/listing/1754434613/lookup", "link")</f>
        <v/>
      </c>
      <c r="F107" t="inlineStr">
        <is>
          <t>Faceted Yellow Monalisa Stone Size - 6x8 To 20x30 MM Handmade Checker Cut Briolette Pear Shape Jewelry Making Loose Monalisa Gemstone</t>
        </is>
      </c>
      <c r="G107" t="inlineStr">
        <is>
          <t>Eu8eQqooEV7GyNezAoXzQL79IO07</t>
        </is>
      </c>
      <c r="H107" t="inlineStr">
        <is>
          <t>web</t>
        </is>
      </c>
      <c r="I107" t="inlineStr">
        <is>
          <t>pt</t>
        </is>
      </c>
      <c r="J107" t="inlineStr">
        <is>
          <t>intl-pt</t>
        </is>
      </c>
      <c r="K107" t="b">
        <v>1</v>
      </c>
      <c r="L107" t="inlineStr">
        <is>
          <t>not_relevant</t>
        </is>
      </c>
      <c r="M107" t="inlineStr">
        <is>
          <t>not_relevant</t>
        </is>
      </c>
      <c r="N107" t="inlineStr">
        <is>
          <t>not_relevant</t>
        </is>
      </c>
      <c r="O107" t="inlineStr">
        <is>
          <t>relevant</t>
        </is>
      </c>
      <c r="P107" t="b">
        <v>1</v>
      </c>
    </row>
    <row r="108">
      <c r="A108" t="inlineStr">
        <is>
          <t>emballage tablette  papa</t>
        </is>
      </c>
      <c r="B108" t="inlineStr">
        <is>
          <t>dad tablet packaging</t>
        </is>
      </c>
      <c r="C108" t="n">
        <v>1102609334</v>
      </c>
      <c r="D108">
        <f>HYPERLINK("https://www.etsy.com/listing/1102609334", "link")</f>
        <v/>
      </c>
      <c r="E108">
        <f>HYPERLINK("https://atlas.etsycorp.com/listing/1102609334/lookup", "link")</f>
        <v/>
      </c>
      <c r="F108" t="inlineStr">
        <is>
          <t>Personalized chocolate bar, sponsor chocolate bar, Christmas bar, personalized chocolate</t>
        </is>
      </c>
      <c r="G108" t="inlineStr">
        <is>
          <t>EugwnQO8QM_PaMYXPO-hcI1P--05</t>
        </is>
      </c>
      <c r="H108" t="inlineStr">
        <is>
          <t>boe</t>
        </is>
      </c>
      <c r="I108" t="inlineStr">
        <is>
          <t>fr</t>
        </is>
      </c>
      <c r="J108" t="inlineStr">
        <is>
          <t>intl-fr</t>
        </is>
      </c>
      <c r="K108" t="b">
        <v>1</v>
      </c>
      <c r="L108" t="inlineStr">
        <is>
          <t>partial</t>
        </is>
      </c>
      <c r="M108" t="inlineStr">
        <is>
          <t>partial</t>
        </is>
      </c>
      <c r="N108" t="inlineStr">
        <is>
          <t>partial</t>
        </is>
      </c>
      <c r="O108" t="inlineStr">
        <is>
          <t>relevant</t>
        </is>
      </c>
      <c r="P108" t="b">
        <v>1</v>
      </c>
    </row>
    <row r="109">
      <c r="A109" t="inlineStr">
        <is>
          <t>baby shower gift</t>
        </is>
      </c>
      <c r="B109" t="inlineStr"/>
      <c r="C109" t="n">
        <v>1646410294</v>
      </c>
      <c r="D109">
        <f>HYPERLINK("https://www.etsy.com/listing/1646410294", "link")</f>
        <v/>
      </c>
      <c r="E109">
        <f>HYPERLINK("https://atlas.etsycorp.com/listing/1646410294/lookup", "link")</f>
        <v/>
      </c>
      <c r="F109" t="inlineStr">
        <is>
          <t>It&amp;#39;s Me, Hi. I&amp;#39;m The Baby Onesie® - Retro Announcement Bodysuit - Funny Natural Baby Onesie®</t>
        </is>
      </c>
      <c r="G109" t="inlineStr">
        <is>
          <t>Eu5HQYGAI22ARai8QjGJjPceXw80</t>
        </is>
      </c>
      <c r="H109" t="inlineStr">
        <is>
          <t>web</t>
        </is>
      </c>
      <c r="I109" t="inlineStr">
        <is>
          <t>en-US</t>
        </is>
      </c>
      <c r="J109" t="inlineStr">
        <is>
          <t>us_v2-gift</t>
        </is>
      </c>
      <c r="K109" t="b">
        <v>1</v>
      </c>
      <c r="L109" t="inlineStr">
        <is>
          <t>not_relevant</t>
        </is>
      </c>
      <c r="M109" t="inlineStr">
        <is>
          <t>not_relevant</t>
        </is>
      </c>
      <c r="N109" t="inlineStr">
        <is>
          <t>not_relevant</t>
        </is>
      </c>
      <c r="O109" t="inlineStr">
        <is>
          <t>not_relevant</t>
        </is>
      </c>
      <c r="P109" t="b">
        <v>1</v>
      </c>
    </row>
    <row r="110">
      <c r="A110" t="inlineStr">
        <is>
          <t>kina autumn hues</t>
        </is>
      </c>
      <c r="B110" t="inlineStr"/>
      <c r="C110" t="n">
        <v>1204471957</v>
      </c>
      <c r="D110">
        <f>HYPERLINK("https://www.etsy.com/listing/1204471957", "link")</f>
        <v/>
      </c>
      <c r="E110">
        <f>HYPERLINK("https://atlas.etsycorp.com/listing/1204471957/lookup", "link")</f>
        <v/>
      </c>
      <c r="F110" t="inlineStr">
        <is>
          <t>Personalized Bride and Bridesmaid Tambourine, Henna Night, Bachelorette Party, Wedding Tambourine All Colors, Decorated With Laser Rose</t>
        </is>
      </c>
      <c r="G110" t="inlineStr">
        <is>
          <t>Eu7oYDS56XRolyVP4DP2PF5sC896</t>
        </is>
      </c>
      <c r="H110" t="inlineStr">
        <is>
          <t>web</t>
        </is>
      </c>
      <c r="I110" t="inlineStr">
        <is>
          <t>en-US</t>
        </is>
      </c>
      <c r="J110" t="inlineStr">
        <is>
          <t>us_v2-broad</t>
        </is>
      </c>
      <c r="K110" t="b">
        <v>1</v>
      </c>
      <c r="L110" t="inlineStr">
        <is>
          <t>not_relevant</t>
        </is>
      </c>
      <c r="M110" t="inlineStr">
        <is>
          <t>not_relevant</t>
        </is>
      </c>
      <c r="N110" t="inlineStr">
        <is>
          <t>not_relevant</t>
        </is>
      </c>
      <c r="O110" t="inlineStr">
        <is>
          <t>not_relevant</t>
        </is>
      </c>
      <c r="P110" t="b">
        <v>1</v>
      </c>
    </row>
    <row r="111">
      <c r="A111" t="inlineStr">
        <is>
          <t>home gifts</t>
        </is>
      </c>
      <c r="B111" t="inlineStr"/>
      <c r="C111" t="n">
        <v>1478868131</v>
      </c>
      <c r="D111">
        <f>HYPERLINK("https://www.etsy.com/listing/1478868131", "link")</f>
        <v/>
      </c>
      <c r="E111">
        <f>HYPERLINK("https://atlas.etsycorp.com/listing/1478868131/lookup", "link")</f>
        <v/>
      </c>
      <c r="F111" t="inlineStr">
        <is>
          <t>Beige Baby Bear Hat, Soft Sleeping Hat, Baby Beanie, Baby Hat, Newborn Hospital Hat, Coming Home Gift, New Baby Gift, Unisex Baby Hat Sleep</t>
        </is>
      </c>
      <c r="G111" t="inlineStr">
        <is>
          <t>Eu9DmxCsFKMRDOEFFjLw00qJ69b7</t>
        </is>
      </c>
      <c r="H111" t="inlineStr">
        <is>
          <t>boe</t>
        </is>
      </c>
      <c r="I111" t="inlineStr">
        <is>
          <t>en-US</t>
        </is>
      </c>
      <c r="J111" t="inlineStr">
        <is>
          <t>us_v2-gift</t>
        </is>
      </c>
      <c r="K111" t="b">
        <v>1</v>
      </c>
      <c r="L111" t="inlineStr">
        <is>
          <t>not_relevant</t>
        </is>
      </c>
      <c r="M111" t="inlineStr">
        <is>
          <t>relevant</t>
        </is>
      </c>
      <c r="N111" t="inlineStr">
        <is>
          <t>not_relevant</t>
        </is>
      </c>
      <c r="O111" t="inlineStr">
        <is>
          <t>not_relevant</t>
        </is>
      </c>
      <c r="P111" t="b">
        <v>1</v>
      </c>
    </row>
    <row r="112">
      <c r="A112" t="inlineStr">
        <is>
          <t>resin and wood bowl</t>
        </is>
      </c>
      <c r="B112" t="inlineStr"/>
      <c r="C112" t="n">
        <v>1441216570</v>
      </c>
      <c r="D112">
        <f>HYPERLINK("https://www.etsy.com/listing/1441216570", "link")</f>
        <v/>
      </c>
      <c r="E112">
        <f>HYPERLINK("https://atlas.etsycorp.com/listing/1441216570/lookup", "link")</f>
        <v/>
      </c>
      <c r="F112" t="inlineStr">
        <is>
          <t>Christmas Gift Wood Resin Shaving Brush Silvertip Style Synthetic Badger 26mm Extra Dense Bulb Shape Wet Shave Brush Elegant Design</t>
        </is>
      </c>
      <c r="G112" t="inlineStr">
        <is>
          <t>EucxaZ5M4NKVJPdP1YtCjECfYbb4</t>
        </is>
      </c>
      <c r="H112" t="inlineStr">
        <is>
          <t>boe</t>
        </is>
      </c>
      <c r="I112" t="inlineStr">
        <is>
          <t>en-GB</t>
        </is>
      </c>
      <c r="J112" t="inlineStr">
        <is>
          <t>us_v2-direct_specified</t>
        </is>
      </c>
      <c r="K112" t="b">
        <v>1</v>
      </c>
      <c r="L112" t="inlineStr">
        <is>
          <t>partial</t>
        </is>
      </c>
      <c r="M112" t="inlineStr">
        <is>
          <t>partial</t>
        </is>
      </c>
      <c r="N112" t="inlineStr">
        <is>
          <t>partial</t>
        </is>
      </c>
      <c r="O112" t="inlineStr">
        <is>
          <t>partial</t>
        </is>
      </c>
      <c r="P112" t="b">
        <v>1</v>
      </c>
    </row>
    <row r="113">
      <c r="A113" t="inlineStr">
        <is>
          <t>suspension fleur</t>
        </is>
      </c>
      <c r="B113" t="inlineStr">
        <is>
          <t>flower hanging</t>
        </is>
      </c>
      <c r="C113" t="n">
        <v>1574355662</v>
      </c>
      <c r="D113">
        <f>HYPERLINK("https://www.etsy.com/listing/1574355662", "link")</f>
        <v/>
      </c>
      <c r="E113">
        <f>HYPERLINK("https://atlas.etsycorp.com/listing/1574355662/lookup", "link")</f>
        <v/>
      </c>
      <c r="F113" t="inlineStr">
        <is>
          <t>Flower suspension 14 petals linen and rattan - linen and rattan flower chandelier - flower lamp - flower wall light - handcrafted</t>
        </is>
      </c>
      <c r="G113" t="inlineStr">
        <is>
          <t>Eu9P7IG4stpin-munk65yIEY5Qd1</t>
        </is>
      </c>
      <c r="H113" t="inlineStr">
        <is>
          <t>web</t>
        </is>
      </c>
      <c r="I113" t="inlineStr">
        <is>
          <t>fr</t>
        </is>
      </c>
      <c r="J113" t="inlineStr">
        <is>
          <t>intl-fr</t>
        </is>
      </c>
      <c r="K113" t="b">
        <v>1</v>
      </c>
      <c r="L113" t="inlineStr">
        <is>
          <t>relevant</t>
        </is>
      </c>
      <c r="M113" t="inlineStr">
        <is>
          <t>relevant</t>
        </is>
      </c>
      <c r="N113" t="inlineStr">
        <is>
          <t>relevant</t>
        </is>
      </c>
      <c r="O113" t="inlineStr">
        <is>
          <t>relevant</t>
        </is>
      </c>
      <c r="P113" t="b">
        <v>1</v>
      </c>
    </row>
    <row r="114">
      <c r="A114" t="inlineStr">
        <is>
          <t>rabbit moon necklace</t>
        </is>
      </c>
      <c r="B114" t="inlineStr"/>
      <c r="C114" t="n">
        <v>1130961401</v>
      </c>
      <c r="D114">
        <f>HYPERLINK("https://www.etsy.com/listing/1130961401", "link")</f>
        <v/>
      </c>
      <c r="E114">
        <f>HYPERLINK("https://atlas.etsycorp.com/listing/1130961401/lookup", "link")</f>
        <v/>
      </c>
      <c r="F114" t="inlineStr">
        <is>
          <t>Full Moon Necklace, Mothers Day Gift, Elegant Necklace, gift for her, Christmas gift</t>
        </is>
      </c>
      <c r="G114" t="inlineStr">
        <is>
          <t>EunuGbRPsAtIQFxYVIxWd5scmD21</t>
        </is>
      </c>
      <c r="H114" t="inlineStr">
        <is>
          <t>boe</t>
        </is>
      </c>
      <c r="I114" t="inlineStr">
        <is>
          <t>en-GB</t>
        </is>
      </c>
      <c r="J114" t="inlineStr">
        <is>
          <t>us_v2-direct_specified</t>
        </is>
      </c>
      <c r="K114" t="b">
        <v>1</v>
      </c>
      <c r="L114" t="inlineStr">
        <is>
          <t>partial</t>
        </is>
      </c>
      <c r="M114" t="inlineStr">
        <is>
          <t>partial</t>
        </is>
      </c>
      <c r="N114" t="inlineStr">
        <is>
          <t>partial</t>
        </is>
      </c>
      <c r="O114" t="inlineStr">
        <is>
          <t>relevant</t>
        </is>
      </c>
      <c r="P114" t="b">
        <v>1</v>
      </c>
    </row>
    <row r="115">
      <c r="A115" t="inlineStr">
        <is>
          <t>vegan punk</t>
        </is>
      </c>
      <c r="B115" t="inlineStr"/>
      <c r="C115" t="n">
        <v>1073196198</v>
      </c>
      <c r="D115">
        <f>HYPERLINK("https://www.etsy.com/listing/1073196198", "link")</f>
        <v/>
      </c>
      <c r="E115">
        <f>HYPERLINK("https://atlas.etsycorp.com/listing/1073196198/lookup", "link")</f>
        <v/>
      </c>
      <c r="F115" t="inlineStr">
        <is>
          <t>100 Companies 71% Emissions Climate Action Environmental Iron on or Sew on Embroidered Patch Contour Patch</t>
        </is>
      </c>
      <c r="G115" t="inlineStr">
        <is>
          <t>EuXQdZEyININk0gKpiImj7syCfd8</t>
        </is>
      </c>
      <c r="H115" t="inlineStr">
        <is>
          <t>web</t>
        </is>
      </c>
      <c r="I115" t="inlineStr">
        <is>
          <t>en-GB</t>
        </is>
      </c>
      <c r="J115" t="inlineStr">
        <is>
          <t>us_v2-broad</t>
        </is>
      </c>
      <c r="K115" t="b">
        <v>1</v>
      </c>
      <c r="L115" t="inlineStr">
        <is>
          <t>not_relevant</t>
        </is>
      </c>
      <c r="M115" t="inlineStr">
        <is>
          <t>not_relevant</t>
        </is>
      </c>
      <c r="N115" t="inlineStr">
        <is>
          <t>not_relevant</t>
        </is>
      </c>
      <c r="O115" t="inlineStr">
        <is>
          <t>not_relevant</t>
        </is>
      </c>
      <c r="P115" t="b">
        <v>1</v>
      </c>
    </row>
    <row r="116">
      <c r="A116" t="inlineStr">
        <is>
          <t>caja cilindrica svg</t>
        </is>
      </c>
      <c r="B116" t="inlineStr">
        <is>
          <t>cylindrical box svg</t>
        </is>
      </c>
      <c r="C116" t="n">
        <v>1154151338</v>
      </c>
      <c r="D116">
        <f>HYPERLINK("https://www.etsy.com/listing/1154151338", "link")</f>
        <v/>
      </c>
      <c r="E116">
        <f>HYPERLINK("https://atlas.etsycorp.com/listing/1154151338/lookup", "link")</f>
        <v/>
      </c>
      <c r="F116" t="inlineStr">
        <is>
          <t>Bag Tube Box Cutting File - Archivo de corte Maleta Porta Tubo - Molde Caixa Saco Porta Tubete - DXF and SVG for Cameo and Cricut</t>
        </is>
      </c>
      <c r="G116" t="inlineStr">
        <is>
          <t>EuQzhkNZl_6Wc6c4gwYotrBEoNf9</t>
        </is>
      </c>
      <c r="H116" t="inlineStr">
        <is>
          <t>web</t>
        </is>
      </c>
      <c r="I116" t="inlineStr">
        <is>
          <t>es</t>
        </is>
      </c>
      <c r="J116" t="inlineStr">
        <is>
          <t>intl-es</t>
        </is>
      </c>
      <c r="K116" t="b">
        <v>1</v>
      </c>
      <c r="L116" t="inlineStr">
        <is>
          <t>partial</t>
        </is>
      </c>
      <c r="M116" t="inlineStr">
        <is>
          <t>partial</t>
        </is>
      </c>
      <c r="N116" t="inlineStr">
        <is>
          <t>partial</t>
        </is>
      </c>
      <c r="O116" t="inlineStr">
        <is>
          <t>partial</t>
        </is>
      </c>
      <c r="P116" t="b">
        <v>1</v>
      </c>
    </row>
    <row r="117">
      <c r="A117" t="inlineStr">
        <is>
          <t>gift for dog</t>
        </is>
      </c>
      <c r="B117" t="inlineStr"/>
      <c r="C117" t="n">
        <v>1321188874</v>
      </c>
      <c r="D117">
        <f>HYPERLINK("https://www.etsy.com/listing/1321188874", "link")</f>
        <v/>
      </c>
      <c r="E117">
        <f>HYPERLINK("https://atlas.etsycorp.com/listing/1321188874/lookup", "link")</f>
        <v/>
      </c>
      <c r="F117" t="inlineStr">
        <is>
          <t>Farmhouse Christmas Ornament Jack Russell Terrier | Gift for Dog Owner | Dog Christmas Ornament | Modern Farmhouse Decor | Jack Russell Gift</t>
        </is>
      </c>
      <c r="G117" t="inlineStr">
        <is>
          <t>EuaTiDIgon6rz3CCDTVHm95mc915</t>
        </is>
      </c>
      <c r="H117" t="inlineStr">
        <is>
          <t>boe</t>
        </is>
      </c>
      <c r="I117" t="inlineStr">
        <is>
          <t>en-US</t>
        </is>
      </c>
      <c r="J117" t="inlineStr">
        <is>
          <t>us_v2-broad</t>
        </is>
      </c>
      <c r="K117" t="b">
        <v>1</v>
      </c>
      <c r="L117" t="inlineStr">
        <is>
          <t>relevant</t>
        </is>
      </c>
      <c r="M117" t="inlineStr">
        <is>
          <t>relevant</t>
        </is>
      </c>
      <c r="N117" t="inlineStr">
        <is>
          <t>relevant</t>
        </is>
      </c>
      <c r="O117" t="inlineStr">
        <is>
          <t>relevant</t>
        </is>
      </c>
      <c r="P117" t="b">
        <v>1</v>
      </c>
    </row>
    <row r="118">
      <c r="A118" t="inlineStr">
        <is>
          <t>elementsbykristina</t>
        </is>
      </c>
      <c r="B118" t="inlineStr"/>
      <c r="C118" t="n">
        <v>1259714744</v>
      </c>
      <c r="D118">
        <f>HYPERLINK("https://www.etsy.com/listing/1259714744", "link")</f>
        <v/>
      </c>
      <c r="E118">
        <f>HYPERLINK("https://atlas.etsycorp.com/listing/1259714744/lookup", "link")</f>
        <v/>
      </c>
      <c r="F118" t="inlineStr">
        <is>
          <t>14k Solid Gold Personalized Minimalist Bar Name Necklace •  Handwriting Name Necklace • Gift For Her • Birthday Gift • Christmas Gift</t>
        </is>
      </c>
      <c r="G118" t="inlineStr">
        <is>
          <t>EuzwFFXMRFVZP4W9ZR6Yf63hPa1b</t>
        </is>
      </c>
      <c r="H118" t="inlineStr">
        <is>
          <t>web</t>
        </is>
      </c>
      <c r="I118" t="inlineStr">
        <is>
          <t>en-US</t>
        </is>
      </c>
      <c r="J118" t="inlineStr">
        <is>
          <t>us_v2-broad</t>
        </is>
      </c>
      <c r="K118" t="b">
        <v>1</v>
      </c>
      <c r="L118" t="inlineStr">
        <is>
          <t>partial</t>
        </is>
      </c>
      <c r="M118" t="inlineStr">
        <is>
          <t>partial</t>
        </is>
      </c>
      <c r="N118" t="inlineStr">
        <is>
          <t>partial</t>
        </is>
      </c>
      <c r="O118" t="inlineStr">
        <is>
          <t>relevant</t>
        </is>
      </c>
      <c r="P118" t="b">
        <v>1</v>
      </c>
    </row>
    <row r="119">
      <c r="A119" t="inlineStr">
        <is>
          <t>2.5 mm gem</t>
        </is>
      </c>
      <c r="B119" t="inlineStr"/>
      <c r="C119" t="n">
        <v>1435099890</v>
      </c>
      <c r="D119">
        <f>HYPERLINK("https://www.etsy.com/listing/1435099890", "link")</f>
        <v/>
      </c>
      <c r="E119">
        <f>HYPERLINK("https://atlas.etsycorp.com/listing/1435099890/lookup", "link")</f>
        <v/>
      </c>
      <c r="F119" t="inlineStr">
        <is>
          <t>Loose Natural Ruby A Quality Small Round Parcels Available in Sizes 1.30MM to 1.80MM</t>
        </is>
      </c>
      <c r="G119" t="inlineStr">
        <is>
          <t>EusJ13F06o317jpqvyJ5OhfVTxfa</t>
        </is>
      </c>
      <c r="H119" t="inlineStr">
        <is>
          <t>web</t>
        </is>
      </c>
      <c r="I119" t="inlineStr">
        <is>
          <t>en-US</t>
        </is>
      </c>
      <c r="J119" t="inlineStr">
        <is>
          <t>us_v2-broad</t>
        </is>
      </c>
      <c r="K119" t="b">
        <v>1</v>
      </c>
      <c r="L119" t="inlineStr">
        <is>
          <t>partial</t>
        </is>
      </c>
      <c r="M119" t="inlineStr">
        <is>
          <t>partial</t>
        </is>
      </c>
      <c r="N119" t="inlineStr">
        <is>
          <t>not_relevant</t>
        </is>
      </c>
      <c r="O119" t="inlineStr">
        <is>
          <t>partial</t>
        </is>
      </c>
      <c r="P119" t="b">
        <v>1</v>
      </c>
    </row>
    <row r="120">
      <c r="A120" t="inlineStr">
        <is>
          <t>potion dragon</t>
        </is>
      </c>
      <c r="B120" t="inlineStr">
        <is>
          <t>potion dragon</t>
        </is>
      </c>
      <c r="C120" t="n">
        <v>1748206409</v>
      </c>
      <c r="D120">
        <f>HYPERLINK("https://www.etsy.com/listing/1748206409", "link")</f>
        <v/>
      </c>
      <c r="E120">
        <f>HYPERLINK("https://atlas.etsycorp.com/listing/1748206409/lookup", "link")</f>
        <v/>
      </c>
      <c r="F120" t="inlineStr">
        <is>
          <t>Oil of Insight - Potion Bottle</t>
        </is>
      </c>
      <c r="G120" t="inlineStr">
        <is>
          <t>EuyLe5NCISMnt_TfUo79zxrt0894</t>
        </is>
      </c>
      <c r="H120" t="inlineStr">
        <is>
          <t>web</t>
        </is>
      </c>
      <c r="I120" t="inlineStr">
        <is>
          <t>de</t>
        </is>
      </c>
      <c r="J120" t="inlineStr">
        <is>
          <t>intl-de</t>
        </is>
      </c>
      <c r="K120" t="b">
        <v>1</v>
      </c>
      <c r="L120" t="inlineStr">
        <is>
          <t>partial</t>
        </is>
      </c>
      <c r="M120" t="inlineStr">
        <is>
          <t>relevant</t>
        </is>
      </c>
      <c r="N120" t="inlineStr">
        <is>
          <t>partial</t>
        </is>
      </c>
      <c r="O120" t="inlineStr">
        <is>
          <t>partial</t>
        </is>
      </c>
      <c r="P120" t="b">
        <v>1</v>
      </c>
    </row>
    <row r="121">
      <c r="A121" t="inlineStr">
        <is>
          <t>vegeta</t>
        </is>
      </c>
      <c r="B121" t="inlineStr">
        <is>
          <t>vegeta</t>
        </is>
      </c>
      <c r="C121" t="n">
        <v>1720578981</v>
      </c>
      <c r="D121">
        <f>HYPERLINK("https://www.etsy.com/listing/1720578981", "link")</f>
        <v/>
      </c>
      <c r="E121">
        <f>HYPERLINK("https://atlas.etsycorp.com/listing/1720578981/lookup", "link")</f>
        <v/>
      </c>
      <c r="F121" t="inlineStr">
        <is>
          <t>Vegeta/Anime</t>
        </is>
      </c>
      <c r="G121" t="inlineStr">
        <is>
          <t>EubtpecW68fZZe0S2AlKfyYyRG72</t>
        </is>
      </c>
      <c r="H121" t="inlineStr">
        <is>
          <t>web</t>
        </is>
      </c>
      <c r="I121" t="inlineStr">
        <is>
          <t>de</t>
        </is>
      </c>
      <c r="J121" t="inlineStr">
        <is>
          <t>intl-de</t>
        </is>
      </c>
      <c r="K121" t="b">
        <v>1</v>
      </c>
      <c r="L121" t="inlineStr">
        <is>
          <t>relevant</t>
        </is>
      </c>
      <c r="M121" t="inlineStr">
        <is>
          <t>relevant</t>
        </is>
      </c>
      <c r="N121" t="inlineStr">
        <is>
          <t>relevant</t>
        </is>
      </c>
      <c r="O121" t="inlineStr">
        <is>
          <t>relevant</t>
        </is>
      </c>
      <c r="P121" t="b">
        <v>1</v>
      </c>
    </row>
    <row r="122">
      <c r="A122" t="inlineStr">
        <is>
          <t>waffle maker</t>
        </is>
      </c>
      <c r="B122" t="inlineStr"/>
      <c r="C122" t="n">
        <v>1572497118</v>
      </c>
      <c r="D122">
        <f>HYPERLINK("https://www.etsy.com/listing/1572497118", "link")</f>
        <v/>
      </c>
      <c r="E122">
        <f>HYPERLINK("https://atlas.etsycorp.com/listing/1572497118/lookup", "link")</f>
        <v/>
      </c>
      <c r="F122" t="inlineStr">
        <is>
          <t>Waffle Shirt, Waffle Lover Tshirt, Cute Sarcastic Waffle T-shirt, Funny Waffle Tee Gift,Foodie Sweatshirt,Weekend Breakfast Crewneck Sweater</t>
        </is>
      </c>
      <c r="G122" t="inlineStr">
        <is>
          <t>EuTD8CfSrtFh1_1sL4moXUdSUZfb</t>
        </is>
      </c>
      <c r="H122" t="inlineStr">
        <is>
          <t>web</t>
        </is>
      </c>
      <c r="I122" t="inlineStr">
        <is>
          <t>en-US</t>
        </is>
      </c>
      <c r="J122" t="inlineStr">
        <is>
          <t>us_v2-direct_unspecified</t>
        </is>
      </c>
      <c r="K122" t="b">
        <v>1</v>
      </c>
      <c r="L122" t="inlineStr">
        <is>
          <t>partial</t>
        </is>
      </c>
      <c r="M122" t="inlineStr">
        <is>
          <t>partial</t>
        </is>
      </c>
      <c r="N122" t="inlineStr">
        <is>
          <t>partial</t>
        </is>
      </c>
      <c r="O122" t="inlineStr">
        <is>
          <t>not_relevant</t>
        </is>
      </c>
      <c r="P122" t="b">
        <v>1</v>
      </c>
    </row>
    <row r="123">
      <c r="A123" t="inlineStr">
        <is>
          <t>queenclothes for baby</t>
        </is>
      </c>
      <c r="B123" t="inlineStr"/>
      <c r="C123" t="n">
        <v>1386082484</v>
      </c>
      <c r="D123">
        <f>HYPERLINK("https://www.etsy.com/listing/1386082484", "link")</f>
        <v/>
      </c>
      <c r="E123">
        <f>HYPERLINK("https://atlas.etsycorp.com/listing/1386082484/lookup", "link")</f>
        <v/>
      </c>
      <c r="F123" t="inlineStr">
        <is>
          <t>3pcs Crown Baby Girl Hospital Exit Newborn Baby Girl Bling Outfits Baby Girl Layette Set Personalized Baby Girl Outfit Pink</t>
        </is>
      </c>
      <c r="G123" t="inlineStr">
        <is>
          <t>EuITfZRnQycytIVhQ0INY5g7BL82</t>
        </is>
      </c>
      <c r="H123" t="inlineStr">
        <is>
          <t>boe</t>
        </is>
      </c>
      <c r="I123" t="inlineStr">
        <is>
          <t>en-US</t>
        </is>
      </c>
      <c r="J123" t="inlineStr">
        <is>
          <t>us_v2-direct_unspecified</t>
        </is>
      </c>
      <c r="K123" t="b">
        <v>1</v>
      </c>
      <c r="L123" t="inlineStr">
        <is>
          <t>partial</t>
        </is>
      </c>
      <c r="M123" t="inlineStr">
        <is>
          <t>partial</t>
        </is>
      </c>
      <c r="N123" t="inlineStr">
        <is>
          <t>partial</t>
        </is>
      </c>
      <c r="O123" t="inlineStr">
        <is>
          <t>partial</t>
        </is>
      </c>
      <c r="P123" t="b">
        <v>1</v>
      </c>
    </row>
    <row r="124">
      <c r="A124" t="inlineStr">
        <is>
          <t>schriftzug mit Minifeder</t>
        </is>
      </c>
      <c r="B124" t="inlineStr">
        <is>
          <t>lettering with mini feather</t>
        </is>
      </c>
      <c r="C124" t="n">
        <v>1356882525</v>
      </c>
      <c r="D124">
        <f>HYPERLINK("https://www.etsy.com/listing/1356882525", "link")</f>
        <v/>
      </c>
      <c r="E124">
        <f>HYPERLINK("https://atlas.etsycorp.com/listing/1356882525/lookup", "link")</f>
        <v/>
      </c>
      <c r="F124" t="inlineStr">
        <is>
          <t>Lettering - Nice that you are here - made of wood with or without stand, personalizable</t>
        </is>
      </c>
      <c r="G124" t="inlineStr">
        <is>
          <t>Eu1Il1KrdiTqxAzdkc1ed2pp2g5b</t>
        </is>
      </c>
      <c r="H124" t="inlineStr">
        <is>
          <t>web</t>
        </is>
      </c>
      <c r="I124" t="inlineStr">
        <is>
          <t>de</t>
        </is>
      </c>
      <c r="J124" t="inlineStr">
        <is>
          <t>intl-de</t>
        </is>
      </c>
      <c r="K124" t="b">
        <v>1</v>
      </c>
      <c r="L124" t="inlineStr">
        <is>
          <t>partial</t>
        </is>
      </c>
      <c r="M124" t="inlineStr">
        <is>
          <t>partial</t>
        </is>
      </c>
      <c r="N124" t="inlineStr">
        <is>
          <t>partial</t>
        </is>
      </c>
      <c r="O124" t="inlineStr">
        <is>
          <t>not_relevant</t>
        </is>
      </c>
      <c r="P124" t="b">
        <v>1</v>
      </c>
    </row>
    <row r="125">
      <c r="A125" t="inlineStr">
        <is>
          <t>personalized school supplies</t>
        </is>
      </c>
      <c r="B125" t="inlineStr">
        <is>
          <t>personalized school supplies</t>
        </is>
      </c>
      <c r="C125" t="n">
        <v>1525388574</v>
      </c>
      <c r="D125">
        <f>HYPERLINK("https://www.etsy.com/listing/1525388574", "link")</f>
        <v/>
      </c>
      <c r="E125">
        <f>HYPERLINK("https://atlas.etsycorp.com/listing/1525388574/lookup", "link")</f>
        <v/>
      </c>
      <c r="F125" t="inlineStr">
        <is>
          <t>Custom Name Canvas Tote bag, Birthday gift for kids, Kids Name Tote Bag, Birthday Gift, Preschool,Kindergarten Book Tote Bag, Birthday Gift</t>
        </is>
      </c>
      <c r="G125" t="inlineStr">
        <is>
          <t>EuVmye8eWBDGHPQ3w4kdpyBAt7c3</t>
        </is>
      </c>
      <c r="H125" t="inlineStr">
        <is>
          <t>boe</t>
        </is>
      </c>
      <c r="I125" t="inlineStr">
        <is>
          <t>fr</t>
        </is>
      </c>
      <c r="J125" t="inlineStr">
        <is>
          <t>intl-fr</t>
        </is>
      </c>
      <c r="K125" t="b">
        <v>1</v>
      </c>
      <c r="L125" t="inlineStr">
        <is>
          <t>partial</t>
        </is>
      </c>
      <c r="M125" t="inlineStr">
        <is>
          <t>partial</t>
        </is>
      </c>
      <c r="N125" t="inlineStr">
        <is>
          <t>partial</t>
        </is>
      </c>
      <c r="O125" t="inlineStr">
        <is>
          <t>relevant</t>
        </is>
      </c>
      <c r="P125" t="b">
        <v>1</v>
      </c>
    </row>
    <row r="126">
      <c r="A126" t="inlineStr">
        <is>
          <t>love spoon earrings</t>
        </is>
      </c>
      <c r="B126" t="inlineStr"/>
      <c r="C126" t="n">
        <v>1124238353</v>
      </c>
      <c r="D126">
        <f>HYPERLINK("https://www.etsy.com/listing/1124238353", "link")</f>
        <v/>
      </c>
      <c r="E126">
        <f>HYPERLINK("https://atlas.etsycorp.com/listing/1124238353/lookup", "link")</f>
        <v/>
      </c>
      <c r="F126" t="inlineStr">
        <is>
          <t>Flags A-J gold outline photo enamel - 9mm classic Italian charms</t>
        </is>
      </c>
      <c r="G126" t="inlineStr">
        <is>
          <t>EumRxUpXhIh9SP44BLiosSdn0u1f</t>
        </is>
      </c>
      <c r="H126" t="inlineStr">
        <is>
          <t>web</t>
        </is>
      </c>
      <c r="I126" t="inlineStr">
        <is>
          <t>en-GB</t>
        </is>
      </c>
      <c r="J126" t="inlineStr">
        <is>
          <t>us_v2-direct_specified</t>
        </is>
      </c>
      <c r="K126" t="b">
        <v>1</v>
      </c>
      <c r="L126" t="inlineStr">
        <is>
          <t>not_relevant</t>
        </is>
      </c>
      <c r="M126" t="inlineStr">
        <is>
          <t>not_relevant</t>
        </is>
      </c>
      <c r="N126" t="inlineStr">
        <is>
          <t>not_relevant</t>
        </is>
      </c>
      <c r="O126" t="inlineStr">
        <is>
          <t>not_relevant</t>
        </is>
      </c>
      <c r="P126" t="b">
        <v>1</v>
      </c>
    </row>
    <row r="127">
      <c r="A127" t="inlineStr">
        <is>
          <t>brain tincture</t>
        </is>
      </c>
      <c r="B127" t="inlineStr"/>
      <c r="C127" t="n">
        <v>852024422</v>
      </c>
      <c r="D127">
        <f>HYPERLINK("https://www.etsy.com/listing/852024422", "link")</f>
        <v/>
      </c>
      <c r="E127">
        <f>HYPERLINK("https://atlas.etsycorp.com/listing/852024422/lookup", "link")</f>
        <v/>
      </c>
      <c r="F127" t="inlineStr">
        <is>
          <t>Lymph System Tincture - Potent Herbal Tincture for Lymphatic Support, Lymph Drainage, Lymph Flush - Lymph Herbal Blend Lymph Det0x</t>
        </is>
      </c>
      <c r="G127" t="inlineStr">
        <is>
          <t>EuaUU5wSe-05wRa7w0AZFo4ERtd6</t>
        </is>
      </c>
      <c r="H127" t="inlineStr">
        <is>
          <t>web</t>
        </is>
      </c>
      <c r="I127" t="inlineStr">
        <is>
          <t>en-US</t>
        </is>
      </c>
      <c r="J127" t="inlineStr">
        <is>
          <t>us_v2-direct_unspecified</t>
        </is>
      </c>
      <c r="K127" t="b">
        <v>1</v>
      </c>
      <c r="L127" t="inlineStr">
        <is>
          <t>relevant</t>
        </is>
      </c>
      <c r="M127" t="inlineStr">
        <is>
          <t>relevant</t>
        </is>
      </c>
      <c r="N127" t="inlineStr">
        <is>
          <t>partial</t>
        </is>
      </c>
      <c r="O127" t="inlineStr">
        <is>
          <t>relevant</t>
        </is>
      </c>
      <c r="P127" t="b">
        <v>1</v>
      </c>
    </row>
    <row r="128">
      <c r="A128" t="inlineStr">
        <is>
          <t>gemstone rings</t>
        </is>
      </c>
      <c r="B128" t="inlineStr"/>
      <c r="C128" t="n">
        <v>1523835624</v>
      </c>
      <c r="D128">
        <f>HYPERLINK("https://www.etsy.com/listing/1523835624", "link")</f>
        <v/>
      </c>
      <c r="E128">
        <f>HYPERLINK("https://atlas.etsycorp.com/listing/1523835624/lookup", "link")</f>
        <v/>
      </c>
      <c r="F128" t="inlineStr">
        <is>
          <t>Bezel Rainbow Moonstone Ring Vintage Blue Moonstone Engagement Ring Rose Gold Moonstone Ring Unique Women Ring Sterling Silver Ring</t>
        </is>
      </c>
      <c r="G128" t="inlineStr">
        <is>
          <t>EunsmetuWYTvqj3uBbDdmmX4CJ4c</t>
        </is>
      </c>
      <c r="H128" t="inlineStr">
        <is>
          <t>web</t>
        </is>
      </c>
      <c r="I128" t="inlineStr">
        <is>
          <t>en-US</t>
        </is>
      </c>
      <c r="J128" t="inlineStr">
        <is>
          <t>us_v2-direct_specified</t>
        </is>
      </c>
      <c r="K128" t="b">
        <v>1</v>
      </c>
      <c r="L128" t="inlineStr">
        <is>
          <t>relevant</t>
        </is>
      </c>
      <c r="M128" t="inlineStr">
        <is>
          <t>relevant</t>
        </is>
      </c>
      <c r="N128" t="inlineStr">
        <is>
          <t>partial</t>
        </is>
      </c>
      <c r="O128" t="inlineStr">
        <is>
          <t>relevant</t>
        </is>
      </c>
      <c r="P128" t="b">
        <v>1</v>
      </c>
    </row>
    <row r="129">
      <c r="A129" t="inlineStr">
        <is>
          <t>dr seuss shirt 5t</t>
        </is>
      </c>
      <c r="B129" t="inlineStr"/>
      <c r="C129" t="n">
        <v>1656321399</v>
      </c>
      <c r="D129">
        <f>HYPERLINK("https://www.etsy.com/listing/1656321399", "link")</f>
        <v/>
      </c>
      <c r="E129">
        <f>HYPERLINK("https://atlas.etsycorp.com/listing/1656321399/lookup", "link")</f>
        <v/>
      </c>
      <c r="F129" t="inlineStr">
        <is>
          <t>Why Fit In When You Were Born To Stand Out Shirt,Autism Awareness Shirt,Read Across America Day Tee,Autism Month T-Shirt,Reading Books Shirt</t>
        </is>
      </c>
      <c r="G129" t="inlineStr">
        <is>
          <t>EuWiDOQVLcaEAOMtyOHH-d1et045</t>
        </is>
      </c>
      <c r="H129" t="inlineStr">
        <is>
          <t>web</t>
        </is>
      </c>
      <c r="I129" t="inlineStr">
        <is>
          <t>en-US</t>
        </is>
      </c>
      <c r="J129" t="inlineStr">
        <is>
          <t>us_v2-direct_specified</t>
        </is>
      </c>
      <c r="K129" t="b">
        <v>1</v>
      </c>
      <c r="L129" t="inlineStr">
        <is>
          <t>partial</t>
        </is>
      </c>
      <c r="M129" t="inlineStr">
        <is>
          <t>partial</t>
        </is>
      </c>
      <c r="N129" t="inlineStr">
        <is>
          <t>partial</t>
        </is>
      </c>
      <c r="O129" t="inlineStr">
        <is>
          <t>partial</t>
        </is>
      </c>
      <c r="P129" t="b">
        <v>1</v>
      </c>
    </row>
    <row r="130">
      <c r="A130" t="inlineStr">
        <is>
          <t>thank you karten</t>
        </is>
      </c>
      <c r="B130" t="inlineStr">
        <is>
          <t>thank you cards</t>
        </is>
      </c>
      <c r="C130" t="n">
        <v>1165370265</v>
      </c>
      <c r="D130">
        <f>HYPERLINK("https://www.etsy.com/listing/1165370265", "link")</f>
        <v/>
      </c>
      <c r="E130">
        <f>HYPERLINK("https://atlas.etsycorp.com/listing/1165370265/lookup", "link")</f>
        <v/>
      </c>
      <c r="F130" t="inlineStr">
        <is>
          <t>Personalised Thank you arabic calligraphy card</t>
        </is>
      </c>
      <c r="G130" t="inlineStr">
        <is>
          <t>EuqORwNgR-ypx_V7c7a896Bg5acc</t>
        </is>
      </c>
      <c r="H130" t="inlineStr">
        <is>
          <t>boe</t>
        </is>
      </c>
      <c r="I130" t="inlineStr">
        <is>
          <t>de</t>
        </is>
      </c>
      <c r="J130" t="inlineStr">
        <is>
          <t>intl-de</t>
        </is>
      </c>
      <c r="K130" t="b">
        <v>1</v>
      </c>
      <c r="L130" t="inlineStr">
        <is>
          <t>relevant</t>
        </is>
      </c>
      <c r="M130" t="inlineStr">
        <is>
          <t>relevant</t>
        </is>
      </c>
      <c r="N130" t="inlineStr">
        <is>
          <t>relevant</t>
        </is>
      </c>
      <c r="O130" t="inlineStr">
        <is>
          <t>relevant</t>
        </is>
      </c>
      <c r="P130" t="b">
        <v>1</v>
      </c>
    </row>
    <row r="131">
      <c r="A131" t="inlineStr">
        <is>
          <t>travel accessories</t>
        </is>
      </c>
      <c r="B131" t="inlineStr">
        <is>
          <t>travel accessories</t>
        </is>
      </c>
      <c r="C131" t="n">
        <v>1703987853</v>
      </c>
      <c r="D131">
        <f>HYPERLINK("https://www.etsy.com/listing/1703987853", "link")</f>
        <v/>
      </c>
      <c r="E131">
        <f>HYPERLINK("https://atlas.etsycorp.com/listing/1703987853/lookup", "link")</f>
        <v/>
      </c>
      <c r="F131" t="inlineStr">
        <is>
          <t>Personalised Premium Pebble Grain Leather Single Passport Sleeve</t>
        </is>
      </c>
      <c r="G131" t="inlineStr">
        <is>
          <t>EuNexK8NQQKuaNClfYivtzm9l2f7</t>
        </is>
      </c>
      <c r="H131" t="inlineStr">
        <is>
          <t>boe</t>
        </is>
      </c>
      <c r="I131" t="inlineStr">
        <is>
          <t>it</t>
        </is>
      </c>
      <c r="J131" t="inlineStr">
        <is>
          <t>intl-it</t>
        </is>
      </c>
      <c r="K131" t="b">
        <v>1</v>
      </c>
      <c r="L131" t="inlineStr">
        <is>
          <t>relevant</t>
        </is>
      </c>
      <c r="M131" t="inlineStr">
        <is>
          <t>relevant</t>
        </is>
      </c>
      <c r="N131" t="inlineStr">
        <is>
          <t>relevant</t>
        </is>
      </c>
      <c r="O131" t="inlineStr">
        <is>
          <t>relevant</t>
        </is>
      </c>
      <c r="P131" t="b">
        <v>1</v>
      </c>
    </row>
    <row r="132">
      <c r="A132" t="inlineStr">
        <is>
          <t>spiderman amigurumi</t>
        </is>
      </c>
      <c r="B132" t="inlineStr">
        <is>
          <t>spiderman amigurumi</t>
        </is>
      </c>
      <c r="C132" t="n">
        <v>1237611390</v>
      </c>
      <c r="D132">
        <f>HYPERLINK("https://www.etsy.com/listing/1237611390", "link")</f>
        <v/>
      </c>
      <c r="E132">
        <f>HYPERLINK("https://atlas.etsycorp.com/listing/1237611390/lookup", "link")</f>
        <v/>
      </c>
      <c r="F132" t="inlineStr">
        <is>
          <t>Crochet Spiderman Plush Toy - Handmade Amigurumi Marvel Superhero, Amigurumi spiderman bigsize, crochet spiderman bigsize</t>
        </is>
      </c>
      <c r="G132" t="inlineStr">
        <is>
          <t>EuPJS6VlIosJevaF5qQBj5oF1se1</t>
        </is>
      </c>
      <c r="H132" t="inlineStr">
        <is>
          <t>boe</t>
        </is>
      </c>
      <c r="I132" t="inlineStr">
        <is>
          <t>it</t>
        </is>
      </c>
      <c r="J132" t="inlineStr">
        <is>
          <t>intl-it</t>
        </is>
      </c>
      <c r="K132" t="b">
        <v>1</v>
      </c>
      <c r="L132" t="inlineStr">
        <is>
          <t>relevant</t>
        </is>
      </c>
      <c r="M132" t="inlineStr">
        <is>
          <t>relevant</t>
        </is>
      </c>
      <c r="N132" t="inlineStr">
        <is>
          <t>relevant</t>
        </is>
      </c>
      <c r="O132" t="inlineStr">
        <is>
          <t>relevant</t>
        </is>
      </c>
      <c r="P132" t="b">
        <v>1</v>
      </c>
    </row>
    <row r="133">
      <c r="A133" t="inlineStr">
        <is>
          <t>Custom womens clothing</t>
        </is>
      </c>
      <c r="B133" t="inlineStr">
        <is>
          <t>Custom womens clothing</t>
        </is>
      </c>
      <c r="C133" t="n">
        <v>1409605093</v>
      </c>
      <c r="D133">
        <f>HYPERLINK("https://www.etsy.com/listing/1409605093", "link")</f>
        <v/>
      </c>
      <c r="E133">
        <f>HYPERLINK("https://atlas.etsycorp.com/listing/1409605093/lookup", "link")</f>
        <v/>
      </c>
      <c r="F133" t="inlineStr">
        <is>
          <t>Valentine&amp;#39;s Day gift postcard love humor butter half salt</t>
        </is>
      </c>
      <c r="G133" t="inlineStr">
        <is>
          <t>EuvUXgaGi24sKXZabBDuxufKPV5f</t>
        </is>
      </c>
      <c r="H133" t="inlineStr">
        <is>
          <t>boe</t>
        </is>
      </c>
      <c r="I133" t="inlineStr">
        <is>
          <t>fr</t>
        </is>
      </c>
      <c r="J133" t="inlineStr">
        <is>
          <t>intl-fr</t>
        </is>
      </c>
      <c r="K133" t="b">
        <v>1</v>
      </c>
      <c r="L133" t="inlineStr">
        <is>
          <t>not_relevant</t>
        </is>
      </c>
      <c r="M133" t="inlineStr">
        <is>
          <t>not_relevant</t>
        </is>
      </c>
      <c r="N133" t="inlineStr">
        <is>
          <t>not_relevant</t>
        </is>
      </c>
      <c r="O133" t="inlineStr">
        <is>
          <t>not_relevant</t>
        </is>
      </c>
      <c r="P133" t="b">
        <v>1</v>
      </c>
    </row>
    <row r="134">
      <c r="A134" t="inlineStr">
        <is>
          <t>malliot foot espagne</t>
        </is>
      </c>
      <c r="B134" t="inlineStr">
        <is>
          <t>malliot football spain</t>
        </is>
      </c>
      <c r="C134" t="n">
        <v>1765251527</v>
      </c>
      <c r="D134">
        <f>HYPERLINK("https://www.etsy.com/listing/1765251527", "link")</f>
        <v/>
      </c>
      <c r="E134">
        <f>HYPERLINK("https://atlas.etsycorp.com/listing/1765251527/lookup", "link")</f>
        <v/>
      </c>
      <c r="F134" t="inlineStr">
        <is>
          <t>Spain Soccer Jersey / Jenni Hermoso Shirt / Espana Soccer / Spanish Soccer / Alexia Putellas / The Games 2024 / Spanish Soccer / Carmona 19</t>
        </is>
      </c>
      <c r="G134" t="inlineStr">
        <is>
          <t>EulDQfhwO7kTD1oV-Y6DIqMfJe86</t>
        </is>
      </c>
      <c r="H134" t="inlineStr">
        <is>
          <t>web</t>
        </is>
      </c>
      <c r="I134" t="inlineStr">
        <is>
          <t>fr</t>
        </is>
      </c>
      <c r="J134" t="inlineStr">
        <is>
          <t>intl-fr</t>
        </is>
      </c>
      <c r="K134" t="b">
        <v>1</v>
      </c>
      <c r="L134" t="inlineStr">
        <is>
          <t>relevant</t>
        </is>
      </c>
      <c r="M134" t="inlineStr">
        <is>
          <t>relevant</t>
        </is>
      </c>
      <c r="N134" t="inlineStr">
        <is>
          <t>relevant</t>
        </is>
      </c>
      <c r="O134" t="inlineStr">
        <is>
          <t>relevant</t>
        </is>
      </c>
      <c r="P134" t="b">
        <v>1</v>
      </c>
    </row>
    <row r="135">
      <c r="A135" t="inlineStr">
        <is>
          <t>little death</t>
        </is>
      </c>
      <c r="B135" t="inlineStr"/>
      <c r="C135" t="n">
        <v>1595879528</v>
      </c>
      <c r="D135">
        <f>HYPERLINK("https://www.etsy.com/listing/1595879528", "link")</f>
        <v/>
      </c>
      <c r="E135">
        <f>HYPERLINK("https://atlas.etsycorp.com/listing/1595879528/lookup", "link")</f>
        <v/>
      </c>
      <c r="F135" t="inlineStr">
        <is>
          <t>Death Envoy | Mini Monster Mayhem | Dead, Gone, Expired...UNALIVE | RESIN | Fantasy | DnD | RPG | Tabletop | Gaming | Death</t>
        </is>
      </c>
      <c r="G135" t="inlineStr">
        <is>
          <t>EufVxXE93gPsb45j5R5FydKnSbe1</t>
        </is>
      </c>
      <c r="H135" t="inlineStr">
        <is>
          <t>web</t>
        </is>
      </c>
      <c r="I135" t="inlineStr">
        <is>
          <t>en-US</t>
        </is>
      </c>
      <c r="J135" t="inlineStr">
        <is>
          <t>us_v2-broad</t>
        </is>
      </c>
      <c r="K135" t="b">
        <v>1</v>
      </c>
      <c r="L135" t="inlineStr">
        <is>
          <t>not_relevant</t>
        </is>
      </c>
      <c r="M135" t="inlineStr">
        <is>
          <t>not_relevant</t>
        </is>
      </c>
      <c r="N135" t="inlineStr">
        <is>
          <t>not_relevant</t>
        </is>
      </c>
      <c r="O135" t="inlineStr">
        <is>
          <t>relevant</t>
        </is>
      </c>
      <c r="P135" t="b">
        <v>1</v>
      </c>
    </row>
    <row r="136">
      <c r="A136" t="inlineStr">
        <is>
          <t>hero sword</t>
        </is>
      </c>
      <c r="B136" t="inlineStr"/>
      <c r="C136" t="n">
        <v>1674751211</v>
      </c>
      <c r="D136">
        <f>HYPERLINK("https://www.etsy.com/listing/1674751211", "link")</f>
        <v/>
      </c>
      <c r="E136">
        <f>HYPERLINK("https://atlas.etsycorp.com/listing/1674751211/lookup", "link")</f>
        <v/>
      </c>
      <c r="F136" t="inlineStr">
        <is>
          <t>DnD Dragon Knight Goliath miniature for D&amp;D Hero Character for Dungeons and Dragons mini Heroquest ttrpg Role playing table top dice game</t>
        </is>
      </c>
      <c r="G136" t="inlineStr">
        <is>
          <t>EulZhVtMvCVV5kORMy8ijsiNcv9f</t>
        </is>
      </c>
      <c r="H136" t="inlineStr">
        <is>
          <t>web</t>
        </is>
      </c>
      <c r="I136" t="inlineStr">
        <is>
          <t>en-GB</t>
        </is>
      </c>
      <c r="J136" t="inlineStr">
        <is>
          <t>us_v2-direct_unspecified</t>
        </is>
      </c>
      <c r="K136" t="b">
        <v>1</v>
      </c>
      <c r="L136" t="inlineStr">
        <is>
          <t>not_relevant</t>
        </is>
      </c>
      <c r="M136" t="inlineStr">
        <is>
          <t>relevant</t>
        </is>
      </c>
      <c r="N136" t="inlineStr">
        <is>
          <t>not_relevant</t>
        </is>
      </c>
      <c r="O136" t="inlineStr">
        <is>
          <t>not_relevant</t>
        </is>
      </c>
      <c r="P136" t="b">
        <v>1</v>
      </c>
    </row>
    <row r="137">
      <c r="A137" t="inlineStr">
        <is>
          <t>wings of fire  hivewing plush</t>
        </is>
      </c>
      <c r="B137" t="inlineStr"/>
      <c r="C137" t="n">
        <v>1657139184</v>
      </c>
      <c r="D137">
        <f>HYPERLINK("https://www.etsy.com/listing/1657139184", "link")</f>
        <v/>
      </c>
      <c r="E137">
        <f>HYPERLINK("https://atlas.etsycorp.com/listing/1657139184/lookup", "link")</f>
        <v/>
      </c>
      <c r="F137" t="inlineStr">
        <is>
          <t>Year of the Dragon Resin Hair Clip, handmade resin hair accessory, Chinese New Year Dragon themed hair clip</t>
        </is>
      </c>
      <c r="G137" t="inlineStr">
        <is>
          <t>EudHDKudZxJ7LPbFWC3HleACx16d</t>
        </is>
      </c>
      <c r="H137" t="inlineStr">
        <is>
          <t>web</t>
        </is>
      </c>
      <c r="I137" t="inlineStr">
        <is>
          <t>en-US</t>
        </is>
      </c>
      <c r="J137" t="inlineStr">
        <is>
          <t>us_v2-direct_specified</t>
        </is>
      </c>
      <c r="K137" t="b">
        <v>1</v>
      </c>
      <c r="L137" t="inlineStr">
        <is>
          <t>not_relevant</t>
        </is>
      </c>
      <c r="M137" t="inlineStr">
        <is>
          <t>not_relevant</t>
        </is>
      </c>
      <c r="N137" t="inlineStr">
        <is>
          <t>not_relevant</t>
        </is>
      </c>
      <c r="O137" t="inlineStr">
        <is>
          <t>partial</t>
        </is>
      </c>
      <c r="P137" t="b">
        <v>1</v>
      </c>
    </row>
    <row r="138">
      <c r="A138" t="inlineStr">
        <is>
          <t>ohrringe</t>
        </is>
      </c>
      <c r="B138" t="inlineStr">
        <is>
          <t>earrings</t>
        </is>
      </c>
      <c r="C138" t="n">
        <v>639683789</v>
      </c>
      <c r="D138">
        <f>HYPERLINK("https://www.etsy.com/listing/639683789", "link")</f>
        <v/>
      </c>
      <c r="E138">
        <f>HYPERLINK("https://atlas.etsycorp.com/listing/639683789/lookup", "link")</f>
        <v/>
      </c>
      <c r="F138" t="inlineStr">
        <is>
          <t>Dread jewelry &amp;quot;Elegance&amp;quot; Boho Hippie Style, Vintage, Handmade, Beautiful Jewelry Gift</t>
        </is>
      </c>
      <c r="G138" t="inlineStr">
        <is>
          <t>EuGdCJEGyiWz-cOCEeeU2rtnlm5a</t>
        </is>
      </c>
      <c r="H138" t="inlineStr">
        <is>
          <t>web</t>
        </is>
      </c>
      <c r="I138" t="inlineStr">
        <is>
          <t>de</t>
        </is>
      </c>
      <c r="J138" t="inlineStr">
        <is>
          <t>intl-de</t>
        </is>
      </c>
      <c r="K138" t="b">
        <v>1</v>
      </c>
      <c r="L138" t="inlineStr">
        <is>
          <t>not_relevant</t>
        </is>
      </c>
      <c r="M138" t="inlineStr">
        <is>
          <t>not_relevant</t>
        </is>
      </c>
      <c r="N138" t="inlineStr">
        <is>
          <t>not_relevant</t>
        </is>
      </c>
      <c r="O138" t="inlineStr">
        <is>
          <t>not_relevant</t>
        </is>
      </c>
      <c r="P138" t="b">
        <v>1</v>
      </c>
    </row>
    <row r="139">
      <c r="A139" t="inlineStr">
        <is>
          <t>swetshot</t>
        </is>
      </c>
      <c r="B139" t="inlineStr"/>
      <c r="C139" t="n">
        <v>1508937897</v>
      </c>
      <c r="D139">
        <f>HYPERLINK("https://www.etsy.com/listing/1508937897", "link")</f>
        <v/>
      </c>
      <c r="E139">
        <f>HYPERLINK("https://atlas.etsycorp.com/listing/1508937897/lookup", "link")</f>
        <v/>
      </c>
      <c r="F139" t="inlineStr">
        <is>
          <t>Hott Shot Wellness Shots</t>
        </is>
      </c>
      <c r="G139" t="inlineStr">
        <is>
          <t>EuuAamj2zMS-lk137OoSSVFeveda</t>
        </is>
      </c>
      <c r="H139" t="inlineStr">
        <is>
          <t>web</t>
        </is>
      </c>
      <c r="I139" t="inlineStr">
        <is>
          <t>en-US</t>
        </is>
      </c>
      <c r="J139" t="inlineStr">
        <is>
          <t>us_v2-direct_unspecified</t>
        </is>
      </c>
      <c r="K139" t="b">
        <v>1</v>
      </c>
      <c r="L139" t="inlineStr">
        <is>
          <t>not_relevant</t>
        </is>
      </c>
      <c r="M139" t="inlineStr">
        <is>
          <t>not_relevant</t>
        </is>
      </c>
      <c r="N139" t="inlineStr">
        <is>
          <t>not_relevant</t>
        </is>
      </c>
      <c r="O139" t="inlineStr">
        <is>
          <t>not_relevant</t>
        </is>
      </c>
      <c r="P139" t="b">
        <v>1</v>
      </c>
    </row>
    <row r="140">
      <c r="A140" t="inlineStr">
        <is>
          <t>ae</t>
        </is>
      </c>
      <c r="B140" t="inlineStr">
        <is>
          <t>ae</t>
        </is>
      </c>
      <c r="C140" t="n">
        <v>1513221130</v>
      </c>
      <c r="D140">
        <f>HYPERLINK("https://www.etsy.com/listing/1513221130", "link")</f>
        <v/>
      </c>
      <c r="E140">
        <f>HYPERLINK("https://atlas.etsycorp.com/listing/1513221130/lookup", "link")</f>
        <v/>
      </c>
      <c r="F140" t="inlineStr">
        <is>
          <t>Pack of 805 games For Unico MVSX: &amp;quot;New Release&amp;quot;</t>
        </is>
      </c>
      <c r="G140" t="inlineStr">
        <is>
          <t>EujUQqjwoDceiFesNpfv5Hxc5wfe</t>
        </is>
      </c>
      <c r="H140" t="inlineStr">
        <is>
          <t>web</t>
        </is>
      </c>
      <c r="I140" t="inlineStr">
        <is>
          <t>es</t>
        </is>
      </c>
      <c r="J140" t="inlineStr">
        <is>
          <t>intl-es</t>
        </is>
      </c>
      <c r="K140" t="b">
        <v>1</v>
      </c>
      <c r="L140" t="inlineStr">
        <is>
          <t>not_relevant</t>
        </is>
      </c>
      <c r="M140" t="inlineStr">
        <is>
          <t>not_relevant</t>
        </is>
      </c>
      <c r="N140" t="inlineStr">
        <is>
          <t>not_relevant</t>
        </is>
      </c>
      <c r="O140" t="inlineStr">
        <is>
          <t>not_relevant</t>
        </is>
      </c>
      <c r="P140" t="b">
        <v>1</v>
      </c>
    </row>
    <row r="141">
      <c r="A141" t="inlineStr">
        <is>
          <t>pacha ibiza</t>
        </is>
      </c>
      <c r="B141" t="inlineStr">
        <is>
          <t>pacha ibiza</t>
        </is>
      </c>
      <c r="C141" t="n">
        <v>1716941179</v>
      </c>
      <c r="D141">
        <f>HYPERLINK("https://www.etsy.com/listing/1716941179", "link")</f>
        <v/>
      </c>
      <c r="E141">
        <f>HYPERLINK("https://atlas.etsycorp.com/listing/1716941179/lookup", "link")</f>
        <v/>
      </c>
      <c r="F141" t="inlineStr">
        <is>
          <t>Ibiza Vibes T-Shirt: Assouline-Inspired Party Spirit, Wrapped in Style</t>
        </is>
      </c>
      <c r="G141" t="inlineStr">
        <is>
          <t>EuPyp3lxE2oDHUqYP-HrjZjVPad8</t>
        </is>
      </c>
      <c r="H141" t="inlineStr">
        <is>
          <t>boe</t>
        </is>
      </c>
      <c r="I141" t="inlineStr">
        <is>
          <t>nl</t>
        </is>
      </c>
      <c r="J141" t="inlineStr">
        <is>
          <t>intl-nl</t>
        </is>
      </c>
      <c r="K141" t="b">
        <v>1</v>
      </c>
      <c r="L141" t="inlineStr">
        <is>
          <t>partial</t>
        </is>
      </c>
      <c r="M141" t="inlineStr">
        <is>
          <t>partial</t>
        </is>
      </c>
      <c r="N141" t="inlineStr">
        <is>
          <t>partial</t>
        </is>
      </c>
      <c r="O141" t="inlineStr">
        <is>
          <t>partial</t>
        </is>
      </c>
      <c r="P141" t="b">
        <v>1</v>
      </c>
    </row>
    <row r="142">
      <c r="A142" t="inlineStr">
        <is>
          <t>taschen damen</t>
        </is>
      </c>
      <c r="B142" t="inlineStr">
        <is>
          <t>bags ladies</t>
        </is>
      </c>
      <c r="C142" t="n">
        <v>679285380</v>
      </c>
      <c r="D142">
        <f>HYPERLINK("https://www.etsy.com/listing/679285380", "link")</f>
        <v/>
      </c>
      <c r="E142">
        <f>HYPERLINK("https://atlas.etsycorp.com/listing/679285380/lookup", "link")</f>
        <v/>
      </c>
      <c r="F142" t="inlineStr">
        <is>
          <t xml:space="preserve">Desired Size &amp;quot; Dots &amp;quot; Balloon Skirt Black Skirt Ladies Hip Skirt Dots with Pockets </t>
        </is>
      </c>
      <c r="G142" t="inlineStr">
        <is>
          <t>EurF1_siCrlP_wCxNlc030ULIqb2</t>
        </is>
      </c>
      <c r="H142" t="inlineStr">
        <is>
          <t>web</t>
        </is>
      </c>
      <c r="I142" t="inlineStr">
        <is>
          <t>de</t>
        </is>
      </c>
      <c r="J142" t="inlineStr">
        <is>
          <t>intl-de</t>
        </is>
      </c>
      <c r="K142" t="b">
        <v>1</v>
      </c>
      <c r="L142" t="inlineStr">
        <is>
          <t>not_relevant</t>
        </is>
      </c>
      <c r="M142" t="inlineStr">
        <is>
          <t>not_relevant</t>
        </is>
      </c>
      <c r="N142" t="inlineStr">
        <is>
          <t>not_relevant</t>
        </is>
      </c>
      <c r="O142" t="inlineStr">
        <is>
          <t>relevant</t>
        </is>
      </c>
      <c r="P142" t="b">
        <v>1</v>
      </c>
    </row>
    <row r="143">
      <c r="A143" t="inlineStr">
        <is>
          <t>swimsuit slut</t>
        </is>
      </c>
      <c r="B143" t="inlineStr">
        <is>
          <t>swimsuit slut</t>
        </is>
      </c>
      <c r="C143" t="n">
        <v>1329353100</v>
      </c>
      <c r="D143">
        <f>HYPERLINK("https://www.etsy.com/listing/1329353100", "link")</f>
        <v/>
      </c>
      <c r="E143">
        <f>HYPERLINK("https://atlas.etsycorp.com/listing/1329353100/lookup", "link")</f>
        <v/>
      </c>
      <c r="F143" t="inlineStr">
        <is>
          <t>QUEEN OF SPADES swimsuit, 2 pieces large size, hotwife,bbc bikini cuckolding, hotwife bikini, bikini qos, queen of spadess clothing</t>
        </is>
      </c>
      <c r="G143" t="inlineStr">
        <is>
          <t>EuKmi-hUFX6h62zQ8KJb_Ej59M17</t>
        </is>
      </c>
      <c r="H143" t="inlineStr">
        <is>
          <t>web</t>
        </is>
      </c>
      <c r="I143" t="inlineStr">
        <is>
          <t>nl</t>
        </is>
      </c>
      <c r="J143" t="inlineStr">
        <is>
          <t>intl-nl</t>
        </is>
      </c>
      <c r="K143" t="b">
        <v>1</v>
      </c>
      <c r="L143" t="inlineStr">
        <is>
          <t>partial</t>
        </is>
      </c>
      <c r="M143" t="inlineStr">
        <is>
          <t>partial</t>
        </is>
      </c>
      <c r="N143" t="inlineStr">
        <is>
          <t>partial</t>
        </is>
      </c>
      <c r="O143" t="inlineStr">
        <is>
          <t>relevant</t>
        </is>
      </c>
      <c r="P143" t="b">
        <v>1</v>
      </c>
    </row>
    <row r="144">
      <c r="A144" t="inlineStr">
        <is>
          <t>outdoor hosting</t>
        </is>
      </c>
      <c r="B144" t="inlineStr">
        <is>
          <t>outdoorhosting</t>
        </is>
      </c>
      <c r="C144" t="n">
        <v>593051143</v>
      </c>
      <c r="D144">
        <f>HYPERLINK("https://www.etsy.com/listing/593051143", "link")</f>
        <v/>
      </c>
      <c r="E144">
        <f>HYPERLINK("https://atlas.etsycorp.com/listing/593051143/lookup", "link")</f>
        <v/>
      </c>
      <c r="F144" t="inlineStr">
        <is>
          <t>Folding Picnic Table Bench Plans Patio Furniture (Digital Plans)</t>
        </is>
      </c>
      <c r="G144" t="inlineStr">
        <is>
          <t>EuNb0pBdKGZ_MJ7YvzoTp86oREec</t>
        </is>
      </c>
      <c r="H144" t="inlineStr">
        <is>
          <t>web</t>
        </is>
      </c>
      <c r="I144" t="inlineStr">
        <is>
          <t>de</t>
        </is>
      </c>
      <c r="J144" t="inlineStr">
        <is>
          <t>intl-de</t>
        </is>
      </c>
      <c r="K144" t="b">
        <v>1</v>
      </c>
      <c r="L144" t="inlineStr">
        <is>
          <t>relevant</t>
        </is>
      </c>
      <c r="M144" t="inlineStr">
        <is>
          <t>relevant</t>
        </is>
      </c>
      <c r="N144" t="inlineStr">
        <is>
          <t>relevant</t>
        </is>
      </c>
      <c r="O144" t="inlineStr">
        <is>
          <t>relevant</t>
        </is>
      </c>
      <c r="P144" t="b">
        <v>1</v>
      </c>
    </row>
    <row r="145">
      <c r="A145" t="inlineStr">
        <is>
          <t>pasa</t>
        </is>
      </c>
      <c r="B145" t="inlineStr"/>
      <c r="C145" t="n">
        <v>1676987109</v>
      </c>
      <c r="D145">
        <f>HYPERLINK("https://www.etsy.com/listing/1676987109", "link")</f>
        <v/>
      </c>
      <c r="E145">
        <f>HYPERLINK("https://atlas.etsycorp.com/listing/1676987109/lookup", "link")</f>
        <v/>
      </c>
      <c r="F145" t="inlineStr">
        <is>
          <t>Kundan Passa Jhoomer Jhumar / head side passa / Bridal Head piece / Indian jewelry By Asp Fashion Jewellery</t>
        </is>
      </c>
      <c r="G145" t="inlineStr">
        <is>
          <t>EuA4R19VU1j8K1JBBnng2Xywj_05</t>
        </is>
      </c>
      <c r="H145" t="inlineStr">
        <is>
          <t>web</t>
        </is>
      </c>
      <c r="I145" t="inlineStr">
        <is>
          <t>en-IN</t>
        </is>
      </c>
      <c r="J145" t="inlineStr">
        <is>
          <t>us_v2-broad</t>
        </is>
      </c>
      <c r="K145" t="b">
        <v>1</v>
      </c>
      <c r="L145" t="inlineStr">
        <is>
          <t>relevant</t>
        </is>
      </c>
      <c r="M145" t="inlineStr">
        <is>
          <t>relevant</t>
        </is>
      </c>
      <c r="N145" t="inlineStr">
        <is>
          <t>relevant</t>
        </is>
      </c>
      <c r="O145" t="inlineStr">
        <is>
          <t>relevant</t>
        </is>
      </c>
      <c r="P145" t="b">
        <v>1</v>
      </c>
    </row>
    <row r="146">
      <c r="A146" t="inlineStr">
        <is>
          <t>house plants in pots</t>
        </is>
      </c>
      <c r="B146" t="inlineStr"/>
      <c r="C146" t="n">
        <v>1184724189</v>
      </c>
      <c r="D146">
        <f>HYPERLINK("https://www.etsy.com/listing/1184724189", "link")</f>
        <v/>
      </c>
      <c r="E146">
        <f>HYPERLINK("https://atlas.etsycorp.com/listing/1184724189/lookup", "link")</f>
        <v/>
      </c>
      <c r="F146" t="inlineStr">
        <is>
          <t>Palm Print Embossed Gloss Ceramic Planter/Plant Pot- to fit 12.5cm nursery pot</t>
        </is>
      </c>
      <c r="G146" t="inlineStr">
        <is>
          <t>Eu6hZx10mXKikypSCQKKcYaWtC37</t>
        </is>
      </c>
      <c r="H146" t="inlineStr">
        <is>
          <t>web</t>
        </is>
      </c>
      <c r="I146" t="inlineStr">
        <is>
          <t>en-GB</t>
        </is>
      </c>
      <c r="J146" t="inlineStr">
        <is>
          <t>us_v2-direct_unspecified</t>
        </is>
      </c>
      <c r="K146" t="b">
        <v>1</v>
      </c>
      <c r="L146" t="inlineStr">
        <is>
          <t>partial</t>
        </is>
      </c>
      <c r="M146" t="inlineStr">
        <is>
          <t>partial</t>
        </is>
      </c>
      <c r="N146" t="inlineStr">
        <is>
          <t>partial</t>
        </is>
      </c>
      <c r="O146" t="inlineStr">
        <is>
          <t>partial</t>
        </is>
      </c>
      <c r="P146" t="b">
        <v>1</v>
      </c>
    </row>
    <row r="147">
      <c r="A147" t="inlineStr">
        <is>
          <t>black metal hair claw clip with pearl</t>
        </is>
      </c>
      <c r="B147" t="inlineStr"/>
      <c r="C147" t="n">
        <v>865010657</v>
      </c>
      <c r="D147">
        <f>HYPERLINK("https://www.etsy.com/listing/865010657", "link")</f>
        <v/>
      </c>
      <c r="E147">
        <f>HYPERLINK("https://atlas.etsycorp.com/listing/865010657/lookup", "link")</f>
        <v/>
      </c>
      <c r="F147" t="inlineStr">
        <is>
          <t>50-100Pcs/lot gold/silver/black Hair Clips Fashion square Hairpin Blank Base for Diy Jewelry Making Pearl Hair Clip Setting craft supplies</t>
        </is>
      </c>
      <c r="G147" t="inlineStr">
        <is>
          <t>EueG9lK6hYM9i1eYkzXcElK__uf6</t>
        </is>
      </c>
      <c r="H147" t="inlineStr">
        <is>
          <t>boe</t>
        </is>
      </c>
      <c r="I147" t="inlineStr">
        <is>
          <t>en-US</t>
        </is>
      </c>
      <c r="J147" t="inlineStr">
        <is>
          <t>us_v2-direct_specified</t>
        </is>
      </c>
      <c r="K147" t="b">
        <v>1</v>
      </c>
      <c r="L147" t="inlineStr">
        <is>
          <t>relevant</t>
        </is>
      </c>
      <c r="M147" t="inlineStr">
        <is>
          <t>partial</t>
        </is>
      </c>
      <c r="N147" t="inlineStr">
        <is>
          <t>relevant</t>
        </is>
      </c>
      <c r="O147" t="inlineStr">
        <is>
          <t>relevant</t>
        </is>
      </c>
      <c r="P147" t="b">
        <v>1</v>
      </c>
    </row>
    <row r="148">
      <c r="A148" t="inlineStr">
        <is>
          <t>30th wedding anniversary gifts</t>
        </is>
      </c>
      <c r="B148" t="inlineStr"/>
      <c r="C148" t="n">
        <v>1529669642</v>
      </c>
      <c r="D148">
        <f>HYPERLINK("https://www.etsy.com/listing/1529669642", "link")</f>
        <v/>
      </c>
      <c r="E148">
        <f>HYPERLINK("https://atlas.etsycorp.com/listing/1529669642/lookup", "link")</f>
        <v/>
      </c>
      <c r="F148" t="inlineStr">
        <is>
          <t>Personalised 30th Anniversary Gift, Pearl Anniversary Heart Plaque, Anniversary Gifts, 30th Anniversary Gift for Husband Wife Parents</t>
        </is>
      </c>
      <c r="G148" t="inlineStr">
        <is>
          <t>EuKFdRLCuzFmYRG3Iuw3CBcfQU12</t>
        </is>
      </c>
      <c r="H148" t="inlineStr">
        <is>
          <t>web</t>
        </is>
      </c>
      <c r="I148" t="inlineStr">
        <is>
          <t>en-GB</t>
        </is>
      </c>
      <c r="J148" t="inlineStr">
        <is>
          <t>us_v2-broad</t>
        </is>
      </c>
      <c r="K148" t="b">
        <v>1</v>
      </c>
      <c r="L148" t="inlineStr">
        <is>
          <t>relevant</t>
        </is>
      </c>
      <c r="M148" t="inlineStr">
        <is>
          <t>relevant</t>
        </is>
      </c>
      <c r="N148" t="inlineStr">
        <is>
          <t>relevant</t>
        </is>
      </c>
      <c r="O148" t="inlineStr">
        <is>
          <t>relevant</t>
        </is>
      </c>
      <c r="P148" t="b">
        <v>1</v>
      </c>
    </row>
    <row r="149">
      <c r="A149" t="inlineStr">
        <is>
          <t>Toby keith sweatshirt</t>
        </is>
      </c>
      <c r="B149" t="inlineStr"/>
      <c r="C149" t="n">
        <v>1659245094</v>
      </c>
      <c r="D149">
        <f>HYPERLINK("https://www.etsy.com/listing/1659245094", "link")</f>
        <v/>
      </c>
      <c r="E149">
        <f>HYPERLINK("https://atlas.etsycorp.com/listing/1659245094/lookup", "link")</f>
        <v/>
      </c>
      <c r="F149" t="inlineStr">
        <is>
          <t>Toby Keith Tee</t>
        </is>
      </c>
      <c r="G149" t="inlineStr">
        <is>
          <t>Eu5YfSz1YnP0N5J_jBCFZUsT7J95</t>
        </is>
      </c>
      <c r="H149" t="inlineStr">
        <is>
          <t>boe</t>
        </is>
      </c>
      <c r="I149" t="inlineStr">
        <is>
          <t>en-US</t>
        </is>
      </c>
      <c r="J149" t="inlineStr">
        <is>
          <t>us_v2-direct_specified</t>
        </is>
      </c>
      <c r="K149" t="b">
        <v>1</v>
      </c>
      <c r="L149" t="inlineStr">
        <is>
          <t>partial</t>
        </is>
      </c>
      <c r="M149" t="inlineStr">
        <is>
          <t>partial</t>
        </is>
      </c>
      <c r="N149" t="inlineStr">
        <is>
          <t>partial</t>
        </is>
      </c>
      <c r="O149" t="inlineStr">
        <is>
          <t>partial</t>
        </is>
      </c>
      <c r="P149" t="b">
        <v>1</v>
      </c>
    </row>
    <row r="150">
      <c r="A150" t="inlineStr">
        <is>
          <t>elegant wedding dress</t>
        </is>
      </c>
      <c r="B150" t="inlineStr"/>
      <c r="C150" t="n">
        <v>1477002894</v>
      </c>
      <c r="D150">
        <f>HYPERLINK("https://www.etsy.com/listing/1477002894", "link")</f>
        <v/>
      </c>
      <c r="E150">
        <f>HYPERLINK("https://atlas.etsycorp.com/listing/1477002894/lookup", "link")</f>
        <v/>
      </c>
      <c r="F150" t="inlineStr">
        <is>
          <t>Personalized bride hanger with pearls custom wedding dress hanger wood bridal hanger bride name wooden hanger wedding gift from bridesmaid</t>
        </is>
      </c>
      <c r="G150" t="inlineStr">
        <is>
          <t>EuCTDJ7BTA6YnHRZ-QXqBg--Ht27</t>
        </is>
      </c>
      <c r="H150" t="inlineStr">
        <is>
          <t>web</t>
        </is>
      </c>
      <c r="I150" t="inlineStr">
        <is>
          <t>en-US</t>
        </is>
      </c>
      <c r="J150" t="inlineStr">
        <is>
          <t>us_v2-direct_specified</t>
        </is>
      </c>
      <c r="K150" t="b">
        <v>1</v>
      </c>
      <c r="L150" t="inlineStr">
        <is>
          <t>partial</t>
        </is>
      </c>
      <c r="M150" t="inlineStr">
        <is>
          <t>not_relevant</t>
        </is>
      </c>
      <c r="N150" t="inlineStr">
        <is>
          <t>partial</t>
        </is>
      </c>
      <c r="O150" t="inlineStr">
        <is>
          <t>partial</t>
        </is>
      </c>
      <c r="P150" t="b">
        <v>1</v>
      </c>
    </row>
    <row r="151">
      <c r="A151" t="inlineStr">
        <is>
          <t>cebu pacific logo polo shirt</t>
        </is>
      </c>
      <c r="B151" t="inlineStr"/>
      <c r="C151" t="n">
        <v>1091695270</v>
      </c>
      <c r="D151">
        <f>HYPERLINK("https://www.etsy.com/listing/1091695270", "link")</f>
        <v/>
      </c>
      <c r="E151">
        <f>HYPERLINK("https://atlas.etsycorp.com/listing/1091695270/lookup", "link")</f>
        <v/>
      </c>
      <c r="F151" t="inlineStr">
        <is>
          <t>Vintage Paradise Of The Pacific Short Sleeve Sweatshirt Pacific Sweater Hawaii Crewneck Pullover Embroidered Spell Out Logo Brown Medium</t>
        </is>
      </c>
      <c r="G151" t="inlineStr">
        <is>
          <t>EuX_CviWi0F-H9hbAL2C26ZRMhf6</t>
        </is>
      </c>
      <c r="H151" t="inlineStr">
        <is>
          <t>web</t>
        </is>
      </c>
      <c r="I151" t="inlineStr">
        <is>
          <t>en-US</t>
        </is>
      </c>
      <c r="J151" t="inlineStr">
        <is>
          <t>us_v2-direct_specified</t>
        </is>
      </c>
      <c r="K151" t="b">
        <v>1</v>
      </c>
      <c r="L151" t="inlineStr">
        <is>
          <t>partial</t>
        </is>
      </c>
      <c r="M151" t="inlineStr">
        <is>
          <t>partial</t>
        </is>
      </c>
      <c r="N151" t="inlineStr">
        <is>
          <t>partial</t>
        </is>
      </c>
      <c r="O151" t="inlineStr">
        <is>
          <t>not_relevant</t>
        </is>
      </c>
      <c r="P151" t="b">
        <v>1</v>
      </c>
    </row>
    <row r="152">
      <c r="A152" t="inlineStr">
        <is>
          <t>sac magique</t>
        </is>
      </c>
      <c r="B152" t="inlineStr">
        <is>
          <t>magic bag</t>
        </is>
      </c>
      <c r="C152" t="n">
        <v>1188789623</v>
      </c>
      <c r="D152">
        <f>HYPERLINK("https://www.etsy.com/listing/1188789623", "link")</f>
        <v/>
      </c>
      <c r="E152">
        <f>HYPERLINK("https://atlas.etsycorp.com/listing/1188789623/lookup", "link")</f>
        <v/>
      </c>
      <c r="F152" t="inlineStr">
        <is>
          <t>magic beans</t>
        </is>
      </c>
      <c r="G152" t="inlineStr">
        <is>
          <t>EuGX8ZJSKSnAneAQhB3hlGBWrf75</t>
        </is>
      </c>
      <c r="H152" t="inlineStr">
        <is>
          <t>web</t>
        </is>
      </c>
      <c r="I152" t="inlineStr">
        <is>
          <t>fr</t>
        </is>
      </c>
      <c r="J152" t="inlineStr">
        <is>
          <t>intl-fr</t>
        </is>
      </c>
      <c r="K152" t="b">
        <v>1</v>
      </c>
      <c r="L152" t="inlineStr">
        <is>
          <t>partial</t>
        </is>
      </c>
      <c r="M152" t="inlineStr">
        <is>
          <t>not_relevant</t>
        </is>
      </c>
      <c r="N152" t="inlineStr">
        <is>
          <t>partial</t>
        </is>
      </c>
      <c r="O152" t="inlineStr">
        <is>
          <t>partial</t>
        </is>
      </c>
      <c r="P152" t="b">
        <v>1</v>
      </c>
    </row>
    <row r="153">
      <c r="A153" t="inlineStr">
        <is>
          <t>easter decor</t>
        </is>
      </c>
      <c r="B153" t="inlineStr"/>
      <c r="C153" t="n">
        <v>788064719</v>
      </c>
      <c r="D153">
        <f>HYPERLINK("https://www.etsy.com/listing/788064719", "link")</f>
        <v/>
      </c>
      <c r="E153">
        <f>HYPERLINK("https://atlas.etsycorp.com/listing/788064719/lookup", "link")</f>
        <v/>
      </c>
      <c r="F153" t="inlineStr">
        <is>
          <t>Lil&amp;#39; Monster Easter Eggs</t>
        </is>
      </c>
      <c r="G153" t="inlineStr">
        <is>
          <t>EuDGTnxyxSF1rWvJJaAcJNDyxQdd</t>
        </is>
      </c>
      <c r="H153" t="inlineStr">
        <is>
          <t>boe</t>
        </is>
      </c>
      <c r="I153" t="inlineStr">
        <is>
          <t>en-US</t>
        </is>
      </c>
      <c r="J153" t="inlineStr">
        <is>
          <t>us_v2-broad</t>
        </is>
      </c>
      <c r="K153" t="b">
        <v>1</v>
      </c>
      <c r="L153" t="inlineStr">
        <is>
          <t>partial</t>
        </is>
      </c>
      <c r="M153" t="inlineStr">
        <is>
          <t>relevant</t>
        </is>
      </c>
      <c r="N153" t="inlineStr">
        <is>
          <t>partial</t>
        </is>
      </c>
      <c r="O153" t="inlineStr">
        <is>
          <t>partial</t>
        </is>
      </c>
      <c r="P153" t="b">
        <v>1</v>
      </c>
    </row>
    <row r="154">
      <c r="A154" t="inlineStr">
        <is>
          <t>fararri boulevard</t>
        </is>
      </c>
      <c r="B154" t="inlineStr"/>
      <c r="C154" t="n">
        <v>800450764</v>
      </c>
      <c r="D154">
        <f>HYPERLINK("https://www.etsy.com/listing/800450764", "link")</f>
        <v/>
      </c>
      <c r="E154">
        <f>HYPERLINK("https://atlas.etsycorp.com/listing/800450764/lookup", "link")</f>
        <v/>
      </c>
      <c r="F154" t="inlineStr">
        <is>
          <t>Sunset Boulevard Poster</t>
        </is>
      </c>
      <c r="G154" t="inlineStr">
        <is>
          <t>EuqKfUE1Tc96tdQ8sD3HN95JDZ6e</t>
        </is>
      </c>
      <c r="H154" t="inlineStr">
        <is>
          <t>web</t>
        </is>
      </c>
      <c r="I154" t="inlineStr">
        <is>
          <t>en-US</t>
        </is>
      </c>
      <c r="J154" t="inlineStr">
        <is>
          <t>us_v2-broad</t>
        </is>
      </c>
      <c r="K154" t="b">
        <v>1</v>
      </c>
      <c r="L154" t="inlineStr">
        <is>
          <t>partial</t>
        </is>
      </c>
      <c r="M154" t="inlineStr">
        <is>
          <t>partial</t>
        </is>
      </c>
      <c r="N154" t="inlineStr">
        <is>
          <t>partial</t>
        </is>
      </c>
      <c r="O154" t="inlineStr">
        <is>
          <t>not_relevant</t>
        </is>
      </c>
      <c r="P154" t="b">
        <v>1</v>
      </c>
    </row>
    <row r="155">
      <c r="A155" t="inlineStr">
        <is>
          <t>valentines gifts for her</t>
        </is>
      </c>
      <c r="B155" t="inlineStr"/>
      <c r="C155" t="n">
        <v>1217855352</v>
      </c>
      <c r="D155">
        <f>HYPERLINK("https://www.etsy.com/listing/1217855352", "link")</f>
        <v/>
      </c>
      <c r="E155">
        <f>HYPERLINK("https://atlas.etsycorp.com/listing/1217855352/lookup", "link")</f>
        <v/>
      </c>
      <c r="F155" t="inlineStr">
        <is>
          <t>Cute Penguin Pebble romantic gift for him her, Hand painted unique keepsake for boyfriend girlfriend, Sweet anniversary gift to husband wife</t>
        </is>
      </c>
      <c r="G155" t="inlineStr">
        <is>
          <t>Eui3pcK-z01z8npR0Zn-WkBGBn66</t>
        </is>
      </c>
      <c r="H155" t="inlineStr">
        <is>
          <t>web</t>
        </is>
      </c>
      <c r="I155" t="inlineStr">
        <is>
          <t>en-GB</t>
        </is>
      </c>
      <c r="J155" t="inlineStr">
        <is>
          <t>us_v2-gift</t>
        </is>
      </c>
      <c r="K155" t="b">
        <v>1</v>
      </c>
      <c r="L155" t="inlineStr">
        <is>
          <t>relevant</t>
        </is>
      </c>
      <c r="M155" t="inlineStr">
        <is>
          <t>relevant</t>
        </is>
      </c>
      <c r="N155" t="inlineStr">
        <is>
          <t>relevant</t>
        </is>
      </c>
      <c r="O155" t="inlineStr">
        <is>
          <t>partial</t>
        </is>
      </c>
      <c r="P155" t="b">
        <v>1</v>
      </c>
    </row>
    <row r="156">
      <c r="A156" t="inlineStr">
        <is>
          <t>book vase for flowers</t>
        </is>
      </c>
      <c r="B156" t="inlineStr"/>
      <c r="C156" t="n">
        <v>1527032294</v>
      </c>
      <c r="D156">
        <f>HYPERLINK("https://www.etsy.com/listing/1527032294", "link")</f>
        <v/>
      </c>
      <c r="E156">
        <f>HYPERLINK("https://atlas.etsycorp.com/listing/1527032294/lookup", "link")</f>
        <v/>
      </c>
      <c r="F156" t="inlineStr">
        <is>
          <t>Secret Hidden Strong METAL BOOK SAFE Secure Hollow Money Box w/ Key Lock</t>
        </is>
      </c>
      <c r="G156" t="inlineStr">
        <is>
          <t>EuqdP67csAKGrZ7KZVEaGZ_Hyef9</t>
        </is>
      </c>
      <c r="H156" t="inlineStr">
        <is>
          <t>web</t>
        </is>
      </c>
      <c r="I156" t="inlineStr">
        <is>
          <t>en-GB</t>
        </is>
      </c>
      <c r="J156" t="inlineStr">
        <is>
          <t>us_v2-direct_unspecified</t>
        </is>
      </c>
      <c r="K156" t="b">
        <v>1</v>
      </c>
      <c r="L156" t="inlineStr">
        <is>
          <t>not_relevant</t>
        </is>
      </c>
      <c r="M156" t="inlineStr">
        <is>
          <t>not_relevant</t>
        </is>
      </c>
      <c r="N156" t="inlineStr">
        <is>
          <t>not_relevant</t>
        </is>
      </c>
      <c r="O156" t="inlineStr">
        <is>
          <t>partial</t>
        </is>
      </c>
      <c r="P156" t="b">
        <v>1</v>
      </c>
    </row>
    <row r="157">
      <c r="A157" t="inlineStr">
        <is>
          <t>aussie animal baby mobile</t>
        </is>
      </c>
      <c r="B157" t="inlineStr"/>
      <c r="C157" t="n">
        <v>988558432</v>
      </c>
      <c r="D157">
        <f>HYPERLINK("https://www.etsy.com/listing/988558432", "link")</f>
        <v/>
      </c>
      <c r="E157">
        <f>HYPERLINK("https://atlas.etsycorp.com/listing/988558432/lookup", "link")</f>
        <v/>
      </c>
      <c r="F157" t="inlineStr">
        <is>
          <t>Seahorse and coral sewing pattern, PDF SVG felr pattern, felt ornament, Ocean pattern, Christmas ornaments, baby mobile Ocean</t>
        </is>
      </c>
      <c r="G157" t="inlineStr">
        <is>
          <t>EuSxZ_qstPKs8kYRdBZgb3h3Sj84</t>
        </is>
      </c>
      <c r="H157" t="inlineStr">
        <is>
          <t>web</t>
        </is>
      </c>
      <c r="I157" t="inlineStr">
        <is>
          <t>en-GB</t>
        </is>
      </c>
      <c r="J157" t="inlineStr">
        <is>
          <t>us_v2-direct_specified</t>
        </is>
      </c>
      <c r="K157" t="b">
        <v>1</v>
      </c>
      <c r="L157" t="inlineStr">
        <is>
          <t>partial</t>
        </is>
      </c>
      <c r="M157" t="inlineStr">
        <is>
          <t>partial</t>
        </is>
      </c>
      <c r="N157" t="inlineStr">
        <is>
          <t>partial</t>
        </is>
      </c>
      <c r="O157" t="inlineStr">
        <is>
          <t>partial</t>
        </is>
      </c>
      <c r="P157" t="b">
        <v>1</v>
      </c>
    </row>
    <row r="158">
      <c r="A158" t="inlineStr">
        <is>
          <t>personalized school supplies</t>
        </is>
      </c>
      <c r="B158" t="inlineStr">
        <is>
          <t>personalized school supplies</t>
        </is>
      </c>
      <c r="C158" t="n">
        <v>1026309136</v>
      </c>
      <c r="D158">
        <f>HYPERLINK("https://www.etsy.com/listing/1026309136", "link")</f>
        <v/>
      </c>
      <c r="E158">
        <f>HYPERLINK("https://atlas.etsycorp.com/listing/1026309136/lookup", "link")</f>
        <v/>
      </c>
      <c r="F158" t="inlineStr">
        <is>
          <t>Back to School Kids Printable Sign First Day of School Editable INSTANT DOWNLOAD</t>
        </is>
      </c>
      <c r="G158" t="inlineStr">
        <is>
          <t>EuPqInHAm03gs30MUML3rR0HgZ25</t>
        </is>
      </c>
      <c r="H158" t="inlineStr">
        <is>
          <t>boe</t>
        </is>
      </c>
      <c r="I158" t="inlineStr">
        <is>
          <t>fr</t>
        </is>
      </c>
      <c r="J158" t="inlineStr">
        <is>
          <t>intl-fr</t>
        </is>
      </c>
      <c r="K158" t="b">
        <v>1</v>
      </c>
      <c r="L158" t="inlineStr">
        <is>
          <t>partial</t>
        </is>
      </c>
      <c r="M158" t="inlineStr">
        <is>
          <t>partial</t>
        </is>
      </c>
      <c r="N158" t="inlineStr">
        <is>
          <t>partial</t>
        </is>
      </c>
      <c r="O158" t="inlineStr">
        <is>
          <t>not_relevant</t>
        </is>
      </c>
      <c r="P158" t="b">
        <v>1</v>
      </c>
    </row>
    <row r="159">
      <c r="A159" t="inlineStr">
        <is>
          <t>Gifts For The Couple Decision Maker Coin - Decis...</t>
        </is>
      </c>
      <c r="B159" t="inlineStr"/>
      <c r="C159" t="n">
        <v>1523105151</v>
      </c>
      <c r="D159">
        <f>HYPERLINK("https://www.etsy.com/listing/1523105151", "link")</f>
        <v/>
      </c>
      <c r="E159">
        <f>HYPERLINK("https://atlas.etsycorp.com/listing/1523105151/lookup", "link")</f>
        <v/>
      </c>
      <c r="F159" t="inlineStr">
        <is>
          <t>Personalized Date Dice - 10th Anniversary Gift - Custom Stainless Steel Dice - Engraved Dice - Engagement Wedding Gift Valentine&amp;#39;s Day</t>
        </is>
      </c>
      <c r="G159" t="inlineStr">
        <is>
          <t>EuG89gyWKhjaxJwrb0dloMT4zi63</t>
        </is>
      </c>
      <c r="H159" t="inlineStr">
        <is>
          <t>web</t>
        </is>
      </c>
      <c r="I159" t="inlineStr">
        <is>
          <t>en-US</t>
        </is>
      </c>
      <c r="J159" t="inlineStr">
        <is>
          <t>us_v2-gift</t>
        </is>
      </c>
      <c r="K159" t="b">
        <v>1</v>
      </c>
      <c r="L159" t="inlineStr">
        <is>
          <t>not_relevant</t>
        </is>
      </c>
      <c r="M159" t="inlineStr">
        <is>
          <t>not_relevant</t>
        </is>
      </c>
      <c r="N159" t="inlineStr">
        <is>
          <t>not_relevant</t>
        </is>
      </c>
      <c r="O159" t="inlineStr">
        <is>
          <t>not_relevant</t>
        </is>
      </c>
      <c r="P159" t="b">
        <v>1</v>
      </c>
    </row>
    <row r="160">
      <c r="A160" t="inlineStr">
        <is>
          <t>sticker schalke</t>
        </is>
      </c>
      <c r="B160" t="inlineStr">
        <is>
          <t>stickers schalke</t>
        </is>
      </c>
      <c r="C160" t="n">
        <v>1512755353</v>
      </c>
      <c r="D160">
        <f>HYPERLINK("https://www.etsy.com/listing/1512755353", "link")</f>
        <v/>
      </c>
      <c r="E160">
        <f>HYPERLINK("https://atlas.etsycorp.com/listing/1512755353/lookup", "link")</f>
        <v/>
      </c>
      <c r="F160" t="inlineStr">
        <is>
          <t>Sticker Ruhrpott, bumper sticker Ruhrpott, Ruhr area sticker, mining sticker, sticker Ruhrpott</t>
        </is>
      </c>
      <c r="G160" t="inlineStr">
        <is>
          <t>Eulv-85ZcZjW5q4pRvjC4T97lb53</t>
        </is>
      </c>
      <c r="H160" t="inlineStr">
        <is>
          <t>boe</t>
        </is>
      </c>
      <c r="I160" t="inlineStr">
        <is>
          <t>de</t>
        </is>
      </c>
      <c r="J160" t="inlineStr">
        <is>
          <t>intl-de</t>
        </is>
      </c>
      <c r="K160" t="b">
        <v>1</v>
      </c>
      <c r="L160" t="inlineStr">
        <is>
          <t>not_relevant</t>
        </is>
      </c>
      <c r="M160" t="inlineStr">
        <is>
          <t>not_relevant</t>
        </is>
      </c>
      <c r="N160" t="inlineStr">
        <is>
          <t>not_relevant</t>
        </is>
      </c>
      <c r="O160" t="inlineStr">
        <is>
          <t>not_relevant</t>
        </is>
      </c>
      <c r="P160" t="b">
        <v>1</v>
      </c>
    </row>
    <row r="161">
      <c r="A161" t="inlineStr">
        <is>
          <t>rupee ice mold</t>
        </is>
      </c>
      <c r="B161" t="inlineStr"/>
      <c r="C161" t="n">
        <v>1087119903</v>
      </c>
      <c r="D161">
        <f>HYPERLINK("https://www.etsy.com/listing/1087119903", "link")</f>
        <v/>
      </c>
      <c r="E161">
        <f>HYPERLINK("https://atlas.etsycorp.com/listing/1087119903/lookup", "link")</f>
        <v/>
      </c>
      <c r="F161" t="inlineStr">
        <is>
          <t>Bokoblin Chest with LED, magnetic rupee and realistic stone texture options</t>
        </is>
      </c>
      <c r="G161" t="inlineStr">
        <is>
          <t>Eurs13z7oBDDbMGhMbDCnGKqaT5e</t>
        </is>
      </c>
      <c r="H161" t="inlineStr">
        <is>
          <t>web</t>
        </is>
      </c>
      <c r="I161" t="inlineStr">
        <is>
          <t>en-GB</t>
        </is>
      </c>
      <c r="J161" t="inlineStr">
        <is>
          <t>us_v2-direct_specified</t>
        </is>
      </c>
      <c r="K161" t="b">
        <v>1</v>
      </c>
      <c r="L161" t="inlineStr">
        <is>
          <t>not_relevant</t>
        </is>
      </c>
      <c r="M161" t="inlineStr">
        <is>
          <t>not_relevant</t>
        </is>
      </c>
      <c r="N161" t="inlineStr">
        <is>
          <t>not_relevant</t>
        </is>
      </c>
      <c r="O161" t="inlineStr">
        <is>
          <t>not_relevant</t>
        </is>
      </c>
      <c r="P161" t="b">
        <v>1</v>
      </c>
    </row>
    <row r="162">
      <c r="A162" t="inlineStr">
        <is>
          <t>babyrassel häkeln</t>
        </is>
      </c>
      <c r="B162" t="inlineStr">
        <is>
          <t>crochet baby rattle</t>
        </is>
      </c>
      <c r="C162" t="n">
        <v>1034453627</v>
      </c>
      <c r="D162">
        <f>HYPERLINK("https://www.etsy.com/listing/1034453627", "link")</f>
        <v/>
      </c>
      <c r="E162">
        <f>HYPERLINK("https://atlas.etsycorp.com/listing/1034453627/lookup", "link")</f>
        <v/>
      </c>
      <c r="F162" t="inlineStr">
        <is>
          <t>Crochet Pattern Lovely BIB, English US Terms.</t>
        </is>
      </c>
      <c r="G162" t="inlineStr">
        <is>
          <t>EuxUx_fND6GM1dlUUHQyhiTDpo8e</t>
        </is>
      </c>
      <c r="H162" t="inlineStr">
        <is>
          <t>boe</t>
        </is>
      </c>
      <c r="I162" t="inlineStr">
        <is>
          <t>de</t>
        </is>
      </c>
      <c r="J162" t="inlineStr">
        <is>
          <t>intl-de</t>
        </is>
      </c>
      <c r="K162" t="b">
        <v>1</v>
      </c>
      <c r="L162" t="inlineStr">
        <is>
          <t>not_relevant</t>
        </is>
      </c>
      <c r="M162" t="inlineStr">
        <is>
          <t>relevant</t>
        </is>
      </c>
      <c r="N162" t="inlineStr">
        <is>
          <t>not_relevant</t>
        </is>
      </c>
      <c r="O162" t="inlineStr">
        <is>
          <t>not_relevant</t>
        </is>
      </c>
      <c r="P162" t="b">
        <v>1</v>
      </c>
    </row>
    <row r="163">
      <c r="A163" t="inlineStr">
        <is>
          <t>zelda tumbler pdf</t>
        </is>
      </c>
      <c r="B163" t="inlineStr"/>
      <c r="C163" t="n">
        <v>1655210649</v>
      </c>
      <c r="D163">
        <f>HYPERLINK("https://www.etsy.com/listing/1655210649", "link")</f>
        <v/>
      </c>
      <c r="E163">
        <f>HYPERLINK("https://atlas.etsycorp.com/listing/1655210649/lookup", "link")</f>
        <v/>
      </c>
      <c r="F163" t="inlineStr">
        <is>
          <t>Legend of Zelda Tumbler Wrap for 20 oz Skinny Tumbler, PNG Sublimation Design, Seamless Wrap, Digital Download</t>
        </is>
      </c>
      <c r="G163" t="inlineStr">
        <is>
          <t>Euw4F0vBIQ4HNnFqRRethIj4vbbb</t>
        </is>
      </c>
      <c r="H163" t="inlineStr">
        <is>
          <t>web</t>
        </is>
      </c>
      <c r="I163" t="inlineStr">
        <is>
          <t>en-US</t>
        </is>
      </c>
      <c r="J163" t="inlineStr">
        <is>
          <t>us_v2-direct_specified</t>
        </is>
      </c>
      <c r="K163" t="b">
        <v>1</v>
      </c>
      <c r="L163" t="inlineStr">
        <is>
          <t>partial</t>
        </is>
      </c>
      <c r="M163" t="inlineStr">
        <is>
          <t>partial</t>
        </is>
      </c>
      <c r="N163" t="inlineStr">
        <is>
          <t>partial</t>
        </is>
      </c>
      <c r="O163" t="inlineStr">
        <is>
          <t>relevant</t>
        </is>
      </c>
      <c r="P163" t="b">
        <v>1</v>
      </c>
    </row>
    <row r="164">
      <c r="A164" t="inlineStr">
        <is>
          <t>black metal hair claw clip with pearl</t>
        </is>
      </c>
      <c r="B164" t="inlineStr"/>
      <c r="C164" t="n">
        <v>1393279069</v>
      </c>
      <c r="D164">
        <f>HYPERLINK("https://www.etsy.com/listing/1393279069", "link")</f>
        <v/>
      </c>
      <c r="E164">
        <f>HYPERLINK("https://atlas.etsycorp.com/listing/1393279069/lookup", "link")</f>
        <v/>
      </c>
      <c r="F164" t="inlineStr">
        <is>
          <t>Pearl Golden Hair Claw Clip,Rhinestone Claw,Hair Accessories For Women,Valentines Gift,Gift For Her.</t>
        </is>
      </c>
      <c r="G164" t="inlineStr">
        <is>
          <t>EueG9lK6hYM9i1eYkzXcElK__uf6</t>
        </is>
      </c>
      <c r="H164" t="inlineStr">
        <is>
          <t>boe</t>
        </is>
      </c>
      <c r="I164" t="inlineStr">
        <is>
          <t>en-US</t>
        </is>
      </c>
      <c r="J164" t="inlineStr">
        <is>
          <t>us_v2-direct_specified</t>
        </is>
      </c>
      <c r="K164" t="b">
        <v>1</v>
      </c>
      <c r="L164" t="inlineStr">
        <is>
          <t>partial</t>
        </is>
      </c>
      <c r="M164" t="inlineStr">
        <is>
          <t>partial</t>
        </is>
      </c>
      <c r="N164" t="inlineStr">
        <is>
          <t>partial</t>
        </is>
      </c>
      <c r="O164" t="inlineStr">
        <is>
          <t>partial</t>
        </is>
      </c>
      <c r="P164" t="b">
        <v>1</v>
      </c>
    </row>
    <row r="165">
      <c r="A165" t="inlineStr">
        <is>
          <t>dir en grey</t>
        </is>
      </c>
      <c r="B165" t="inlineStr">
        <is>
          <t>say in gray</t>
        </is>
      </c>
      <c r="C165" t="n">
        <v>571894214</v>
      </c>
      <c r="D165">
        <f>HYPERLINK("https://www.etsy.com/listing/571894214", "link")</f>
        <v/>
      </c>
      <c r="E165">
        <f>HYPERLINK("https://atlas.etsycorp.com/listing/571894214/lookup", "link")</f>
        <v/>
      </c>
      <c r="F165" t="inlineStr">
        <is>
          <t>Funny Valentines Card, Valentine&amp;#39;s Card, From the Dog, Love Card, For Husband, for Wife, Dog Valentine&amp;#39;s - Grey Dog says I LOVE YOU</t>
        </is>
      </c>
      <c r="G165" t="inlineStr">
        <is>
          <t>Eu7R2BqPbfQ-LK2osUCRojkpTi96</t>
        </is>
      </c>
      <c r="H165" t="inlineStr">
        <is>
          <t>boe</t>
        </is>
      </c>
      <c r="I165" t="inlineStr">
        <is>
          <t>es</t>
        </is>
      </c>
      <c r="J165" t="inlineStr">
        <is>
          <t>intl-es</t>
        </is>
      </c>
      <c r="K165" t="b">
        <v>1</v>
      </c>
      <c r="L165" t="inlineStr">
        <is>
          <t>not_relevant</t>
        </is>
      </c>
      <c r="M165" t="inlineStr">
        <is>
          <t>not_relevant</t>
        </is>
      </c>
      <c r="N165" t="inlineStr">
        <is>
          <t>not_relevant</t>
        </is>
      </c>
      <c r="O165" t="inlineStr">
        <is>
          <t>not_relevant</t>
        </is>
      </c>
      <c r="P165" t="b">
        <v>1</v>
      </c>
    </row>
    <row r="166">
      <c r="A166" t="inlineStr">
        <is>
          <t>food charm gold</t>
        </is>
      </c>
      <c r="B166" t="inlineStr">
        <is>
          <t>food charm gold</t>
        </is>
      </c>
      <c r="C166" t="n">
        <v>1525862720</v>
      </c>
      <c r="D166">
        <f>HYPERLINK("https://www.etsy.com/listing/1525862720", "link")</f>
        <v/>
      </c>
      <c r="E166">
        <f>HYPERLINK("https://atlas.etsycorp.com/listing/1525862720/lookup", "link")</f>
        <v/>
      </c>
      <c r="F166" t="inlineStr">
        <is>
          <t>Slice of Cake Charm, Traditional Charm, Made from Solid Cast Yellow Gold, British Hallmarked</t>
        </is>
      </c>
      <c r="G166" t="inlineStr">
        <is>
          <t>EuVh21GPZV6_qpDqhRBFH5yeMd27</t>
        </is>
      </c>
      <c r="H166" t="inlineStr">
        <is>
          <t>web</t>
        </is>
      </c>
      <c r="I166" t="inlineStr">
        <is>
          <t>nl</t>
        </is>
      </c>
      <c r="J166" t="inlineStr">
        <is>
          <t>intl-nl</t>
        </is>
      </c>
      <c r="K166" t="b">
        <v>1</v>
      </c>
      <c r="L166" t="inlineStr">
        <is>
          <t>relevant</t>
        </is>
      </c>
      <c r="M166" t="inlineStr">
        <is>
          <t>relevant</t>
        </is>
      </c>
      <c r="N166" t="inlineStr">
        <is>
          <t>relevant</t>
        </is>
      </c>
      <c r="O166" t="inlineStr">
        <is>
          <t>partial</t>
        </is>
      </c>
      <c r="P166" t="b">
        <v>1</v>
      </c>
    </row>
    <row r="167">
      <c r="A167" t="inlineStr">
        <is>
          <t>madagascar lace leaf fish tank plant</t>
        </is>
      </c>
      <c r="B167" t="inlineStr"/>
      <c r="C167" t="n">
        <v>1086323617</v>
      </c>
      <c r="D167">
        <f>HYPERLINK("https://www.etsy.com/listing/1086323617", "link")</f>
        <v/>
      </c>
      <c r="E167">
        <f>HYPERLINK("https://atlas.etsycorp.com/listing/1086323617/lookup", "link")</f>
        <v/>
      </c>
      <c r="F167" t="inlineStr">
        <is>
          <t>Aquarium Live Plants - 5 to 50 stems Elodea Densa - Oxygenating Live Plant - Egeria Pond Weed, Tropical Coldwater Fish Tank Aquatic</t>
        </is>
      </c>
      <c r="G167" t="inlineStr">
        <is>
          <t>EukiUa3eKDTJGFrFXwBzxJkwXoda</t>
        </is>
      </c>
      <c r="H167" t="inlineStr">
        <is>
          <t>web</t>
        </is>
      </c>
      <c r="I167" t="inlineStr">
        <is>
          <t>en-US</t>
        </is>
      </c>
      <c r="J167" t="inlineStr">
        <is>
          <t>us_v2-direct_specified</t>
        </is>
      </c>
      <c r="K167" t="b">
        <v>1</v>
      </c>
      <c r="L167" t="inlineStr">
        <is>
          <t>partial</t>
        </is>
      </c>
      <c r="M167" t="inlineStr">
        <is>
          <t>partial</t>
        </is>
      </c>
      <c r="N167" t="inlineStr">
        <is>
          <t>partial</t>
        </is>
      </c>
      <c r="O167" t="inlineStr">
        <is>
          <t>partial</t>
        </is>
      </c>
      <c r="P167" t="b">
        <v>1</v>
      </c>
    </row>
    <row r="168">
      <c r="A168" t="inlineStr">
        <is>
          <t>miraculous ladybug stickers</t>
        </is>
      </c>
      <c r="B168" t="inlineStr">
        <is>
          <t>miraculous ladybug stickers</t>
        </is>
      </c>
      <c r="C168" t="n">
        <v>1354417767</v>
      </c>
      <c r="D168">
        <f>HYPERLINK("https://www.etsy.com/listing/1354417767", "link")</f>
        <v/>
      </c>
      <c r="E168">
        <f>HYPERLINK("https://atlas.etsycorp.com/listing/1354417767/lookup", "link")</f>
        <v/>
      </c>
      <c r="F168" t="inlineStr">
        <is>
          <t>CALAMITY BOX -  Free Shipping</t>
        </is>
      </c>
      <c r="G168" t="inlineStr">
        <is>
          <t>Eu6ynwnTsbTWehGAqPCXRmsiX_56</t>
        </is>
      </c>
      <c r="H168" t="inlineStr">
        <is>
          <t>boe</t>
        </is>
      </c>
      <c r="I168" t="inlineStr">
        <is>
          <t>de</t>
        </is>
      </c>
      <c r="J168" t="inlineStr">
        <is>
          <t>intl-de</t>
        </is>
      </c>
      <c r="K168" t="b">
        <v>1</v>
      </c>
      <c r="L168" t="inlineStr">
        <is>
          <t>not_relevant</t>
        </is>
      </c>
      <c r="M168" t="inlineStr">
        <is>
          <t>not_relevant</t>
        </is>
      </c>
      <c r="N168" t="inlineStr">
        <is>
          <t>not_relevant</t>
        </is>
      </c>
      <c r="O168" t="inlineStr">
        <is>
          <t>not_relevant</t>
        </is>
      </c>
      <c r="P168" t="b">
        <v>1</v>
      </c>
    </row>
    <row r="169">
      <c r="A169" t="inlineStr">
        <is>
          <t>acuity revamp</t>
        </is>
      </c>
      <c r="B169" t="inlineStr">
        <is>
          <t>acuity rev</t>
        </is>
      </c>
      <c r="C169" t="n">
        <v>1215057313</v>
      </c>
      <c r="D169">
        <f>HYPERLINK("https://www.etsy.com/listing/1215057313", "link")</f>
        <v/>
      </c>
      <c r="E169">
        <f>HYPERLINK("https://atlas.etsycorp.com/listing/1215057313/lookup", "link")</f>
        <v/>
      </c>
      <c r="F169" t="inlineStr">
        <is>
          <t>DIY Acuity Site Retro, Acuity Scheduling Template, Hair, Lash Tech, Nail Tech, Salon, Acuity Site Design, Beauty Instagram Content, Girly</t>
        </is>
      </c>
      <c r="G169" t="inlineStr">
        <is>
          <t>EuPPz-JLD5wFgz9UNVV2k86xsY0c</t>
        </is>
      </c>
      <c r="H169" t="inlineStr">
        <is>
          <t>web</t>
        </is>
      </c>
      <c r="I169" t="inlineStr">
        <is>
          <t>nl</t>
        </is>
      </c>
      <c r="J169" t="inlineStr">
        <is>
          <t>intl-nl</t>
        </is>
      </c>
      <c r="K169" t="b">
        <v>1</v>
      </c>
      <c r="L169" t="inlineStr">
        <is>
          <t>not_relevant</t>
        </is>
      </c>
      <c r="M169" t="inlineStr">
        <is>
          <t>not_relevant</t>
        </is>
      </c>
      <c r="N169" t="inlineStr">
        <is>
          <t>not_relevant</t>
        </is>
      </c>
      <c r="O169" t="inlineStr">
        <is>
          <t>partial</t>
        </is>
      </c>
      <c r="P169" t="b">
        <v>1</v>
      </c>
    </row>
    <row r="170">
      <c r="A170" t="inlineStr">
        <is>
          <t>ohrringe</t>
        </is>
      </c>
      <c r="B170" t="inlineStr">
        <is>
          <t>earrings</t>
        </is>
      </c>
      <c r="C170" t="n">
        <v>1330801431</v>
      </c>
      <c r="D170">
        <f>HYPERLINK("https://www.etsy.com/listing/1330801431", "link")</f>
        <v/>
      </c>
      <c r="E170">
        <f>HYPERLINK("https://atlas.etsycorp.com/listing/1330801431/lookup", "link")</f>
        <v/>
      </c>
      <c r="F170" t="inlineStr">
        <is>
          <t>Sea love earrings with turquoise gemstones* Spiritual jewelry*Hippie earrings*Surfer earrings</t>
        </is>
      </c>
      <c r="G170" t="inlineStr">
        <is>
          <t>EuKtdDMDKArSIRDqdGKRW4XXl01b</t>
        </is>
      </c>
      <c r="H170" t="inlineStr">
        <is>
          <t>web</t>
        </is>
      </c>
      <c r="I170" t="inlineStr">
        <is>
          <t>de</t>
        </is>
      </c>
      <c r="J170" t="inlineStr">
        <is>
          <t>intl-de</t>
        </is>
      </c>
      <c r="K170" t="b">
        <v>1</v>
      </c>
      <c r="L170" t="inlineStr">
        <is>
          <t>relevant</t>
        </is>
      </c>
      <c r="M170" t="inlineStr">
        <is>
          <t>relevant</t>
        </is>
      </c>
      <c r="N170" t="inlineStr">
        <is>
          <t>relevant</t>
        </is>
      </c>
      <c r="O170" t="inlineStr">
        <is>
          <t>relevant</t>
        </is>
      </c>
      <c r="P170" t="b">
        <v>1</v>
      </c>
    </row>
    <row r="171">
      <c r="A171" t="inlineStr">
        <is>
          <t>gifts for women</t>
        </is>
      </c>
      <c r="B171" t="inlineStr"/>
      <c r="C171" t="n">
        <v>1423289913</v>
      </c>
      <c r="D171">
        <f>HYPERLINK("https://www.etsy.com/listing/1423289913", "link")</f>
        <v/>
      </c>
      <c r="E171">
        <f>HYPERLINK("https://atlas.etsycorp.com/listing/1423289913/lookup", "link")</f>
        <v/>
      </c>
      <c r="F171" t="inlineStr">
        <is>
          <t>Personalised Best Friend Print, Best Friend Gift, Friendship Gift, Keepsake, Birthday Bestie Gifts, Birthday Gift for Her</t>
        </is>
      </c>
      <c r="G171" t="inlineStr">
        <is>
          <t>Eubc-6mBcMaxyQjvwX-APl1jwbb2</t>
        </is>
      </c>
      <c r="H171" t="inlineStr">
        <is>
          <t>boe</t>
        </is>
      </c>
      <c r="I171" t="inlineStr">
        <is>
          <t>en-GB</t>
        </is>
      </c>
      <c r="J171" t="inlineStr">
        <is>
          <t>us_v2-gift</t>
        </is>
      </c>
      <c r="K171" t="b">
        <v>1</v>
      </c>
      <c r="L171" t="inlineStr">
        <is>
          <t>not_relevant</t>
        </is>
      </c>
      <c r="M171" t="inlineStr">
        <is>
          <t>not_relevant</t>
        </is>
      </c>
      <c r="N171" t="inlineStr">
        <is>
          <t>relevant</t>
        </is>
      </c>
      <c r="O171" t="inlineStr">
        <is>
          <t>not_relevant</t>
        </is>
      </c>
      <c r="P171" t="b">
        <v>1</v>
      </c>
    </row>
    <row r="172">
      <c r="A172" t="inlineStr">
        <is>
          <t>unique gifts for her</t>
        </is>
      </c>
      <c r="B172" t="inlineStr"/>
      <c r="C172" t="n">
        <v>1670022097</v>
      </c>
      <c r="D172">
        <f>HYPERLINK("https://www.etsy.com/listing/1670022097", "link")</f>
        <v/>
      </c>
      <c r="E172">
        <f>HYPERLINK("https://atlas.etsycorp.com/listing/1670022097/lookup", "link")</f>
        <v/>
      </c>
      <c r="F172" t="inlineStr">
        <is>
          <t>Small brass contemporary ring, Statement Unique Jewellery, Oval shaped artsy ring, Handcrafted Textured Ring for Her, Minimalist Modern Ring</t>
        </is>
      </c>
      <c r="G172" t="inlineStr">
        <is>
          <t>Euao8J8mQlKUea0NbP3Q4a__bu61</t>
        </is>
      </c>
      <c r="H172" t="inlineStr">
        <is>
          <t>boe</t>
        </is>
      </c>
      <c r="I172" t="inlineStr">
        <is>
          <t>en-US</t>
        </is>
      </c>
      <c r="J172" t="inlineStr">
        <is>
          <t>us_v2-broad</t>
        </is>
      </c>
      <c r="K172" t="b">
        <v>1</v>
      </c>
      <c r="L172" t="inlineStr">
        <is>
          <t>relevant</t>
        </is>
      </c>
      <c r="M172" t="inlineStr">
        <is>
          <t>relevant</t>
        </is>
      </c>
      <c r="N172" t="inlineStr">
        <is>
          <t>relevant</t>
        </is>
      </c>
      <c r="O172" t="inlineStr">
        <is>
          <t>relevant</t>
        </is>
      </c>
      <c r="P172" t="b">
        <v>1</v>
      </c>
    </row>
    <row r="173">
      <c r="A173" t="inlineStr">
        <is>
          <t>piercing ear</t>
        </is>
      </c>
      <c r="B173" t="inlineStr">
        <is>
          <t>ear piercing</t>
        </is>
      </c>
      <c r="C173" t="n">
        <v>1312983627</v>
      </c>
      <c r="D173">
        <f>HYPERLINK("https://www.etsy.com/listing/1312983627", "link")</f>
        <v/>
      </c>
      <c r="E173">
        <f>HYPERLINK("https://atlas.etsycorp.com/listing/1312983627/lookup", "link")</f>
        <v/>
      </c>
      <c r="F173" t="inlineStr">
        <is>
          <t>Huggie Hoop Earrings • gold helix hoop • cartilage hoop • hoop earrings • silver hoop • gold hoop • small helix hoop</t>
        </is>
      </c>
      <c r="G173" t="inlineStr">
        <is>
          <t>Eup4iLForHT3BkYUxtGyofErr9af</t>
        </is>
      </c>
      <c r="H173" t="inlineStr">
        <is>
          <t>boe</t>
        </is>
      </c>
      <c r="I173" t="inlineStr">
        <is>
          <t>es</t>
        </is>
      </c>
      <c r="J173" t="inlineStr">
        <is>
          <t>intl-es</t>
        </is>
      </c>
      <c r="K173" t="b">
        <v>1</v>
      </c>
      <c r="L173" t="inlineStr">
        <is>
          <t>relevant</t>
        </is>
      </c>
      <c r="M173" t="inlineStr">
        <is>
          <t>relevant</t>
        </is>
      </c>
      <c r="N173" t="inlineStr">
        <is>
          <t>relevant</t>
        </is>
      </c>
      <c r="O173" t="inlineStr">
        <is>
          <t>relevant</t>
        </is>
      </c>
      <c r="P173" t="b">
        <v>1</v>
      </c>
    </row>
    <row r="174">
      <c r="A174" t="inlineStr">
        <is>
          <t>wish disney</t>
        </is>
      </c>
      <c r="B174" t="inlineStr">
        <is>
          <t>wish disney</t>
        </is>
      </c>
      <c r="C174" t="n">
        <v>1766312745</v>
      </c>
      <c r="D174">
        <f>HYPERLINK("https://www.etsy.com/listing/1766312745", "link")</f>
        <v/>
      </c>
      <c r="E174">
        <f>HYPERLINK("https://atlas.etsycorp.com/listing/1766312745/lookup", "link")</f>
        <v/>
      </c>
      <c r="F174" t="inlineStr">
        <is>
          <t>Asha Inspired Wish 3D Cosplay Costume Skater Dress, Wish Movie And Dress, Asha Wish Mom Daughter Dress, Asha Dress, Wish Dress Gift</t>
        </is>
      </c>
      <c r="G174" t="inlineStr">
        <is>
          <t>EueZdFaDT2z_J0ApfsLmE3y-Qh2d</t>
        </is>
      </c>
      <c r="H174" t="inlineStr">
        <is>
          <t>boe</t>
        </is>
      </c>
      <c r="I174" t="inlineStr">
        <is>
          <t>fr</t>
        </is>
      </c>
      <c r="J174" t="inlineStr">
        <is>
          <t>intl-fr</t>
        </is>
      </c>
      <c r="K174" t="b">
        <v>1</v>
      </c>
      <c r="L174" t="inlineStr">
        <is>
          <t>not_relevant</t>
        </is>
      </c>
      <c r="M174" t="inlineStr">
        <is>
          <t>relevant</t>
        </is>
      </c>
      <c r="N174" t="inlineStr">
        <is>
          <t>not_relevant</t>
        </is>
      </c>
      <c r="O174" t="inlineStr">
        <is>
          <t>not_relevant</t>
        </is>
      </c>
      <c r="P174" t="b">
        <v>1</v>
      </c>
    </row>
    <row r="175">
      <c r="A175" t="inlineStr">
        <is>
          <t>shepards journal atlantis</t>
        </is>
      </c>
      <c r="B175" t="inlineStr"/>
      <c r="C175" t="n">
        <v>1557334924</v>
      </c>
      <c r="D175">
        <f>HYPERLINK("https://www.etsy.com/listing/1557334924", "link")</f>
        <v/>
      </c>
      <c r="E175">
        <f>HYPERLINK("https://atlas.etsycorp.com/listing/1557334924/lookup", "link")</f>
        <v/>
      </c>
      <c r="F175" t="inlineStr">
        <is>
          <t>Tree of Life Leather Journal - Antique Handmade Deckle Edge Vintage Paper Leather Print Bound Journal - Book of Shadows Journal</t>
        </is>
      </c>
      <c r="G175" t="inlineStr">
        <is>
          <t>EuFgk2aXuYac8z_zrff0zc50PKe1</t>
        </is>
      </c>
      <c r="H175" t="inlineStr">
        <is>
          <t>web</t>
        </is>
      </c>
      <c r="I175" t="inlineStr">
        <is>
          <t>en-US</t>
        </is>
      </c>
      <c r="J175" t="inlineStr">
        <is>
          <t>us_v2-broad</t>
        </is>
      </c>
      <c r="K175" t="b">
        <v>1</v>
      </c>
      <c r="L175" t="inlineStr">
        <is>
          <t>partial</t>
        </is>
      </c>
      <c r="M175" t="inlineStr">
        <is>
          <t>partial</t>
        </is>
      </c>
      <c r="N175" t="inlineStr">
        <is>
          <t>partial</t>
        </is>
      </c>
      <c r="O175" t="inlineStr">
        <is>
          <t>partial</t>
        </is>
      </c>
      <c r="P175" t="b">
        <v>1</v>
      </c>
    </row>
    <row r="176">
      <c r="A176" t="inlineStr">
        <is>
          <t>Canada outfit</t>
        </is>
      </c>
      <c r="B176" t="inlineStr"/>
      <c r="C176" t="n">
        <v>1658415612</v>
      </c>
      <c r="D176">
        <f>HYPERLINK("https://www.etsy.com/listing/1658415612", "link")</f>
        <v/>
      </c>
      <c r="E176">
        <f>HYPERLINK("https://atlas.etsycorp.com/listing/1658415612/lookup", "link")</f>
        <v/>
      </c>
      <c r="F176" t="inlineStr">
        <is>
          <t>Vintage Style, Skiing Hoody, Skiing Hoodie, Skiing Shirt, Apres Ski, Ski Outfit, Ski Trip, Ski Holiday, Ski Print, Vacation Sweater - Canada</t>
        </is>
      </c>
      <c r="G176" t="inlineStr">
        <is>
          <t>EuhiFTRMX7f4hg-7INq3K0V-w109</t>
        </is>
      </c>
      <c r="H176" t="inlineStr">
        <is>
          <t>boe</t>
        </is>
      </c>
      <c r="I176" t="inlineStr">
        <is>
          <t>en-GB</t>
        </is>
      </c>
      <c r="J176" t="inlineStr">
        <is>
          <t>us_v2-direct_unspecified</t>
        </is>
      </c>
      <c r="K176" t="b">
        <v>1</v>
      </c>
      <c r="L176" t="inlineStr">
        <is>
          <t>relevant</t>
        </is>
      </c>
      <c r="M176" t="inlineStr">
        <is>
          <t>relevant</t>
        </is>
      </c>
      <c r="N176" t="inlineStr">
        <is>
          <t>relevant</t>
        </is>
      </c>
      <c r="O176" t="inlineStr">
        <is>
          <t>relevant</t>
        </is>
      </c>
      <c r="P176" t="b">
        <v>1</v>
      </c>
    </row>
    <row r="177">
      <c r="A177" t="inlineStr">
        <is>
          <t>final fantasy cookie</t>
        </is>
      </c>
      <c r="B177" t="inlineStr">
        <is>
          <t>final fantasy cookie</t>
        </is>
      </c>
      <c r="C177" t="n">
        <v>1398367160</v>
      </c>
      <c r="D177">
        <f>HYPERLINK("https://www.etsy.com/listing/1398367160", "link")</f>
        <v/>
      </c>
      <c r="E177">
        <f>HYPERLINK("https://atlas.etsycorp.com/listing/1398367160/lookup", "link")</f>
        <v/>
      </c>
      <c r="F177" t="inlineStr">
        <is>
          <t>Moogle Chocolate Mold | Final Fantasy Valentine&amp;#39;s Chocolate Mold</t>
        </is>
      </c>
      <c r="G177" t="inlineStr">
        <is>
          <t>Euss7Q4KSsME3_qASdg9XG2z2B5c</t>
        </is>
      </c>
      <c r="H177" t="inlineStr">
        <is>
          <t>web</t>
        </is>
      </c>
      <c r="I177" t="inlineStr">
        <is>
          <t>fr</t>
        </is>
      </c>
      <c r="J177" t="inlineStr">
        <is>
          <t>intl-fr</t>
        </is>
      </c>
      <c r="K177" t="b">
        <v>1</v>
      </c>
      <c r="L177" t="inlineStr">
        <is>
          <t>partial</t>
        </is>
      </c>
      <c r="M177" t="inlineStr">
        <is>
          <t>partial</t>
        </is>
      </c>
      <c r="N177" t="inlineStr">
        <is>
          <t>partial</t>
        </is>
      </c>
      <c r="O177" t="inlineStr">
        <is>
          <t>partial</t>
        </is>
      </c>
      <c r="P177" t="b">
        <v>1</v>
      </c>
    </row>
    <row r="178">
      <c r="A178" t="inlineStr">
        <is>
          <t>card holder for cruise</t>
        </is>
      </c>
      <c r="B178" t="inlineStr"/>
      <c r="C178" t="n">
        <v>918070469</v>
      </c>
      <c r="D178">
        <f>HYPERLINK("https://www.etsy.com/listing/918070469", "link")</f>
        <v/>
      </c>
      <c r="E178">
        <f>HYPERLINK("https://atlas.etsycorp.com/listing/918070469/lookup", "link")</f>
        <v/>
      </c>
      <c r="F178" t="inlineStr">
        <is>
          <t>Silicone Wallet - stick on wallet - phone wallet - silicone - self adhesive - Cruise - Keep Calm and Cruise On - NCL - Royal Caribbean</t>
        </is>
      </c>
      <c r="G178" t="inlineStr">
        <is>
          <t>Eu23XtJXA94Ygx8qRe_cqS-M-Mb6</t>
        </is>
      </c>
      <c r="H178" t="inlineStr">
        <is>
          <t>web</t>
        </is>
      </c>
      <c r="I178" t="inlineStr">
        <is>
          <t>en-US</t>
        </is>
      </c>
      <c r="J178" t="inlineStr">
        <is>
          <t>us_v2-direct_unspecified</t>
        </is>
      </c>
      <c r="K178" t="b">
        <v>1</v>
      </c>
      <c r="L178" t="inlineStr">
        <is>
          <t>partial</t>
        </is>
      </c>
      <c r="M178" t="inlineStr">
        <is>
          <t>partial</t>
        </is>
      </c>
      <c r="N178" t="inlineStr">
        <is>
          <t>partial</t>
        </is>
      </c>
      <c r="O178" t="inlineStr">
        <is>
          <t>partial</t>
        </is>
      </c>
      <c r="P178" t="b">
        <v>1</v>
      </c>
    </row>
    <row r="179">
      <c r="A179" t="inlineStr">
        <is>
          <t>starbucksparty decorations</t>
        </is>
      </c>
      <c r="B179" t="inlineStr"/>
      <c r="C179" t="n">
        <v>1514466640</v>
      </c>
      <c r="D179">
        <f>HYPERLINK("https://www.etsy.com/listing/1514466640", "link")</f>
        <v/>
      </c>
      <c r="E179">
        <f>HYPERLINK("https://atlas.etsycorp.com/listing/1514466640/lookup", "link")</f>
        <v/>
      </c>
      <c r="F179" t="inlineStr">
        <is>
          <t>READY TO SHIP Books Cupcake Toppers / Glitter Books Cupcake Toppers / Custom Toppers / Reading / Book Lover / Fiction / Non-Fiction</t>
        </is>
      </c>
      <c r="G179" t="inlineStr">
        <is>
          <t>Eu9MW-1bOJSVY6aCoq_0w_w-CY12</t>
        </is>
      </c>
      <c r="H179" t="inlineStr">
        <is>
          <t>web</t>
        </is>
      </c>
      <c r="I179" t="inlineStr">
        <is>
          <t>en-US</t>
        </is>
      </c>
      <c r="J179" t="inlineStr">
        <is>
          <t>us_v2-broad</t>
        </is>
      </c>
      <c r="K179" t="b">
        <v>1</v>
      </c>
      <c r="L179" t="inlineStr">
        <is>
          <t>not_relevant</t>
        </is>
      </c>
      <c r="M179" t="inlineStr">
        <is>
          <t>not_relevant</t>
        </is>
      </c>
      <c r="N179" t="inlineStr">
        <is>
          <t>not_relevant</t>
        </is>
      </c>
      <c r="O179" t="inlineStr">
        <is>
          <t>not_relevant</t>
        </is>
      </c>
      <c r="P179" t="b">
        <v>1</v>
      </c>
    </row>
    <row r="180">
      <c r="A180" t="inlineStr">
        <is>
          <t>Motorcycle leather jacket</t>
        </is>
      </c>
      <c r="B180" t="inlineStr">
        <is>
          <t>Bikerjacke</t>
        </is>
      </c>
      <c r="C180" t="n">
        <v>1504047706</v>
      </c>
      <c r="D180">
        <f>HYPERLINK("https://www.etsy.com/listing/1504047706", "link")</f>
        <v/>
      </c>
      <c r="E180">
        <f>HYPERLINK("https://atlas.etsycorp.com/listing/1504047706/lookup", "link")</f>
        <v/>
      </c>
      <c r="F180" t="inlineStr">
        <is>
          <t>Suzuki Gsxr Motorbike Racing Leather Jacket-Cowhide Leather And Certified Protectors-Free Shipping</t>
        </is>
      </c>
      <c r="G180" t="inlineStr">
        <is>
          <t>Eu5xScK8ezjSUORa9CwjBF9hmd9e</t>
        </is>
      </c>
      <c r="H180" t="inlineStr">
        <is>
          <t>boe</t>
        </is>
      </c>
      <c r="I180" t="inlineStr">
        <is>
          <t>de</t>
        </is>
      </c>
      <c r="J180" t="inlineStr">
        <is>
          <t>intl-de</t>
        </is>
      </c>
      <c r="K180" t="b">
        <v>1</v>
      </c>
      <c r="L180" t="inlineStr">
        <is>
          <t>relevant</t>
        </is>
      </c>
      <c r="M180" t="inlineStr">
        <is>
          <t>relevant</t>
        </is>
      </c>
      <c r="N180" t="inlineStr">
        <is>
          <t>relevant</t>
        </is>
      </c>
      <c r="O180" t="inlineStr">
        <is>
          <t>relevant</t>
        </is>
      </c>
      <c r="P180" t="b">
        <v>1</v>
      </c>
    </row>
    <row r="181">
      <c r="A181" t="inlineStr">
        <is>
          <t>vitage fischer</t>
        </is>
      </c>
      <c r="B181" t="inlineStr">
        <is>
          <t>vitage fischer</t>
        </is>
      </c>
      <c r="C181" t="n">
        <v>1438011270</v>
      </c>
      <c r="D181">
        <f>HYPERLINK("https://www.etsy.com/listing/1438011270", "link")</f>
        <v/>
      </c>
      <c r="E181">
        <f>HYPERLINK("https://atlas.etsycorp.com/listing/1438011270/lookup", "link")</f>
        <v/>
      </c>
      <c r="F181" t="inlineStr">
        <is>
          <t>Fishing Lures for Anglers &amp; Fishermen | men | 7 motifs | Bait wobblers for fishermen | Grandpa, dad, fishing gifts, birthday, father&amp;#39;s day</t>
        </is>
      </c>
      <c r="G181" t="inlineStr">
        <is>
          <t>EuiZIMfcG1WdgY45iGZikrMmrAa7</t>
        </is>
      </c>
      <c r="H181" t="inlineStr">
        <is>
          <t>web</t>
        </is>
      </c>
      <c r="I181" t="inlineStr">
        <is>
          <t>de</t>
        </is>
      </c>
      <c r="J181" t="inlineStr">
        <is>
          <t>intl-de</t>
        </is>
      </c>
      <c r="K181" t="b">
        <v>1</v>
      </c>
      <c r="L181" t="inlineStr">
        <is>
          <t>not_relevant</t>
        </is>
      </c>
      <c r="M181" t="inlineStr">
        <is>
          <t>relevant</t>
        </is>
      </c>
      <c r="N181" t="inlineStr">
        <is>
          <t>not_relevant</t>
        </is>
      </c>
      <c r="O181" t="inlineStr">
        <is>
          <t>not_relevant</t>
        </is>
      </c>
      <c r="P181" t="b">
        <v>1</v>
      </c>
    </row>
    <row r="182">
      <c r="A182" t="inlineStr">
        <is>
          <t>gifts for kids</t>
        </is>
      </c>
      <c r="B182" t="inlineStr"/>
      <c r="C182" t="n">
        <v>1216084766</v>
      </c>
      <c r="D182">
        <f>HYPERLINK("https://www.etsy.com/listing/1216084766", "link")</f>
        <v/>
      </c>
      <c r="E182">
        <f>HYPERLINK("https://atlas.etsycorp.com/listing/1216084766/lookup", "link")</f>
        <v/>
      </c>
      <c r="F182" t="inlineStr">
        <is>
          <t>Love Story Quote Leather Bookmark | 3rd Anniversary Gift | Husband and Wife Gift | Wedding Small Present | Gift Ideas</t>
        </is>
      </c>
      <c r="G182" t="inlineStr">
        <is>
          <t>EuR-XoQATWSPeKsnKHmhia27y5f9</t>
        </is>
      </c>
      <c r="H182" t="inlineStr">
        <is>
          <t>boe</t>
        </is>
      </c>
      <c r="I182" t="inlineStr">
        <is>
          <t>en-US</t>
        </is>
      </c>
      <c r="J182" t="inlineStr">
        <is>
          <t>us_v2-gift</t>
        </is>
      </c>
      <c r="K182" t="b">
        <v>1</v>
      </c>
      <c r="L182" t="inlineStr">
        <is>
          <t>not_relevant</t>
        </is>
      </c>
      <c r="M182" t="inlineStr">
        <is>
          <t>not_relevant</t>
        </is>
      </c>
      <c r="N182" t="inlineStr">
        <is>
          <t>not_relevant</t>
        </is>
      </c>
      <c r="O182" t="inlineStr">
        <is>
          <t>not_relevant</t>
        </is>
      </c>
      <c r="P182" t="b">
        <v>1</v>
      </c>
    </row>
    <row r="183">
      <c r="A183" t="inlineStr">
        <is>
          <t>linux tux plush</t>
        </is>
      </c>
      <c r="B183" t="inlineStr"/>
      <c r="C183" t="n">
        <v>1418189204</v>
      </c>
      <c r="D183">
        <f>HYPERLINK("https://www.etsy.com/listing/1418189204", "link")</f>
        <v/>
      </c>
      <c r="E183">
        <f>HYPERLINK("https://atlas.etsycorp.com/listing/1418189204/lookup", "link")</f>
        <v/>
      </c>
      <c r="F183" t="inlineStr">
        <is>
          <t>Programmer Hourly Rate - Engraved Stainless Steel Tumbler, Funny Gift, Engraved Mug, Personalized Computer Tumbler Gift, Office Party Gift</t>
        </is>
      </c>
      <c r="G183" t="inlineStr">
        <is>
          <t>Euc5muUSUX302nB5iOOYBeQ-PB3a</t>
        </is>
      </c>
      <c r="H183" t="inlineStr">
        <is>
          <t>boe</t>
        </is>
      </c>
      <c r="I183" t="inlineStr">
        <is>
          <t>en-US</t>
        </is>
      </c>
      <c r="J183" t="inlineStr">
        <is>
          <t>us_v2-direct_specified</t>
        </is>
      </c>
      <c r="K183" t="b">
        <v>1</v>
      </c>
      <c r="L183" t="inlineStr">
        <is>
          <t>not_relevant</t>
        </is>
      </c>
      <c r="M183" t="inlineStr">
        <is>
          <t>not_relevant</t>
        </is>
      </c>
      <c r="N183" t="inlineStr">
        <is>
          <t>not_relevant</t>
        </is>
      </c>
      <c r="O183" t="inlineStr">
        <is>
          <t>not_relevant</t>
        </is>
      </c>
      <c r="P183" t="b">
        <v>1</v>
      </c>
    </row>
    <row r="184">
      <c r="A184" t="inlineStr">
        <is>
          <t>storage shelves for totes</t>
        </is>
      </c>
      <c r="B184" t="inlineStr"/>
      <c r="C184" t="n">
        <v>1292262218</v>
      </c>
      <c r="D184">
        <f>HYPERLINK("https://www.etsy.com/listing/1292262218", "link")</f>
        <v/>
      </c>
      <c r="E184">
        <f>HYPERLINK("https://atlas.etsycorp.com/listing/1292262218/lookup", "link")</f>
        <v/>
      </c>
      <c r="F184" t="inlineStr">
        <is>
          <t>4 Sets of Garage Hangers to Organize Your Yard Tools (3D Printed) Choose Your Color</t>
        </is>
      </c>
      <c r="G184" t="inlineStr">
        <is>
          <t>EuezdCXxuwqc9vd-BZdBDKC83Y46</t>
        </is>
      </c>
      <c r="H184" t="inlineStr">
        <is>
          <t>web</t>
        </is>
      </c>
      <c r="I184" t="inlineStr">
        <is>
          <t>en-US</t>
        </is>
      </c>
      <c r="J184" t="inlineStr">
        <is>
          <t>us_v2-direct_unspecified</t>
        </is>
      </c>
      <c r="K184" t="b">
        <v>1</v>
      </c>
      <c r="L184" t="inlineStr">
        <is>
          <t>not_relevant</t>
        </is>
      </c>
      <c r="M184" t="inlineStr">
        <is>
          <t>not_relevant</t>
        </is>
      </c>
      <c r="N184" t="inlineStr">
        <is>
          <t>not_relevant</t>
        </is>
      </c>
      <c r="O184" t="inlineStr">
        <is>
          <t>not_relevant</t>
        </is>
      </c>
      <c r="P184" t="b">
        <v>1</v>
      </c>
    </row>
    <row r="185">
      <c r="A185" t="inlineStr">
        <is>
          <t>watercolor lisbon</t>
        </is>
      </c>
      <c r="B185" t="inlineStr">
        <is>
          <t>watercolor lisbon</t>
        </is>
      </c>
      <c r="C185" t="n">
        <v>1491366396</v>
      </c>
      <c r="D185">
        <f>HYPERLINK("https://www.etsy.com/listing/1491366396", "link")</f>
        <v/>
      </c>
      <c r="E185">
        <f>HYPERLINK("https://atlas.etsycorp.com/listing/1491366396/lookup", "link")</f>
        <v/>
      </c>
      <c r="F185" t="inlineStr">
        <is>
          <t>Lisbon Alfama Illustration, Printable Wall Art, City Art, Instant art, DIGITAL DOWNLOAD</t>
        </is>
      </c>
      <c r="G185" t="inlineStr">
        <is>
          <t>EumYezodOjosavmsjjT6EiLrOXbf</t>
        </is>
      </c>
      <c r="H185" t="inlineStr">
        <is>
          <t>boe</t>
        </is>
      </c>
      <c r="I185" t="inlineStr">
        <is>
          <t>pt</t>
        </is>
      </c>
      <c r="J185" t="inlineStr">
        <is>
          <t>intl-pt</t>
        </is>
      </c>
      <c r="K185" t="b">
        <v>1</v>
      </c>
      <c r="L185" t="inlineStr">
        <is>
          <t>relevant</t>
        </is>
      </c>
      <c r="M185" t="inlineStr">
        <is>
          <t>relevant</t>
        </is>
      </c>
      <c r="N185" t="inlineStr">
        <is>
          <t>relevant</t>
        </is>
      </c>
      <c r="O185" t="inlineStr">
        <is>
          <t>relevant</t>
        </is>
      </c>
      <c r="P185" t="b">
        <v>1</v>
      </c>
    </row>
    <row r="186">
      <c r="A186" t="inlineStr">
        <is>
          <t>FIRST DISNEY TRIP DAD</t>
        </is>
      </c>
      <c r="B186" t="inlineStr"/>
      <c r="C186" t="n">
        <v>1378419918</v>
      </c>
      <c r="D186">
        <f>HYPERLINK("https://www.etsy.com/listing/1378419918", "link")</f>
        <v/>
      </c>
      <c r="E186">
        <f>HYPERLINK("https://atlas.etsycorp.com/listing/1378419918/lookup", "link")</f>
        <v/>
      </c>
      <c r="F186" t="inlineStr">
        <is>
          <t>My First Disney Trip Shirt, 2024 First Disney Trip, Couple 2024 Shirt, Matching Disney Family Shirt, Minnie Mickey Disney Trip 2024 T-shirt</t>
        </is>
      </c>
      <c r="G186" t="inlineStr">
        <is>
          <t>Euf8xVYjbmtHpWDjYSHc26cJ_6f4</t>
        </is>
      </c>
      <c r="H186" t="inlineStr">
        <is>
          <t>web</t>
        </is>
      </c>
      <c r="I186" t="inlineStr">
        <is>
          <t>en-US</t>
        </is>
      </c>
      <c r="J186" t="inlineStr">
        <is>
          <t>us_v2-broad</t>
        </is>
      </c>
      <c r="K186" t="b">
        <v>1</v>
      </c>
      <c r="L186" t="inlineStr">
        <is>
          <t>partial</t>
        </is>
      </c>
      <c r="M186" t="inlineStr">
        <is>
          <t>partial</t>
        </is>
      </c>
      <c r="N186" t="inlineStr">
        <is>
          <t>relevant</t>
        </is>
      </c>
      <c r="O186" t="inlineStr">
        <is>
          <t>partial</t>
        </is>
      </c>
      <c r="P186" t="b">
        <v>1</v>
      </c>
    </row>
    <row r="187">
      <c r="A187" t="inlineStr">
        <is>
          <t>vintage rabbit decor</t>
        </is>
      </c>
      <c r="B187" t="inlineStr"/>
      <c r="C187" t="n">
        <v>118335551</v>
      </c>
      <c r="D187">
        <f>HYPERLINK("https://www.etsy.com/listing/118335551", "link")</f>
        <v/>
      </c>
      <c r="E187">
        <f>HYPERLINK("https://atlas.etsycorp.com/listing/118335551/lookup", "link")</f>
        <v/>
      </c>
      <c r="F187" t="inlineStr">
        <is>
          <t>Rabbit, Happy Easter,  Digital Image Download Sheet, Transfer To Pillows ,Burlap Bag, or Print on paper 020</t>
        </is>
      </c>
      <c r="G187" t="inlineStr">
        <is>
          <t>EuW1sxDFWOE70t4_tUYWA-VOl44a</t>
        </is>
      </c>
      <c r="H187" t="inlineStr">
        <is>
          <t>boe</t>
        </is>
      </c>
      <c r="I187" t="inlineStr">
        <is>
          <t>en-US</t>
        </is>
      </c>
      <c r="J187" t="inlineStr">
        <is>
          <t>us_v2-broad</t>
        </is>
      </c>
      <c r="K187" t="b">
        <v>1</v>
      </c>
      <c r="L187" t="inlineStr">
        <is>
          <t>relevant</t>
        </is>
      </c>
      <c r="M187" t="inlineStr">
        <is>
          <t>relevant</t>
        </is>
      </c>
      <c r="N187" t="inlineStr">
        <is>
          <t>partial</t>
        </is>
      </c>
      <c r="O187" t="inlineStr">
        <is>
          <t>relevant</t>
        </is>
      </c>
      <c r="P187" t="b">
        <v>1</v>
      </c>
    </row>
    <row r="188">
      <c r="A188" t="inlineStr">
        <is>
          <t>Coffee &amp; Tea BLOSSOM tea - Nordic blend,...</t>
        </is>
      </c>
      <c r="B188" t="inlineStr"/>
      <c r="C188" t="n">
        <v>1176050264</v>
      </c>
      <c r="D188">
        <f>HYPERLINK("https://www.etsy.com/listing/1176050264", "link")</f>
        <v/>
      </c>
      <c r="E188">
        <f>HYPERLINK("https://atlas.etsycorp.com/listing/1176050264/lookup", "link")</f>
        <v/>
      </c>
      <c r="F188" t="inlineStr">
        <is>
          <t>Organic Loose Leaf Tea Sampler. Choose from a variety of Green, Black, and White Teas. Straight from our farm to your cup!</t>
        </is>
      </c>
      <c r="G188" t="inlineStr">
        <is>
          <t>Eu_lj6R9NNhF4UlU9cLv1ATub2b1</t>
        </is>
      </c>
      <c r="H188" t="inlineStr">
        <is>
          <t>web</t>
        </is>
      </c>
      <c r="I188" t="inlineStr">
        <is>
          <t>en-US</t>
        </is>
      </c>
      <c r="J188" t="inlineStr">
        <is>
          <t>us_v2-direct_specified</t>
        </is>
      </c>
      <c r="K188" t="b">
        <v>1</v>
      </c>
      <c r="L188" t="inlineStr">
        <is>
          <t>partial</t>
        </is>
      </c>
      <c r="M188" t="inlineStr">
        <is>
          <t>partial</t>
        </is>
      </c>
      <c r="N188" t="inlineStr">
        <is>
          <t>partial</t>
        </is>
      </c>
      <c r="O188" t="inlineStr">
        <is>
          <t>partial</t>
        </is>
      </c>
      <c r="P188" t="b">
        <v>1</v>
      </c>
    </row>
    <row r="189">
      <c r="A189" t="inlineStr">
        <is>
          <t>pendurar puxador</t>
        </is>
      </c>
      <c r="B189" t="inlineStr">
        <is>
          <t>hang handle</t>
        </is>
      </c>
      <c r="C189" t="n">
        <v>1084551110</v>
      </c>
      <c r="D189">
        <f>HYPERLINK("https://www.etsy.com/listing/1084551110", "link")</f>
        <v/>
      </c>
      <c r="E189">
        <f>HYPERLINK("https://atlas.etsycorp.com/listing/1084551110/lookup", "link")</f>
        <v/>
      </c>
      <c r="F189" t="inlineStr">
        <is>
          <t>Pratikpen Ruling R15 Calligraphy Pen | Modern Writing Journaling technical art  professionals unique design handle ink dip nib</t>
        </is>
      </c>
      <c r="G189" t="inlineStr">
        <is>
          <t>EuErvFNHbrqIRnJ0kuJMDvPWhH72</t>
        </is>
      </c>
      <c r="H189" t="inlineStr">
        <is>
          <t>boe</t>
        </is>
      </c>
      <c r="I189" t="inlineStr">
        <is>
          <t>pt</t>
        </is>
      </c>
      <c r="J189" t="inlineStr">
        <is>
          <t>intl-pt</t>
        </is>
      </c>
      <c r="K189" t="b">
        <v>1</v>
      </c>
      <c r="L189" t="inlineStr">
        <is>
          <t>not_relevant</t>
        </is>
      </c>
      <c r="M189" t="inlineStr">
        <is>
          <t>not_relevant</t>
        </is>
      </c>
      <c r="N189" t="inlineStr">
        <is>
          <t>not_relevant</t>
        </is>
      </c>
      <c r="O189" t="inlineStr">
        <is>
          <t>relevant</t>
        </is>
      </c>
      <c r="P189" t="b">
        <v>1</v>
      </c>
    </row>
    <row r="190">
      <c r="A190" t="inlineStr">
        <is>
          <t>stanley cup</t>
        </is>
      </c>
      <c r="B190" t="inlineStr"/>
      <c r="C190" t="n">
        <v>1593045421</v>
      </c>
      <c r="D190">
        <f>HYPERLINK("https://www.etsy.com/listing/1593045421", "link")</f>
        <v/>
      </c>
      <c r="E190">
        <f>HYPERLINK("https://atlas.etsycorp.com/listing/1593045421/lookup", "link")</f>
        <v/>
      </c>
      <c r="F190" t="inlineStr">
        <is>
          <t>WAFFLE WHITE Silicone Boot Bumper Sleeve for Tumblers</t>
        </is>
      </c>
      <c r="G190" t="inlineStr">
        <is>
          <t>EuFQp5A2RpihNddBQXREOkhjRU8b</t>
        </is>
      </c>
      <c r="H190" t="inlineStr">
        <is>
          <t>web</t>
        </is>
      </c>
      <c r="I190" t="inlineStr">
        <is>
          <t>en-US</t>
        </is>
      </c>
      <c r="J190" t="inlineStr">
        <is>
          <t>us_v2-direct_unspecified</t>
        </is>
      </c>
      <c r="K190" t="b">
        <v>1</v>
      </c>
      <c r="L190" t="inlineStr">
        <is>
          <t>partial</t>
        </is>
      </c>
      <c r="M190" t="inlineStr">
        <is>
          <t>partial</t>
        </is>
      </c>
      <c r="N190" t="inlineStr">
        <is>
          <t>partial</t>
        </is>
      </c>
      <c r="O190" t="inlineStr">
        <is>
          <t>not_relevant</t>
        </is>
      </c>
      <c r="P190" t="b">
        <v>1</v>
      </c>
    </row>
    <row r="191">
      <c r="A191" t="inlineStr">
        <is>
          <t>45 long Colt single action revolver holster</t>
        </is>
      </c>
      <c r="B191" t="inlineStr"/>
      <c r="C191" t="n">
        <v>1046061990</v>
      </c>
      <c r="D191">
        <f>HYPERLINK("https://www.etsy.com/listing/1046061990", "link")</f>
        <v/>
      </c>
      <c r="E191">
        <f>HYPERLINK("https://atlas.etsycorp.com/listing/1046061990/lookup", "link")</f>
        <v/>
      </c>
      <c r="F191" t="inlineStr">
        <is>
          <t>K0103 Leather Single and Double Speedloader Pouch with Belt Loop For 357 Magnum Smith&amp;Wesson and Similar Revolvers Handmade!</t>
        </is>
      </c>
      <c r="G191" t="inlineStr">
        <is>
          <t>EuALKQ8gTPT83g2HXLsN3WfjAC38</t>
        </is>
      </c>
      <c r="H191" t="inlineStr">
        <is>
          <t>boe</t>
        </is>
      </c>
      <c r="I191" t="inlineStr">
        <is>
          <t>en-US</t>
        </is>
      </c>
      <c r="J191" t="inlineStr">
        <is>
          <t>us_v2-direct_specified</t>
        </is>
      </c>
      <c r="K191" t="b">
        <v>1</v>
      </c>
      <c r="L191" t="inlineStr">
        <is>
          <t>partial</t>
        </is>
      </c>
      <c r="M191" t="inlineStr">
        <is>
          <t>partial</t>
        </is>
      </c>
      <c r="N191" t="inlineStr">
        <is>
          <t>partial</t>
        </is>
      </c>
      <c r="O191" t="inlineStr">
        <is>
          <t>partial</t>
        </is>
      </c>
      <c r="P191" t="b">
        <v>1</v>
      </c>
    </row>
    <row r="192">
      <c r="A192" t="inlineStr">
        <is>
          <t>do all things with love sticker</t>
        </is>
      </c>
      <c r="B192" t="inlineStr"/>
      <c r="C192" t="n">
        <v>978233753</v>
      </c>
      <c r="D192">
        <f>HYPERLINK("https://www.etsy.com/listing/978233753", "link")</f>
        <v/>
      </c>
      <c r="E192">
        <f>HYPERLINK("https://atlas.etsycorp.com/listing/978233753/lookup", "link")</f>
        <v/>
      </c>
      <c r="F192" t="inlineStr">
        <is>
          <t>Let Your Light Shine Mini Sticker, Bible Verse, Christian Jesus Sticker, Faith Sticker, Clear Sticker, Christian Decal, Bible Journaling</t>
        </is>
      </c>
      <c r="G192" t="inlineStr">
        <is>
          <t>EuMGJIMgQR4zwA1wG7ivFRTh3N9e</t>
        </is>
      </c>
      <c r="H192" t="inlineStr">
        <is>
          <t>web</t>
        </is>
      </c>
      <c r="I192" t="inlineStr">
        <is>
          <t>en-US</t>
        </is>
      </c>
      <c r="J192" t="inlineStr">
        <is>
          <t>us_v2-direct_specified</t>
        </is>
      </c>
      <c r="K192" t="b">
        <v>1</v>
      </c>
      <c r="L192" t="inlineStr">
        <is>
          <t>partial</t>
        </is>
      </c>
      <c r="M192" t="inlineStr">
        <is>
          <t>partial</t>
        </is>
      </c>
      <c r="N192" t="inlineStr">
        <is>
          <t>partial</t>
        </is>
      </c>
      <c r="O192" t="inlineStr">
        <is>
          <t>partial</t>
        </is>
      </c>
      <c r="P192" t="b">
        <v>1</v>
      </c>
    </row>
    <row r="193">
      <c r="A193" t="inlineStr">
        <is>
          <t>musselin decke</t>
        </is>
      </c>
      <c r="B193" t="inlineStr">
        <is>
          <t>muslin blanket</t>
        </is>
      </c>
      <c r="C193" t="n">
        <v>1425461208</v>
      </c>
      <c r="D193">
        <f>HYPERLINK("https://www.etsy.com/listing/1425461208", "link")</f>
        <v/>
      </c>
      <c r="E193">
        <f>HYPERLINK("https://atlas.etsycorp.com/listing/1425461208/lookup", "link")</f>
        <v/>
      </c>
      <c r="F193" t="inlineStr">
        <is>
          <t>Pack of 3 Organic muslin squares Baby muslin cloth  Baby washcloths Muslin 24x24 inches Burp cloths Neutral gender baby shower gift</t>
        </is>
      </c>
      <c r="G193" t="inlineStr">
        <is>
          <t>Eu30GWp_ZGSgwHrcN5MfjmtyFIfc</t>
        </is>
      </c>
      <c r="H193" t="inlineStr">
        <is>
          <t>web</t>
        </is>
      </c>
      <c r="I193" t="inlineStr">
        <is>
          <t>de</t>
        </is>
      </c>
      <c r="J193" t="inlineStr">
        <is>
          <t>intl-de</t>
        </is>
      </c>
      <c r="K193" t="b">
        <v>1</v>
      </c>
      <c r="L193" t="inlineStr">
        <is>
          <t>not_relevant</t>
        </is>
      </c>
      <c r="M193" t="inlineStr">
        <is>
          <t>not_relevant</t>
        </is>
      </c>
      <c r="N193" t="inlineStr">
        <is>
          <t>not_relevant</t>
        </is>
      </c>
      <c r="O193" t="inlineStr">
        <is>
          <t>partial</t>
        </is>
      </c>
      <c r="P193" t="b">
        <v>1</v>
      </c>
    </row>
    <row r="194">
      <c r="A194" t="inlineStr">
        <is>
          <t>pattern journal</t>
        </is>
      </c>
      <c r="B194" t="inlineStr"/>
      <c r="C194" t="n">
        <v>1166539502</v>
      </c>
      <c r="D194">
        <f>HYPERLINK("https://www.etsy.com/listing/1166539502", "link")</f>
        <v/>
      </c>
      <c r="E194">
        <f>HYPERLINK("https://atlas.etsycorp.com/listing/1166539502/lookup", "link")</f>
        <v/>
      </c>
      <c r="F194" t="inlineStr">
        <is>
          <t>ENGRAVED Flower of Life Pattern Journal, Refillable Vegan Leather Journal, Monogrammed Notebook, Gift For Mother.</t>
        </is>
      </c>
      <c r="G194" t="inlineStr">
        <is>
          <t>EuBWIpUaxiFmuKMHiFqnAITpcMa0</t>
        </is>
      </c>
      <c r="H194" t="inlineStr">
        <is>
          <t>boe</t>
        </is>
      </c>
      <c r="I194" t="inlineStr">
        <is>
          <t>en-US</t>
        </is>
      </c>
      <c r="J194" t="inlineStr">
        <is>
          <t>us_v2-direct_unspecified</t>
        </is>
      </c>
      <c r="K194" t="b">
        <v>1</v>
      </c>
      <c r="L194" t="inlineStr">
        <is>
          <t>relevant</t>
        </is>
      </c>
      <c r="M194" t="inlineStr">
        <is>
          <t>relevant</t>
        </is>
      </c>
      <c r="N194" t="inlineStr">
        <is>
          <t>relevant</t>
        </is>
      </c>
      <c r="O194" t="inlineStr">
        <is>
          <t>relevant</t>
        </is>
      </c>
      <c r="P194" t="b">
        <v>1</v>
      </c>
    </row>
    <row r="195">
      <c r="A195" t="inlineStr">
        <is>
          <t>swimsuit slut</t>
        </is>
      </c>
      <c r="B195" t="inlineStr">
        <is>
          <t>swimsuit slut</t>
        </is>
      </c>
      <c r="C195" t="n">
        <v>1540051603</v>
      </c>
      <c r="D195">
        <f>HYPERLINK("https://www.etsy.com/listing/1540051603", "link")</f>
        <v/>
      </c>
      <c r="E195">
        <f>HYPERLINK("https://atlas.etsycorp.com/listing/1540051603/lookup", "link")</f>
        <v/>
      </c>
      <c r="F195" t="inlineStr">
        <is>
          <t>Sissy Princess Pink Doll Sports Bra - White</t>
        </is>
      </c>
      <c r="G195" t="inlineStr">
        <is>
          <t>EuKmi-hUFX6h62zQ8KJb_Ej59M17</t>
        </is>
      </c>
      <c r="H195" t="inlineStr">
        <is>
          <t>web</t>
        </is>
      </c>
      <c r="I195" t="inlineStr">
        <is>
          <t>nl</t>
        </is>
      </c>
      <c r="J195" t="inlineStr">
        <is>
          <t>intl-nl</t>
        </is>
      </c>
      <c r="K195" t="b">
        <v>1</v>
      </c>
      <c r="L195" t="inlineStr">
        <is>
          <t>not_relevant</t>
        </is>
      </c>
      <c r="M195" t="inlineStr">
        <is>
          <t>not_relevant</t>
        </is>
      </c>
      <c r="N195" t="inlineStr">
        <is>
          <t>partial</t>
        </is>
      </c>
      <c r="O195" t="inlineStr">
        <is>
          <t>not_relevant</t>
        </is>
      </c>
      <c r="P195" t="b">
        <v>1</v>
      </c>
    </row>
    <row r="196">
      <c r="A196" t="inlineStr">
        <is>
          <t>t shirt donna</t>
        </is>
      </c>
      <c r="B196" t="inlineStr">
        <is>
          <t>women's t shirt</t>
        </is>
      </c>
      <c r="C196" t="n">
        <v>1301139242</v>
      </c>
      <c r="D196">
        <f>HYPERLINK("https://www.etsy.com/listing/1301139242", "link")</f>
        <v/>
      </c>
      <c r="E196">
        <f>HYPERLINK("https://atlas.etsycorp.com/listing/1301139242/lookup", "link")</f>
        <v/>
      </c>
      <c r="F196" t="inlineStr">
        <is>
          <t>WINE Tshirt with embroidered personalization - VNO Tshirt for Men/Women, Gift for wine lovers, gift for wine enthusiasts!</t>
        </is>
      </c>
      <c r="G196" t="inlineStr">
        <is>
          <t>EuUl3msZRQyZDZPLzRgqrpKUXr11</t>
        </is>
      </c>
      <c r="H196" t="inlineStr">
        <is>
          <t>boe</t>
        </is>
      </c>
      <c r="I196" t="inlineStr">
        <is>
          <t>it</t>
        </is>
      </c>
      <c r="J196" t="inlineStr">
        <is>
          <t>intl-it</t>
        </is>
      </c>
      <c r="K196" t="b">
        <v>1</v>
      </c>
      <c r="L196" t="inlineStr">
        <is>
          <t>relevant</t>
        </is>
      </c>
      <c r="M196" t="inlineStr">
        <is>
          <t>relevant</t>
        </is>
      </c>
      <c r="N196" t="inlineStr">
        <is>
          <t>relevant</t>
        </is>
      </c>
      <c r="O196" t="inlineStr">
        <is>
          <t>relevant</t>
        </is>
      </c>
      <c r="P196" t="b">
        <v>1</v>
      </c>
    </row>
    <row r="197">
      <c r="A197" t="inlineStr">
        <is>
          <t>my orders placed</t>
        </is>
      </c>
      <c r="B197" t="inlineStr"/>
      <c r="C197" t="n">
        <v>613708533</v>
      </c>
      <c r="D197">
        <f>HYPERLINK("https://www.etsy.com/listing/613708533", "link")</f>
        <v/>
      </c>
      <c r="E197">
        <f>HYPERLINK("https://atlas.etsycorp.com/listing/613708533/lookup", "link")</f>
        <v/>
      </c>
      <c r="F197" t="inlineStr">
        <is>
          <t>PERSONALIZED Leather Padfolio Monogrammed Leather Portfolio Cover Custom Corporate Gift Monogram Initials For Him and Her | Marshall</t>
        </is>
      </c>
      <c r="G197" t="inlineStr">
        <is>
          <t>EumndLEzTIyfLuH4kuDPAFMbJ45d</t>
        </is>
      </c>
      <c r="H197" t="inlineStr">
        <is>
          <t>boe</t>
        </is>
      </c>
      <c r="I197" t="inlineStr">
        <is>
          <t>en-US</t>
        </is>
      </c>
      <c r="J197" t="inlineStr">
        <is>
          <t>us_v2-broad</t>
        </is>
      </c>
      <c r="K197" t="b">
        <v>1</v>
      </c>
      <c r="L197" t="inlineStr">
        <is>
          <t>not_relevant</t>
        </is>
      </c>
      <c r="M197" t="inlineStr">
        <is>
          <t>not_relevant</t>
        </is>
      </c>
      <c r="N197" t="inlineStr">
        <is>
          <t>not_relevant</t>
        </is>
      </c>
      <c r="O197" t="inlineStr">
        <is>
          <t>not_relevant</t>
        </is>
      </c>
      <c r="P197" t="b">
        <v>1</v>
      </c>
    </row>
    <row r="198">
      <c r="A198" t="inlineStr">
        <is>
          <t>dumb pet tag</t>
        </is>
      </c>
      <c r="B198" t="inlineStr"/>
      <c r="C198" t="n">
        <v>1304459772</v>
      </c>
      <c r="D198">
        <f>HYPERLINK("https://www.etsy.com/listing/1304459772", "link")</f>
        <v/>
      </c>
      <c r="E198">
        <f>HYPERLINK("https://atlas.etsycorp.com/listing/1304459772/lookup", "link")</f>
        <v/>
      </c>
      <c r="F198" t="inlineStr">
        <is>
          <t>Custom Resin Dog Tag, Resin Pet Tag, Puppy Tag, Personalized Resin Dog Tag, Personalized Cat Tag Cat ID Tag, Handmade customizable resin tag</t>
        </is>
      </c>
      <c r="G198" t="inlineStr">
        <is>
          <t>EubQ4Rz96ZOF0WEK4jdy0saqkP7c</t>
        </is>
      </c>
      <c r="H198" t="inlineStr">
        <is>
          <t>web</t>
        </is>
      </c>
      <c r="I198" t="inlineStr">
        <is>
          <t>en-US</t>
        </is>
      </c>
      <c r="J198" t="inlineStr">
        <is>
          <t>us_v2-direct_unspecified</t>
        </is>
      </c>
      <c r="K198" t="b">
        <v>1</v>
      </c>
      <c r="L198" t="inlineStr">
        <is>
          <t>relevant</t>
        </is>
      </c>
      <c r="M198" t="inlineStr">
        <is>
          <t>relevant</t>
        </is>
      </c>
      <c r="N198" t="inlineStr">
        <is>
          <t>relevant</t>
        </is>
      </c>
      <c r="O198" t="inlineStr">
        <is>
          <t>relevant</t>
        </is>
      </c>
      <c r="P198" t="b">
        <v>1</v>
      </c>
    </row>
    <row r="199">
      <c r="A199" t="inlineStr">
        <is>
          <t>handmade bracelet</t>
        </is>
      </c>
      <c r="B199" t="inlineStr"/>
      <c r="C199" t="n">
        <v>1018354002</v>
      </c>
      <c r="D199">
        <f>HYPERLINK("https://www.etsy.com/listing/1018354002", "link")</f>
        <v/>
      </c>
      <c r="E199">
        <f>HYPERLINK("https://atlas.etsycorp.com/listing/1018354002/lookup", "link")</f>
        <v/>
      </c>
      <c r="F199" t="inlineStr">
        <is>
          <t>Coral Bay handmade bracelet style set, Bracelet for woman, Bead bracelet, Boho bracelet, Handmade bracelet, Surfer bracelet, PineappleIsland</t>
        </is>
      </c>
      <c r="G199" t="inlineStr">
        <is>
          <t>Eu3tPXdPMMoFIk__84IKMJDEHo96</t>
        </is>
      </c>
      <c r="H199" t="inlineStr">
        <is>
          <t>boe</t>
        </is>
      </c>
      <c r="I199" t="inlineStr">
        <is>
          <t>en-GB</t>
        </is>
      </c>
      <c r="J199" t="inlineStr">
        <is>
          <t>us_v2-direct_specified</t>
        </is>
      </c>
      <c r="K199" t="b">
        <v>1</v>
      </c>
      <c r="L199" t="inlineStr">
        <is>
          <t>relevant</t>
        </is>
      </c>
      <c r="M199" t="inlineStr">
        <is>
          <t>relevant</t>
        </is>
      </c>
      <c r="N199" t="inlineStr">
        <is>
          <t>relevant</t>
        </is>
      </c>
      <c r="O199" t="inlineStr">
        <is>
          <t>relevant</t>
        </is>
      </c>
      <c r="P199" t="b">
        <v>1</v>
      </c>
    </row>
    <row r="200">
      <c r="A200" t="inlineStr">
        <is>
          <t>Sonnenschirm 60er kleiner</t>
        </is>
      </c>
      <c r="B200" t="inlineStr">
        <is>
          <t>Parasol 60s smaller</t>
        </is>
      </c>
      <c r="C200" t="n">
        <v>1739140998</v>
      </c>
      <c r="D200">
        <f>HYPERLINK("https://www.etsy.com/listing/1739140998", "link")</f>
        <v/>
      </c>
      <c r="E200">
        <f>HYPERLINK("https://atlas.etsycorp.com/listing/1739140998/lookup", "link")</f>
        <v/>
      </c>
      <c r="F200" t="inlineStr">
        <is>
          <t>Parasol Bali umbrella 180 cm light brown gold painting fringes, garden umbrella cotton sun protection handmade decorative umbrella model Clara</t>
        </is>
      </c>
      <c r="G200" t="inlineStr">
        <is>
          <t>EuNtxlnDju8oS3PElzVsh9u-BQ19</t>
        </is>
      </c>
      <c r="H200" t="inlineStr">
        <is>
          <t>web</t>
        </is>
      </c>
      <c r="I200" t="inlineStr">
        <is>
          <t>de</t>
        </is>
      </c>
      <c r="J200" t="inlineStr">
        <is>
          <t>intl-de</t>
        </is>
      </c>
      <c r="K200" t="b">
        <v>1</v>
      </c>
      <c r="L200" t="inlineStr">
        <is>
          <t>partial</t>
        </is>
      </c>
      <c r="M200" t="inlineStr">
        <is>
          <t>relevant</t>
        </is>
      </c>
      <c r="N200" t="inlineStr">
        <is>
          <t>partial</t>
        </is>
      </c>
      <c r="O200" t="inlineStr">
        <is>
          <t>partial</t>
        </is>
      </c>
      <c r="P200" t="b">
        <v>1</v>
      </c>
    </row>
    <row r="201">
      <c r="A201" t="inlineStr">
        <is>
          <t>gold earrings dangle 18k</t>
        </is>
      </c>
      <c r="B201" t="inlineStr"/>
      <c r="C201" t="n">
        <v>1328209949</v>
      </c>
      <c r="D201">
        <f>HYPERLINK("https://www.etsy.com/listing/1328209949", "link")</f>
        <v/>
      </c>
      <c r="E201">
        <f>HYPERLINK("https://atlas.etsycorp.com/listing/1328209949/lookup", "link")</f>
        <v/>
      </c>
      <c r="F201" t="inlineStr">
        <is>
          <t>French Macaron Drop Earrings/Match Macaron Earrings/Macaron Lover Gifts for Her/Cute &amp; Fun Earrings/18K Gold Plated/Free Gift Box</t>
        </is>
      </c>
      <c r="G201" t="inlineStr">
        <is>
          <t>EuphDEdNYsKnDtbUTE3i7gIy3502</t>
        </is>
      </c>
      <c r="H201" t="inlineStr">
        <is>
          <t>boe</t>
        </is>
      </c>
      <c r="I201" t="inlineStr">
        <is>
          <t>en-US</t>
        </is>
      </c>
      <c r="J201" t="inlineStr">
        <is>
          <t>us_v2-direct_specified</t>
        </is>
      </c>
      <c r="K201" t="b">
        <v>1</v>
      </c>
      <c r="L201" t="inlineStr">
        <is>
          <t>partial</t>
        </is>
      </c>
      <c r="M201" t="inlineStr">
        <is>
          <t>relevant</t>
        </is>
      </c>
      <c r="N201" t="inlineStr">
        <is>
          <t>partial</t>
        </is>
      </c>
      <c r="O201" t="inlineStr">
        <is>
          <t>partial</t>
        </is>
      </c>
      <c r="P201" t="b">
        <v>1</v>
      </c>
    </row>
    <row r="202">
      <c r="A202" t="inlineStr">
        <is>
          <t>CUERDA fujifilm xt5</t>
        </is>
      </c>
      <c r="B202" t="inlineStr">
        <is>
          <t>fujifilm xt5 ROPE</t>
        </is>
      </c>
      <c r="C202" t="n">
        <v>972107509</v>
      </c>
      <c r="D202">
        <f>HYPERLINK("https://www.etsy.com/listing/972107509", "link")</f>
        <v/>
      </c>
      <c r="E202">
        <f>HYPERLINK("https://atlas.etsycorp.com/listing/972107509/lookup", "link")</f>
        <v/>
      </c>
      <c r="F202" t="inlineStr">
        <is>
          <t>Fujifilm fuji XE4 Handmade Half Case Cowhide leather Camera bag Protector HandGrip Grip Holster sleeve Tripod mount SD card &amp; Battery access</t>
        </is>
      </c>
      <c r="G202" t="inlineStr">
        <is>
          <t>Eu_p5W6OpHYoP7bEeTYnq_kfMxdf</t>
        </is>
      </c>
      <c r="H202" t="inlineStr">
        <is>
          <t>web</t>
        </is>
      </c>
      <c r="I202" t="inlineStr">
        <is>
          <t>es</t>
        </is>
      </c>
      <c r="J202" t="inlineStr">
        <is>
          <t>intl-es</t>
        </is>
      </c>
      <c r="K202" t="b">
        <v>1</v>
      </c>
      <c r="L202" t="inlineStr">
        <is>
          <t>not_relevant</t>
        </is>
      </c>
      <c r="M202" t="inlineStr">
        <is>
          <t>not_relevant</t>
        </is>
      </c>
      <c r="N202" t="inlineStr">
        <is>
          <t>not_relevant</t>
        </is>
      </c>
      <c r="O202" t="inlineStr">
        <is>
          <t>not_relevant</t>
        </is>
      </c>
      <c r="P202" t="b">
        <v>1</v>
      </c>
    </row>
    <row r="203">
      <c r="A203" t="inlineStr">
        <is>
          <t>woollen blanket</t>
        </is>
      </c>
      <c r="B203" t="inlineStr"/>
      <c r="C203" t="n">
        <v>1482766233</v>
      </c>
      <c r="D203">
        <f>HYPERLINK("https://www.etsy.com/listing/1482766233", "link")</f>
        <v/>
      </c>
      <c r="E203">
        <f>HYPERLINK("https://atlas.etsycorp.com/listing/1482766233/lookup", "link")</f>
        <v/>
      </c>
      <c r="F203" t="inlineStr">
        <is>
          <t>Welsh Tapestry Design Grey Snap Fastener Glasses Case Handmade Fully Lined</t>
        </is>
      </c>
      <c r="G203" t="inlineStr">
        <is>
          <t>EuifaCmGZg8dIUPyfwKoZcVl607b</t>
        </is>
      </c>
      <c r="H203" t="inlineStr">
        <is>
          <t>web</t>
        </is>
      </c>
      <c r="I203" t="inlineStr">
        <is>
          <t>en-GB</t>
        </is>
      </c>
      <c r="J203" t="inlineStr">
        <is>
          <t>us_v2-direct_specified</t>
        </is>
      </c>
      <c r="K203" t="b">
        <v>1</v>
      </c>
      <c r="L203" t="inlineStr">
        <is>
          <t>not_relevant</t>
        </is>
      </c>
      <c r="M203" t="inlineStr">
        <is>
          <t>not_relevant</t>
        </is>
      </c>
      <c r="N203" t="inlineStr">
        <is>
          <t>not_relevant</t>
        </is>
      </c>
      <c r="O203" t="inlineStr">
        <is>
          <t>not_relevant</t>
        </is>
      </c>
      <c r="P203" t="b">
        <v>1</v>
      </c>
    </row>
    <row r="204">
      <c r="A204" t="inlineStr">
        <is>
          <t>flight attendant gifts</t>
        </is>
      </c>
      <c r="B204" t="inlineStr"/>
      <c r="C204" t="n">
        <v>1085158673</v>
      </c>
      <c r="D204">
        <f>HYPERLINK("https://www.etsy.com/listing/1085158673", "link")</f>
        <v/>
      </c>
      <c r="E204">
        <f>HYPERLINK("https://atlas.etsycorp.com/listing/1085158673/lookup", "link")</f>
        <v/>
      </c>
      <c r="F204" t="inlineStr">
        <is>
          <t>Flight Attendant Fuel • 24oz Venti Cold Cup Cutfile, Svg Dxf Png File Digital Download</t>
        </is>
      </c>
      <c r="G204" t="inlineStr">
        <is>
          <t>EunnyG-pdVA5qTZN8HgnGrJZOLa6</t>
        </is>
      </c>
      <c r="H204" t="inlineStr">
        <is>
          <t>web</t>
        </is>
      </c>
      <c r="I204" t="inlineStr">
        <is>
          <t>en-GB</t>
        </is>
      </c>
      <c r="J204" t="inlineStr">
        <is>
          <t>us_v2-gift</t>
        </is>
      </c>
      <c r="K204" t="b">
        <v>1</v>
      </c>
      <c r="L204" t="inlineStr">
        <is>
          <t>relevant</t>
        </is>
      </c>
      <c r="M204" t="inlineStr">
        <is>
          <t>not_relevant</t>
        </is>
      </c>
      <c r="N204" t="inlineStr">
        <is>
          <t>relevant</t>
        </is>
      </c>
      <c r="O204" t="inlineStr">
        <is>
          <t>relevant</t>
        </is>
      </c>
      <c r="P204" t="b">
        <v>1</v>
      </c>
    </row>
    <row r="205">
      <c r="A205" t="inlineStr">
        <is>
          <t>urlaub karte</t>
        </is>
      </c>
      <c r="B205" t="inlineStr">
        <is>
          <t>holiday card</t>
        </is>
      </c>
      <c r="C205" t="n">
        <v>1093665630</v>
      </c>
      <c r="D205">
        <f>HYPERLINK("https://www.etsy.com/listing/1093665630", "link")</f>
        <v/>
      </c>
      <c r="E205">
        <f>HYPERLINK("https://atlas.etsycorp.com/listing/1093665630/lookup", "link")</f>
        <v/>
      </c>
      <c r="F205" t="inlineStr">
        <is>
          <t>Doberman Christmas Card, Dog Holiday Card, Lights, Bulbs, Single Card, Set of 4 or 8</t>
        </is>
      </c>
      <c r="G205" t="inlineStr">
        <is>
          <t>Eu4rs5IDFBym4oM-sWLIZn4fXt8c</t>
        </is>
      </c>
      <c r="H205" t="inlineStr">
        <is>
          <t>boe</t>
        </is>
      </c>
      <c r="I205" t="inlineStr">
        <is>
          <t>de</t>
        </is>
      </c>
      <c r="J205" t="inlineStr">
        <is>
          <t>intl-de</t>
        </is>
      </c>
      <c r="K205" t="b">
        <v>1</v>
      </c>
      <c r="L205" t="inlineStr">
        <is>
          <t>partial</t>
        </is>
      </c>
      <c r="M205" t="inlineStr">
        <is>
          <t>partial</t>
        </is>
      </c>
      <c r="N205" t="inlineStr">
        <is>
          <t>relevant</t>
        </is>
      </c>
      <c r="O205" t="inlineStr">
        <is>
          <t>partial</t>
        </is>
      </c>
      <c r="P205" t="b">
        <v>1</v>
      </c>
    </row>
    <row r="206">
      <c r="A206" t="inlineStr">
        <is>
          <t>travel accessories</t>
        </is>
      </c>
      <c r="B206" t="inlineStr">
        <is>
          <t>Travel accessories</t>
        </is>
      </c>
      <c r="C206" t="n">
        <v>1706475096</v>
      </c>
      <c r="D206">
        <f>HYPERLINK("https://www.etsy.com/listing/1706475096", "link")</f>
        <v/>
      </c>
      <c r="E206">
        <f>HYPERLINK("https://atlas.etsycorp.com/listing/1706475096/lookup", "link")</f>
        <v/>
      </c>
      <c r="F206" t="inlineStr">
        <is>
          <t>Amalfi Lemon Print Hand Painted Silk Scarf Silk Head Scarf Foulard Yellow Blue Silk Scarf Large Silk Square Scarf Gift  Summer Scarf 35X35</t>
        </is>
      </c>
      <c r="G206" t="inlineStr">
        <is>
          <t>EuC25pa3wDRVwuglbb7sruhWQAb7</t>
        </is>
      </c>
      <c r="H206" t="inlineStr">
        <is>
          <t>boe</t>
        </is>
      </c>
      <c r="I206" t="inlineStr">
        <is>
          <t>ja</t>
        </is>
      </c>
      <c r="J206" t="inlineStr">
        <is>
          <t>intl-ja</t>
        </is>
      </c>
      <c r="K206" t="b">
        <v>1</v>
      </c>
      <c r="L206" t="inlineStr">
        <is>
          <t>not_relevant</t>
        </is>
      </c>
      <c r="M206" t="inlineStr">
        <is>
          <t>relevant</t>
        </is>
      </c>
      <c r="N206" t="inlineStr">
        <is>
          <t>not_relevant</t>
        </is>
      </c>
      <c r="O206" t="inlineStr">
        <is>
          <t>not_relevant</t>
        </is>
      </c>
      <c r="P206" t="b">
        <v>1</v>
      </c>
    </row>
    <row r="207">
      <c r="A207" t="inlineStr">
        <is>
          <t>painting cartoon</t>
        </is>
      </c>
      <c r="B207" t="inlineStr"/>
      <c r="C207" t="n">
        <v>1625961923</v>
      </c>
      <c r="D207">
        <f>HYPERLINK("https://www.etsy.com/listing/1625961923", "link")</f>
        <v/>
      </c>
      <c r="E207">
        <f>HYPERLINK("https://atlas.etsycorp.com/listing/1625961923/lookup", "link")</f>
        <v/>
      </c>
      <c r="F207" t="inlineStr">
        <is>
          <t>Custom Cartoon Portrait FROM YOUR PHOTO, Your Love Story in Art! Digital, Personalized cartoon portrait, Gift for couples</t>
        </is>
      </c>
      <c r="G207" t="inlineStr">
        <is>
          <t>Eub_3KEme_hqbxI6nDCFuj1EbTc5</t>
        </is>
      </c>
      <c r="H207" t="inlineStr">
        <is>
          <t>boe</t>
        </is>
      </c>
      <c r="I207" t="inlineStr">
        <is>
          <t>en-US</t>
        </is>
      </c>
      <c r="J207" t="inlineStr">
        <is>
          <t>us_v2-direct_specified</t>
        </is>
      </c>
      <c r="K207" t="b">
        <v>1</v>
      </c>
      <c r="L207" t="inlineStr">
        <is>
          <t>partial</t>
        </is>
      </c>
      <c r="M207" t="inlineStr">
        <is>
          <t>partial</t>
        </is>
      </c>
      <c r="N207" t="inlineStr">
        <is>
          <t>not_relevant</t>
        </is>
      </c>
      <c r="O207" t="inlineStr">
        <is>
          <t>partial</t>
        </is>
      </c>
      <c r="P207" t="b">
        <v>1</v>
      </c>
    </row>
    <row r="208">
      <c r="A208" t="inlineStr">
        <is>
          <t>george russell</t>
        </is>
      </c>
      <c r="B208" t="inlineStr">
        <is>
          <t>george russell</t>
        </is>
      </c>
      <c r="C208" t="n">
        <v>1609523086</v>
      </c>
      <c r="D208">
        <f>HYPERLINK("https://www.etsy.com/listing/1609523086", "link")</f>
        <v/>
      </c>
      <c r="E208">
        <f>HYPERLINK("https://atlas.etsycorp.com/listing/1609523086/lookup", "link")</f>
        <v/>
      </c>
      <c r="F208" t="inlineStr">
        <is>
          <t>Portachiavi Formula 1 - Edizione Piloti - Versione piccola</t>
        </is>
      </c>
      <c r="G208" t="inlineStr">
        <is>
          <t>Eu3FOBq94mTg1q7_99TJi7YydMa0</t>
        </is>
      </c>
      <c r="H208" t="inlineStr">
        <is>
          <t>boe</t>
        </is>
      </c>
      <c r="I208" t="inlineStr">
        <is>
          <t>it</t>
        </is>
      </c>
      <c r="J208" t="inlineStr">
        <is>
          <t>intl-it</t>
        </is>
      </c>
      <c r="K208" t="b">
        <v>1</v>
      </c>
      <c r="L208" t="inlineStr">
        <is>
          <t>not_relevant</t>
        </is>
      </c>
      <c r="M208" t="inlineStr">
        <is>
          <t>not_relevant</t>
        </is>
      </c>
      <c r="N208" t="inlineStr">
        <is>
          <t>not_relevant</t>
        </is>
      </c>
      <c r="O208" t="inlineStr">
        <is>
          <t>not_relevant</t>
        </is>
      </c>
      <c r="P208" t="b">
        <v>1</v>
      </c>
    </row>
    <row r="209">
      <c r="A209" t="inlineStr">
        <is>
          <t>broeken</t>
        </is>
      </c>
      <c r="B209" t="inlineStr">
        <is>
          <t>trousers</t>
        </is>
      </c>
      <c r="C209" t="n">
        <v>628806366</v>
      </c>
      <c r="D209">
        <f>HYPERLINK("https://www.etsy.com/listing/628806366", "link")</f>
        <v/>
      </c>
      <c r="E209">
        <f>HYPERLINK("https://atlas.etsycorp.com/listing/628806366/lookup", "link")</f>
        <v/>
      </c>
      <c r="F209" t="inlineStr">
        <is>
          <t>Black Tipi Harems Teepee Pants Boys Harem Pants Organic cotton knit Cute fabric Popluar pants Relaxed Trousers New Baby outfit Newborn Gift</t>
        </is>
      </c>
      <c r="G209" t="inlineStr">
        <is>
          <t>Euc_5pdQB95rqdwaSXtoaLOAwb0a</t>
        </is>
      </c>
      <c r="H209" t="inlineStr">
        <is>
          <t>web</t>
        </is>
      </c>
      <c r="I209" t="inlineStr">
        <is>
          <t>nl</t>
        </is>
      </c>
      <c r="J209" t="inlineStr">
        <is>
          <t>intl-nl</t>
        </is>
      </c>
      <c r="K209" t="b">
        <v>1</v>
      </c>
      <c r="L209" t="inlineStr">
        <is>
          <t>relevant</t>
        </is>
      </c>
      <c r="M209" t="inlineStr">
        <is>
          <t>relevant</t>
        </is>
      </c>
      <c r="N209" t="inlineStr">
        <is>
          <t>relevant</t>
        </is>
      </c>
      <c r="O209" t="inlineStr">
        <is>
          <t>relevant</t>
        </is>
      </c>
      <c r="P209" t="b">
        <v>1</v>
      </c>
    </row>
    <row r="210">
      <c r="A210" t="inlineStr">
        <is>
          <t>90s polo sport tags</t>
        </is>
      </c>
      <c r="B210" t="inlineStr"/>
      <c r="C210" t="n">
        <v>1470049686</v>
      </c>
      <c r="D210">
        <f>HYPERLINK("https://www.etsy.com/listing/1470049686", "link")</f>
        <v/>
      </c>
      <c r="E210">
        <f>HYPERLINK("https://atlas.etsycorp.com/listing/1470049686/lookup", "link")</f>
        <v/>
      </c>
      <c r="F210" t="inlineStr">
        <is>
          <t>Vintage Y2K Budweiser Kasey Kane NASCAR T Shirt Tee Size XL</t>
        </is>
      </c>
      <c r="G210" t="inlineStr">
        <is>
          <t>EuVumdkYu-N0jNOGVKvS5kV2ru7f</t>
        </is>
      </c>
      <c r="H210" t="inlineStr">
        <is>
          <t>boe</t>
        </is>
      </c>
      <c r="I210" t="inlineStr">
        <is>
          <t>en-US</t>
        </is>
      </c>
      <c r="J210" t="inlineStr">
        <is>
          <t>us_v2-direct_specified</t>
        </is>
      </c>
      <c r="K210" t="b">
        <v>1</v>
      </c>
      <c r="L210" t="inlineStr">
        <is>
          <t>partial</t>
        </is>
      </c>
      <c r="M210" t="inlineStr">
        <is>
          <t>partial</t>
        </is>
      </c>
      <c r="N210" t="inlineStr">
        <is>
          <t>partial</t>
        </is>
      </c>
      <c r="O210" t="inlineStr">
        <is>
          <t>partial</t>
        </is>
      </c>
      <c r="P210" t="b">
        <v>1</v>
      </c>
    </row>
    <row r="211">
      <c r="A211" t="inlineStr">
        <is>
          <t>wedding gift</t>
        </is>
      </c>
      <c r="B211" t="inlineStr"/>
      <c r="C211" t="n">
        <v>1490399459</v>
      </c>
      <c r="D211">
        <f>HYPERLINK("https://www.etsy.com/listing/1490399459", "link")</f>
        <v/>
      </c>
      <c r="E211">
        <f>HYPERLINK("https://atlas.etsycorp.com/listing/1490399459/lookup", "link")</f>
        <v/>
      </c>
      <c r="F211" t="inlineStr">
        <is>
          <t>Personalized Cutting Board With Handle, Custom Wooden Cheese Board, Engraved Serving Board for Engagement, Custom Gift for Bride Anniversary</t>
        </is>
      </c>
      <c r="G211" t="inlineStr">
        <is>
          <t>EuJ2-g2LX1-WpK4hwWbiNwka2Mde</t>
        </is>
      </c>
      <c r="H211" t="inlineStr">
        <is>
          <t>web</t>
        </is>
      </c>
      <c r="I211" t="inlineStr">
        <is>
          <t>en-US</t>
        </is>
      </c>
      <c r="J211" t="inlineStr">
        <is>
          <t>us_v2-broad</t>
        </is>
      </c>
      <c r="K211" t="b">
        <v>1</v>
      </c>
      <c r="L211" t="inlineStr">
        <is>
          <t>relevant</t>
        </is>
      </c>
      <c r="M211" t="inlineStr">
        <is>
          <t>relevant</t>
        </is>
      </c>
      <c r="N211" t="inlineStr">
        <is>
          <t>relevant</t>
        </is>
      </c>
      <c r="O211" t="inlineStr">
        <is>
          <t>relevant</t>
        </is>
      </c>
      <c r="P211" t="b">
        <v>1</v>
      </c>
    </row>
    <row r="212">
      <c r="A212" t="inlineStr">
        <is>
          <t>teacher appreciation gift</t>
        </is>
      </c>
      <c r="B212" t="inlineStr">
        <is>
          <t>teacher appreciation gift</t>
        </is>
      </c>
      <c r="C212" t="n">
        <v>1377489767</v>
      </c>
      <c r="D212">
        <f>HYPERLINK("https://www.etsy.com/listing/1377489767", "link")</f>
        <v/>
      </c>
      <c r="E212">
        <f>HYPERLINK("https://atlas.etsycorp.com/listing/1377489767/lookup", "link")</f>
        <v/>
      </c>
      <c r="F212" t="inlineStr">
        <is>
          <t>A Parents Thank You Printable Nursery Teachers Teaching Teacher&amp;#39;s Day Wall Art Printable Gift Teacher Appreciation Letter End of Year gift</t>
        </is>
      </c>
      <c r="G212" t="inlineStr">
        <is>
          <t>EuuIAuFuQTGYA3VrjJEJlAZC_Q91</t>
        </is>
      </c>
      <c r="H212" t="inlineStr">
        <is>
          <t>boe</t>
        </is>
      </c>
      <c r="I212" t="inlineStr">
        <is>
          <t>nl</t>
        </is>
      </c>
      <c r="J212" t="inlineStr">
        <is>
          <t>intl-nl</t>
        </is>
      </c>
      <c r="K212" t="b">
        <v>1</v>
      </c>
      <c r="L212" t="inlineStr">
        <is>
          <t>relevant</t>
        </is>
      </c>
      <c r="M212" t="inlineStr">
        <is>
          <t>relevant</t>
        </is>
      </c>
      <c r="N212" t="inlineStr">
        <is>
          <t>relevant</t>
        </is>
      </c>
      <c r="O212" t="inlineStr">
        <is>
          <t>relevant</t>
        </is>
      </c>
      <c r="P212" t="b">
        <v>1</v>
      </c>
    </row>
    <row r="213">
      <c r="A213" t="inlineStr">
        <is>
          <t>scott pilgrim</t>
        </is>
      </c>
      <c r="B213" t="inlineStr">
        <is>
          <t>scott pilgrim</t>
        </is>
      </c>
      <c r="C213" t="n">
        <v>1611366257</v>
      </c>
      <c r="D213">
        <f>HYPERLINK("https://www.etsy.com/listing/1611366257", "link")</f>
        <v/>
      </c>
      <c r="E213">
        <f>HYPERLINK("https://atlas.etsycorp.com/listing/1611366257/lookup", "link")</f>
        <v/>
      </c>
      <c r="F213" t="inlineStr">
        <is>
          <t>MICHAEL CERA Shirt, Michael Cera Homage T-Shirt, Michael Austin Cera Canadian Actor Vintage Retro Bootleg Merch, Michael Cera Fans Gift #ARI</t>
        </is>
      </c>
      <c r="G213" t="inlineStr">
        <is>
          <t>Eu2bwisBxZ-Rpg9ERY3QYIyz0cf8</t>
        </is>
      </c>
      <c r="H213" t="inlineStr">
        <is>
          <t>boe</t>
        </is>
      </c>
      <c r="I213" t="inlineStr">
        <is>
          <t>es</t>
        </is>
      </c>
      <c r="J213" t="inlineStr">
        <is>
          <t>intl-es</t>
        </is>
      </c>
      <c r="K213" t="b">
        <v>1</v>
      </c>
      <c r="L213" t="inlineStr">
        <is>
          <t>partial</t>
        </is>
      </c>
      <c r="M213" t="inlineStr">
        <is>
          <t>partial</t>
        </is>
      </c>
      <c r="N213" t="inlineStr">
        <is>
          <t>partial</t>
        </is>
      </c>
      <c r="O213" t="inlineStr">
        <is>
          <t>relevant</t>
        </is>
      </c>
      <c r="P213" t="b">
        <v>1</v>
      </c>
    </row>
    <row r="214">
      <c r="A214" t="inlineStr">
        <is>
          <t>freestyle libre 2</t>
        </is>
      </c>
      <c r="B214" t="inlineStr">
        <is>
          <t>freestyle free 2</t>
        </is>
      </c>
      <c r="C214" t="n">
        <v>931846275</v>
      </c>
      <c r="D214">
        <f>HYPERLINK("https://www.etsy.com/listing/931846275", "link")</f>
        <v/>
      </c>
      <c r="E214">
        <f>HYPERLINK("https://atlas.etsycorp.com/listing/931846275/lookup", "link")</f>
        <v/>
      </c>
      <c r="F214" t="inlineStr">
        <is>
          <t xml:space="preserve">Armband to hold your CGM Guardian Enlite, Freestyle Libre, Medtrum, Dexcom, Sibionics and most insulin patch pump - Dia-Band </t>
        </is>
      </c>
      <c r="G214" t="inlineStr">
        <is>
          <t>EuEEN93tuc989lqywqiMEbewFs23</t>
        </is>
      </c>
      <c r="H214" t="inlineStr">
        <is>
          <t>web</t>
        </is>
      </c>
      <c r="I214" t="inlineStr">
        <is>
          <t>it</t>
        </is>
      </c>
      <c r="J214" t="inlineStr">
        <is>
          <t>intl-it</t>
        </is>
      </c>
      <c r="K214" t="b">
        <v>1</v>
      </c>
      <c r="L214" t="inlineStr">
        <is>
          <t>not_relevant</t>
        </is>
      </c>
      <c r="M214" t="inlineStr">
        <is>
          <t>not_relevant</t>
        </is>
      </c>
      <c r="N214" t="inlineStr">
        <is>
          <t>not_relevant</t>
        </is>
      </c>
      <c r="O214" t="inlineStr">
        <is>
          <t>partial</t>
        </is>
      </c>
      <c r="P214" t="b">
        <v>1</v>
      </c>
    </row>
    <row r="215">
      <c r="A215" t="inlineStr">
        <is>
          <t>maddycatquilts</t>
        </is>
      </c>
      <c r="B215" t="inlineStr"/>
      <c r="C215" t="n">
        <v>1663193441</v>
      </c>
      <c r="D215">
        <f>HYPERLINK("https://www.etsy.com/listing/1663193441", "link")</f>
        <v/>
      </c>
      <c r="E215">
        <f>HYPERLINK("https://atlas.etsycorp.com/listing/1663193441/lookup", "link")</f>
        <v/>
      </c>
      <c r="F215" t="inlineStr">
        <is>
          <t>Heather Ross Hemingway Pouch Medium / mini IPad E-reader case</t>
        </is>
      </c>
      <c r="G215" t="inlineStr">
        <is>
          <t>EuiOwf55b57BcKA1PjdR-3IaZQf5</t>
        </is>
      </c>
      <c r="H215" t="inlineStr">
        <is>
          <t>web</t>
        </is>
      </c>
      <c r="I215" t="inlineStr">
        <is>
          <t>en-US</t>
        </is>
      </c>
      <c r="J215" t="inlineStr">
        <is>
          <t>us_v2-broad</t>
        </is>
      </c>
      <c r="K215" t="b">
        <v>1</v>
      </c>
      <c r="L215" t="inlineStr">
        <is>
          <t>not_relevant</t>
        </is>
      </c>
      <c r="M215" t="inlineStr">
        <is>
          <t>not_relevant</t>
        </is>
      </c>
      <c r="N215" t="inlineStr">
        <is>
          <t>not_relevant</t>
        </is>
      </c>
      <c r="O215" t="inlineStr">
        <is>
          <t>not_relevant</t>
        </is>
      </c>
      <c r="P215" t="b">
        <v>1</v>
      </c>
    </row>
    <row r="216">
      <c r="A216" t="inlineStr">
        <is>
          <t>mush rug</t>
        </is>
      </c>
      <c r="B216" t="inlineStr"/>
      <c r="C216" t="n">
        <v>1643976404</v>
      </c>
      <c r="D216">
        <f>HYPERLINK("https://www.etsy.com/listing/1643976404", "link")</f>
        <v/>
      </c>
      <c r="E216">
        <f>HYPERLINK("https://atlas.etsycorp.com/listing/1643976404/lookup", "link")</f>
        <v/>
      </c>
      <c r="F216" t="inlineStr">
        <is>
          <t>Irregular Ombré Unique Hand-tufted Wool Area Rug Modern Colorful Mat Non Skid High Quality in Size 3x5 , 5x8 , 6x9 , 8x10 and 9x12- PM08</t>
        </is>
      </c>
      <c r="G216" t="inlineStr">
        <is>
          <t>Euo9BIov2hSyW1vmYpgDihlzspfb</t>
        </is>
      </c>
      <c r="H216" t="inlineStr">
        <is>
          <t>boe</t>
        </is>
      </c>
      <c r="I216" t="inlineStr">
        <is>
          <t>en-US</t>
        </is>
      </c>
      <c r="J216" t="inlineStr">
        <is>
          <t>us_v2-direct_unspecified</t>
        </is>
      </c>
      <c r="K216" t="b">
        <v>1</v>
      </c>
      <c r="L216" t="inlineStr">
        <is>
          <t>partial</t>
        </is>
      </c>
      <c r="M216" t="inlineStr">
        <is>
          <t>partial</t>
        </is>
      </c>
      <c r="N216" t="inlineStr">
        <is>
          <t>partial</t>
        </is>
      </c>
      <c r="O216" t="inlineStr">
        <is>
          <t>partial</t>
        </is>
      </c>
      <c r="P216" t="b">
        <v>1</v>
      </c>
    </row>
    <row r="217">
      <c r="A217" t="inlineStr">
        <is>
          <t>marti bracelet</t>
        </is>
      </c>
      <c r="B217" t="inlineStr"/>
      <c r="C217" t="n">
        <v>926897300</v>
      </c>
      <c r="D217">
        <f>HYPERLINK("https://www.etsy.com/listing/926897300", "link")</f>
        <v/>
      </c>
      <c r="E217">
        <f>HYPERLINK("https://atlas.etsycorp.com/listing/926897300/lookup", "link")</f>
        <v/>
      </c>
      <c r="F217" t="inlineStr">
        <is>
          <t>Martis Bracelet - Greek Spring Bracelet- March traditions - Spring is here - Red and White string- Evil Eye -</t>
        </is>
      </c>
      <c r="G217" t="inlineStr">
        <is>
          <t>Eui6z_NC2YaxGxdXpmyWP2aOoide</t>
        </is>
      </c>
      <c r="H217" t="inlineStr">
        <is>
          <t>boe</t>
        </is>
      </c>
      <c r="I217" t="inlineStr">
        <is>
          <t>en-US</t>
        </is>
      </c>
      <c r="J217" t="inlineStr">
        <is>
          <t>us_v2-direct_specified</t>
        </is>
      </c>
      <c r="K217" t="b">
        <v>1</v>
      </c>
      <c r="L217" t="inlineStr">
        <is>
          <t>relevant</t>
        </is>
      </c>
      <c r="M217" t="inlineStr">
        <is>
          <t>relevant</t>
        </is>
      </c>
      <c r="N217" t="inlineStr">
        <is>
          <t>relevant</t>
        </is>
      </c>
      <c r="O217" t="inlineStr">
        <is>
          <t>relevant</t>
        </is>
      </c>
      <c r="P217" t="b">
        <v>1</v>
      </c>
    </row>
    <row r="218">
      <c r="A218" t="inlineStr">
        <is>
          <t>home gift</t>
        </is>
      </c>
      <c r="B218" t="inlineStr"/>
      <c r="C218" t="n">
        <v>1326183511</v>
      </c>
      <c r="D218">
        <f>HYPERLINK("https://www.etsy.com/listing/1326183511", "link")</f>
        <v/>
      </c>
      <c r="E218">
        <f>HYPERLINK("https://atlas.etsycorp.com/listing/1326183511/lookup", "link")</f>
        <v/>
      </c>
      <c r="F218" t="inlineStr">
        <is>
          <t>Round Personalized Charcuterie Board Set/19pcs Cheese Board And Knife Set, Realtor Closing gift, Custom Charcuterie board, Wedding Gift</t>
        </is>
      </c>
      <c r="G218" t="inlineStr">
        <is>
          <t>EuqLmuRY0wVH_cs4vC4rJXVEcW4c</t>
        </is>
      </c>
      <c r="H218" t="inlineStr">
        <is>
          <t>boe</t>
        </is>
      </c>
      <c r="I218" t="inlineStr">
        <is>
          <t>en-US</t>
        </is>
      </c>
      <c r="J218" t="inlineStr">
        <is>
          <t>us_v2-broad</t>
        </is>
      </c>
      <c r="K218" t="b">
        <v>1</v>
      </c>
      <c r="L218" t="inlineStr">
        <is>
          <t>partial</t>
        </is>
      </c>
      <c r="M218" t="inlineStr">
        <is>
          <t>partial</t>
        </is>
      </c>
      <c r="N218" t="inlineStr">
        <is>
          <t>partial</t>
        </is>
      </c>
      <c r="O218" t="inlineStr">
        <is>
          <t>partial</t>
        </is>
      </c>
      <c r="P218" t="b">
        <v>1</v>
      </c>
    </row>
    <row r="219">
      <c r="A219" t="inlineStr">
        <is>
          <t>monalisa prendedor</t>
        </is>
      </c>
      <c r="B219" t="inlineStr">
        <is>
          <t>monalisa clip</t>
        </is>
      </c>
      <c r="C219" t="n">
        <v>1279171034</v>
      </c>
      <c r="D219">
        <f>HYPERLINK("https://www.etsy.com/listing/1279171034", "link")</f>
        <v/>
      </c>
      <c r="E219">
        <f>HYPERLINK("https://atlas.etsycorp.com/listing/1279171034/lookup", "link")</f>
        <v/>
      </c>
      <c r="F219" t="inlineStr">
        <is>
          <t>Hypebeast Mona Lisa Wall Art | Digital Art Download | Digital Download| HypeDecor Poster Print I Street Art I Home Decor Gifts</t>
        </is>
      </c>
      <c r="G219" t="inlineStr">
        <is>
          <t>Eu8eQqooEV7GyNezAoXzQL79IO07</t>
        </is>
      </c>
      <c r="H219" t="inlineStr">
        <is>
          <t>web</t>
        </is>
      </c>
      <c r="I219" t="inlineStr">
        <is>
          <t>pt</t>
        </is>
      </c>
      <c r="J219" t="inlineStr">
        <is>
          <t>intl-pt</t>
        </is>
      </c>
      <c r="K219" t="b">
        <v>1</v>
      </c>
      <c r="L219" t="inlineStr">
        <is>
          <t>relevant</t>
        </is>
      </c>
      <c r="M219" t="inlineStr">
        <is>
          <t>relevant</t>
        </is>
      </c>
      <c r="N219" t="inlineStr">
        <is>
          <t>relevant</t>
        </is>
      </c>
      <c r="O219" t="inlineStr">
        <is>
          <t>relevant</t>
        </is>
      </c>
      <c r="P219" t="b">
        <v>1</v>
      </c>
    </row>
    <row r="220">
      <c r="A220" t="inlineStr">
        <is>
          <t>whole cow leather</t>
        </is>
      </c>
      <c r="B220" t="inlineStr"/>
      <c r="C220" t="n">
        <v>1651471844</v>
      </c>
      <c r="D220">
        <f>HYPERLINK("https://www.etsy.com/listing/1651471844", "link")</f>
        <v/>
      </c>
      <c r="E220">
        <f>HYPERLINK("https://atlas.etsycorp.com/listing/1651471844/lookup", "link")</f>
        <v/>
      </c>
      <c r="F220" t="inlineStr">
        <is>
          <t>Black Cowhide Leather Vegetable Tanned Full Hide First Grade, Full Grain Thick 5 oz Smooth Leather For Crafting, Full / Half Hide,</t>
        </is>
      </c>
      <c r="G220" t="inlineStr">
        <is>
          <t>Eud8TbGch9x3PCLCVT_tqmfRSO3c</t>
        </is>
      </c>
      <c r="H220" t="inlineStr">
        <is>
          <t>web</t>
        </is>
      </c>
      <c r="I220" t="inlineStr">
        <is>
          <t>en-US</t>
        </is>
      </c>
      <c r="J220" t="inlineStr">
        <is>
          <t>us_v2-direct_specified</t>
        </is>
      </c>
      <c r="K220" t="b">
        <v>1</v>
      </c>
      <c r="L220" t="inlineStr">
        <is>
          <t>relevant</t>
        </is>
      </c>
      <c r="M220" t="inlineStr">
        <is>
          <t>relevant</t>
        </is>
      </c>
      <c r="N220" t="inlineStr">
        <is>
          <t>relevant</t>
        </is>
      </c>
      <c r="O220" t="inlineStr">
        <is>
          <t>relevant</t>
        </is>
      </c>
      <c r="P220" t="b">
        <v>1</v>
      </c>
    </row>
    <row r="221">
      <c r="A221" t="inlineStr">
        <is>
          <t>small stained glass window film green</t>
        </is>
      </c>
      <c r="B221" t="inlineStr"/>
      <c r="C221" t="n">
        <v>1566401257</v>
      </c>
      <c r="D221">
        <f>HYPERLINK("https://www.etsy.com/listing/1566401257", "link")</f>
        <v/>
      </c>
      <c r="E221">
        <f>HYPERLINK("https://atlas.etsycorp.com/listing/1566401257/lookup", "link")</f>
        <v/>
      </c>
      <c r="F221" t="inlineStr">
        <is>
          <t>Customize Frosted Stained Glass Films Static Cling Door Sticker Plants Flora Art Elegent Home Window Decor for Bathroom Kitchen Living Room</t>
        </is>
      </c>
      <c r="G221" t="inlineStr">
        <is>
          <t>EuaVcc9aPh1dIkVx1hCwl_n4KCe3</t>
        </is>
      </c>
      <c r="H221" t="inlineStr">
        <is>
          <t>boe</t>
        </is>
      </c>
      <c r="I221" t="inlineStr">
        <is>
          <t>en-GB</t>
        </is>
      </c>
      <c r="J221" t="inlineStr">
        <is>
          <t>us_v2-direct_specified</t>
        </is>
      </c>
      <c r="K221" t="b">
        <v>1</v>
      </c>
      <c r="L221" t="inlineStr">
        <is>
          <t>relevant</t>
        </is>
      </c>
      <c r="M221" t="inlineStr">
        <is>
          <t>relevant</t>
        </is>
      </c>
      <c r="N221" t="inlineStr">
        <is>
          <t>partial</t>
        </is>
      </c>
      <c r="O221" t="inlineStr">
        <is>
          <t>relevant</t>
        </is>
      </c>
      <c r="P221" t="b">
        <v>1</v>
      </c>
    </row>
    <row r="222">
      <c r="A222" t="inlineStr">
        <is>
          <t>essig öl</t>
        </is>
      </c>
      <c r="B222" t="inlineStr">
        <is>
          <t>Vinegar oil</t>
        </is>
      </c>
      <c r="C222" t="n">
        <v>1649030502</v>
      </c>
      <c r="D222">
        <f>HYPERLINK("https://www.etsy.com/listing/1649030502", "link")</f>
        <v/>
      </c>
      <c r="E222">
        <f>HYPERLINK("https://atlas.etsycorp.com/listing/1649030502/lookup", "link")</f>
        <v/>
      </c>
      <c r="F222" t="inlineStr">
        <is>
          <t>Glass bottle with cork stopper &amp; vinegar / oil oil bottle</t>
        </is>
      </c>
      <c r="G222" t="inlineStr">
        <is>
          <t>EuKkJCqHBJ5-8Wil4ulM36oOiR7c</t>
        </is>
      </c>
      <c r="H222" t="inlineStr">
        <is>
          <t>boe</t>
        </is>
      </c>
      <c r="I222" t="inlineStr">
        <is>
          <t>de</t>
        </is>
      </c>
      <c r="J222" t="inlineStr">
        <is>
          <t>intl-de</t>
        </is>
      </c>
      <c r="K222" t="b">
        <v>1</v>
      </c>
      <c r="L222" t="inlineStr">
        <is>
          <t>relevant</t>
        </is>
      </c>
      <c r="M222" t="inlineStr">
        <is>
          <t>relevant</t>
        </is>
      </c>
      <c r="N222" t="inlineStr">
        <is>
          <t>relevant</t>
        </is>
      </c>
      <c r="O222" t="inlineStr">
        <is>
          <t>partial</t>
        </is>
      </c>
      <c r="P222" t="b">
        <v>1</v>
      </c>
    </row>
    <row r="223">
      <c r="A223" t="inlineStr">
        <is>
          <t>gaze Servietten Hochzeit</t>
        </is>
      </c>
      <c r="B223" t="inlineStr">
        <is>
          <t>gauze napkins wedding</t>
        </is>
      </c>
      <c r="C223" t="n">
        <v>1631703249</v>
      </c>
      <c r="D223">
        <f>HYPERLINK("https://www.etsy.com/listing/1631703249", "link")</f>
        <v/>
      </c>
      <c r="E223">
        <f>HYPERLINK("https://atlas.etsycorp.com/listing/1631703249/lookup", "link")</f>
        <v/>
      </c>
      <c r="F223" t="inlineStr">
        <is>
          <t>Wedding Gauze Table Runner Cheesecloth Runner Bridal Shower Party Farm Table Wedding Centerpieces CheeseCloth Napkin Arch Decor Chair Cover</t>
        </is>
      </c>
      <c r="G223" t="inlineStr">
        <is>
          <t>Eu0rnblujBs91OoNil8nGC_ztP93</t>
        </is>
      </c>
      <c r="H223" t="inlineStr">
        <is>
          <t>web</t>
        </is>
      </c>
      <c r="I223" t="inlineStr">
        <is>
          <t>de</t>
        </is>
      </c>
      <c r="J223" t="inlineStr">
        <is>
          <t>intl-de</t>
        </is>
      </c>
      <c r="K223" t="b">
        <v>1</v>
      </c>
      <c r="L223" t="inlineStr">
        <is>
          <t>partial</t>
        </is>
      </c>
      <c r="M223" t="inlineStr">
        <is>
          <t>relevant</t>
        </is>
      </c>
      <c r="N223" t="inlineStr">
        <is>
          <t>partial</t>
        </is>
      </c>
      <c r="O223" t="inlineStr">
        <is>
          <t>partial</t>
        </is>
      </c>
      <c r="P223" t="b">
        <v>1</v>
      </c>
    </row>
    <row r="224">
      <c r="A224" t="inlineStr">
        <is>
          <t>schwebender nachttisch schwarz schmal</t>
        </is>
      </c>
      <c r="B224" t="inlineStr">
        <is>
          <t>floating bedside table black narrow</t>
        </is>
      </c>
      <c r="C224" t="n">
        <v>1682211830</v>
      </c>
      <c r="D224">
        <f>HYPERLINK("https://www.etsy.com/listing/1682211830", "link")</f>
        <v/>
      </c>
      <c r="E224">
        <f>HYPERLINK("https://atlas.etsycorp.com/listing/1682211830/lookup", "link")</f>
        <v/>
      </c>
      <c r="F224" t="inlineStr">
        <is>
          <t>Rattan Drawer Floating Nightstand, Modern Bedside Table, Solid Wood Nightstand, Mid Century, Handmade, Wall Mounted, Floating Bedside Shelf</t>
        </is>
      </c>
      <c r="G224" t="inlineStr">
        <is>
          <t>EuSPLKUgbRlaJzUT7syfdbVII7a0</t>
        </is>
      </c>
      <c r="H224" t="inlineStr">
        <is>
          <t>web</t>
        </is>
      </c>
      <c r="I224" t="inlineStr">
        <is>
          <t>de</t>
        </is>
      </c>
      <c r="J224" t="inlineStr">
        <is>
          <t>intl-de</t>
        </is>
      </c>
      <c r="K224" t="b">
        <v>1</v>
      </c>
      <c r="L224" t="inlineStr">
        <is>
          <t>partial</t>
        </is>
      </c>
      <c r="M224" t="inlineStr">
        <is>
          <t>partial</t>
        </is>
      </c>
      <c r="N224" t="inlineStr">
        <is>
          <t>relevant</t>
        </is>
      </c>
      <c r="O224" t="inlineStr">
        <is>
          <t>partial</t>
        </is>
      </c>
      <c r="P224" t="b">
        <v>1</v>
      </c>
    </row>
    <row r="225">
      <c r="A225" t="inlineStr">
        <is>
          <t>beauty piercing manual</t>
        </is>
      </c>
      <c r="B225" t="inlineStr"/>
      <c r="C225" t="n">
        <v>1437832763</v>
      </c>
      <c r="D225">
        <f>HYPERLINK("https://www.etsy.com/listing/1437832763", "link")</f>
        <v/>
      </c>
      <c r="E225">
        <f>HYPERLINK("https://atlas.etsycorp.com/listing/1437832763/lookup", "link")</f>
        <v/>
      </c>
      <c r="F225" t="inlineStr">
        <is>
          <t>Anatomy &amp; Physiology Digital Editable Training Manual Guide USA | Beauty Training Resources | Anatomy and Physiology Manual for Teaching</t>
        </is>
      </c>
      <c r="G225" t="inlineStr">
        <is>
          <t>EupXOJfLVSpUCyRLJ4cy0aYk_j4c</t>
        </is>
      </c>
      <c r="H225" t="inlineStr">
        <is>
          <t>web</t>
        </is>
      </c>
      <c r="I225" t="inlineStr">
        <is>
          <t>en-US</t>
        </is>
      </c>
      <c r="J225" t="inlineStr">
        <is>
          <t>us_v2-direct_unspecified</t>
        </is>
      </c>
      <c r="K225" t="b">
        <v>1</v>
      </c>
      <c r="L225" t="inlineStr">
        <is>
          <t>partial</t>
        </is>
      </c>
      <c r="M225" t="inlineStr">
        <is>
          <t>not_relevant</t>
        </is>
      </c>
      <c r="N225" t="inlineStr">
        <is>
          <t>partial</t>
        </is>
      </c>
      <c r="O225" t="inlineStr">
        <is>
          <t>partial</t>
        </is>
      </c>
      <c r="P225" t="b">
        <v>1</v>
      </c>
    </row>
    <row r="226">
      <c r="A226" t="inlineStr">
        <is>
          <t>bluffton sc art</t>
        </is>
      </c>
      <c r="B226" t="inlineStr"/>
      <c r="C226" t="n">
        <v>1565371690</v>
      </c>
      <c r="D226">
        <f>HYPERLINK("https://www.etsy.com/listing/1565371690", "link")</f>
        <v/>
      </c>
      <c r="E226">
        <f>HYPERLINK("https://atlas.etsycorp.com/listing/1565371690/lookup", "link")</f>
        <v/>
      </c>
      <c r="F226" t="inlineStr">
        <is>
          <t>Handcrafted Bamboo South Carolina Ocean Art Serving Board or Wall art - South Carolina art, South Carolina Gift</t>
        </is>
      </c>
      <c r="G226" t="inlineStr">
        <is>
          <t>EuIzK7jP2_qlkx-1Q8CMhRjPoma4</t>
        </is>
      </c>
      <c r="H226" t="inlineStr">
        <is>
          <t>web</t>
        </is>
      </c>
      <c r="I226" t="inlineStr">
        <is>
          <t>en-US</t>
        </is>
      </c>
      <c r="J226" t="inlineStr">
        <is>
          <t>us_v2-direct_specified</t>
        </is>
      </c>
      <c r="K226" t="b">
        <v>1</v>
      </c>
      <c r="L226" t="inlineStr">
        <is>
          <t>partial</t>
        </is>
      </c>
      <c r="M226" t="inlineStr">
        <is>
          <t>partial</t>
        </is>
      </c>
      <c r="N226" t="inlineStr">
        <is>
          <t>partial</t>
        </is>
      </c>
      <c r="O226" t="inlineStr">
        <is>
          <t>partial</t>
        </is>
      </c>
      <c r="P226" t="b">
        <v>1</v>
      </c>
    </row>
    <row r="227">
      <c r="A227" t="inlineStr">
        <is>
          <t>playstation hotas stick</t>
        </is>
      </c>
      <c r="B227" t="inlineStr"/>
      <c r="C227" t="n">
        <v>1305793770</v>
      </c>
      <c r="D227">
        <f>HYPERLINK("https://www.etsy.com/listing/1305793770", "link")</f>
        <v/>
      </c>
      <c r="E227">
        <f>HYPERLINK("https://atlas.etsycorp.com/listing/1305793770/lookup", "link")</f>
        <v/>
      </c>
      <c r="F227" t="inlineStr">
        <is>
          <t>PLAYSTATION Led Lightbox Sign</t>
        </is>
      </c>
      <c r="G227" t="inlineStr">
        <is>
          <t>EulgkyCeWtXdgjv6miAcoMJOx1b7</t>
        </is>
      </c>
      <c r="H227" t="inlineStr">
        <is>
          <t>web</t>
        </is>
      </c>
      <c r="I227" t="inlineStr">
        <is>
          <t>en-US</t>
        </is>
      </c>
      <c r="J227" t="inlineStr">
        <is>
          <t>us_v2-direct_specified</t>
        </is>
      </c>
      <c r="K227" t="b">
        <v>1</v>
      </c>
      <c r="L227" t="inlineStr">
        <is>
          <t>partial</t>
        </is>
      </c>
      <c r="M227" t="inlineStr">
        <is>
          <t>partial</t>
        </is>
      </c>
      <c r="N227" t="inlineStr">
        <is>
          <t>not_relevant</t>
        </is>
      </c>
      <c r="O227" t="inlineStr">
        <is>
          <t>partial</t>
        </is>
      </c>
      <c r="P227" t="b">
        <v>1</v>
      </c>
    </row>
    <row r="228">
      <c r="A228" t="inlineStr">
        <is>
          <t>nintendo shadow box</t>
        </is>
      </c>
      <c r="B228" t="inlineStr">
        <is>
          <t>nintendo shadow box</t>
        </is>
      </c>
      <c r="C228" t="n">
        <v>1748212379</v>
      </c>
      <c r="D228">
        <f>HYPERLINK("https://www.etsy.com/listing/1748212379", "link")</f>
        <v/>
      </c>
      <c r="E228">
        <f>HYPERLINK("https://atlas.etsycorp.com/listing/1748212379/lookup", "link")</f>
        <v/>
      </c>
      <c r="F228" t="inlineStr">
        <is>
          <t>The Legend of Zelda Picture Frame GBA/GBC/SNES/N64</t>
        </is>
      </c>
      <c r="G228" t="inlineStr">
        <is>
          <t>EuIMx8mSGMxlFOhQknlo6Nm9xZb4</t>
        </is>
      </c>
      <c r="H228" t="inlineStr">
        <is>
          <t>web</t>
        </is>
      </c>
      <c r="I228" t="inlineStr">
        <is>
          <t>de</t>
        </is>
      </c>
      <c r="J228" t="inlineStr">
        <is>
          <t>intl-de</t>
        </is>
      </c>
      <c r="K228" t="b">
        <v>1</v>
      </c>
      <c r="L228" t="inlineStr">
        <is>
          <t>not_relevant</t>
        </is>
      </c>
      <c r="M228" t="inlineStr">
        <is>
          <t>not_relevant</t>
        </is>
      </c>
      <c r="N228" t="inlineStr">
        <is>
          <t>not_relevant</t>
        </is>
      </c>
      <c r="O228" t="inlineStr">
        <is>
          <t>relevant</t>
        </is>
      </c>
      <c r="P228" t="b">
        <v>1</v>
      </c>
    </row>
    <row r="229">
      <c r="A229" t="inlineStr">
        <is>
          <t>once upon a time in hollywood</t>
        </is>
      </c>
      <c r="B229" t="inlineStr">
        <is>
          <t>once upon a time in hollywood</t>
        </is>
      </c>
      <c r="C229" t="n">
        <v>1755553358</v>
      </c>
      <c r="D229">
        <f>HYPERLINK("https://www.etsy.com/listing/1755553358", "link")</f>
        <v/>
      </c>
      <c r="E229">
        <f>HYPERLINK("https://atlas.etsycorp.com/listing/1755553358/lookup", "link")</f>
        <v/>
      </c>
      <c r="F229" t="inlineStr">
        <is>
          <t>Once Upon A Time in Hollywood Spark Plugs Distressed, BAMArtistry-Shirt</t>
        </is>
      </c>
      <c r="G229" t="inlineStr">
        <is>
          <t>EuJrFUxbdIJlvJpx16dyZ39Huydb</t>
        </is>
      </c>
      <c r="H229" t="inlineStr">
        <is>
          <t>web</t>
        </is>
      </c>
      <c r="I229" t="inlineStr">
        <is>
          <t>nl</t>
        </is>
      </c>
      <c r="J229" t="inlineStr">
        <is>
          <t>intl-nl</t>
        </is>
      </c>
      <c r="K229" t="b">
        <v>1</v>
      </c>
      <c r="L229" t="inlineStr">
        <is>
          <t>relevant</t>
        </is>
      </c>
      <c r="M229" t="inlineStr">
        <is>
          <t>relevant</t>
        </is>
      </c>
      <c r="N229" t="inlineStr">
        <is>
          <t>relevant</t>
        </is>
      </c>
      <c r="O229" t="inlineStr">
        <is>
          <t>relevant</t>
        </is>
      </c>
      <c r="P229" t="b">
        <v>1</v>
      </c>
    </row>
    <row r="230">
      <c r="A230" t="inlineStr">
        <is>
          <t>wedding itenary template</t>
        </is>
      </c>
      <c r="B230" t="inlineStr"/>
      <c r="C230" t="n">
        <v>890849785</v>
      </c>
      <c r="D230">
        <f>HYPERLINK("https://www.etsy.com/listing/890849785", "link")</f>
        <v/>
      </c>
      <c r="E230">
        <f>HYPERLINK("https://atlas.etsycorp.com/listing/890849785/lookup", "link")</f>
        <v/>
      </c>
      <c r="F230" t="inlineStr">
        <is>
          <t>Welcome Letter &amp; Timeline Card, Minimalist Wedding Order of Events, Itinerary Card, Edit with TEMPLETT, Instant Download, WLP-SLI 3890</t>
        </is>
      </c>
      <c r="G230" t="inlineStr">
        <is>
          <t>EumkyCr0qVTgwuifGASvzNSmmr2b</t>
        </is>
      </c>
      <c r="H230" t="inlineStr">
        <is>
          <t>boe</t>
        </is>
      </c>
      <c r="I230" t="inlineStr">
        <is>
          <t>en-US</t>
        </is>
      </c>
      <c r="J230" t="inlineStr">
        <is>
          <t>us_v2-direct_unspecified</t>
        </is>
      </c>
      <c r="K230" t="b">
        <v>1</v>
      </c>
      <c r="L230" t="inlineStr">
        <is>
          <t>relevant</t>
        </is>
      </c>
      <c r="M230" t="inlineStr">
        <is>
          <t>relevant</t>
        </is>
      </c>
      <c r="N230" t="inlineStr">
        <is>
          <t>relevant</t>
        </is>
      </c>
      <c r="O230" t="inlineStr">
        <is>
          <t>relevant</t>
        </is>
      </c>
      <c r="P230" t="b">
        <v>1</v>
      </c>
    </row>
    <row r="231">
      <c r="A231" t="inlineStr">
        <is>
          <t>sac magique</t>
        </is>
      </c>
      <c r="B231" t="inlineStr">
        <is>
          <t>magic bag</t>
        </is>
      </c>
      <c r="C231" t="n">
        <v>1321530445</v>
      </c>
      <c r="D231">
        <f>HYPERLINK("https://www.etsy.com/listing/1321530445", "link")</f>
        <v/>
      </c>
      <c r="E231">
        <f>HYPERLINK("https://atlas.etsycorp.com/listing/1321530445/lookup", "link")</f>
        <v/>
      </c>
      <c r="F231" t="inlineStr">
        <is>
          <t>Blue Rebel Robot Magic Band Buddy - Disney MagicBand+ Plus Puck Holder Icon Keeper</t>
        </is>
      </c>
      <c r="G231" t="inlineStr">
        <is>
          <t>EuGX8ZJSKSnAneAQhB3hlGBWrf75</t>
        </is>
      </c>
      <c r="H231" t="inlineStr">
        <is>
          <t>web</t>
        </is>
      </c>
      <c r="I231" t="inlineStr">
        <is>
          <t>fr</t>
        </is>
      </c>
      <c r="J231" t="inlineStr">
        <is>
          <t>intl-fr</t>
        </is>
      </c>
      <c r="K231" t="b">
        <v>1</v>
      </c>
      <c r="L231" t="inlineStr">
        <is>
          <t>not_relevant</t>
        </is>
      </c>
      <c r="M231" t="inlineStr">
        <is>
          <t>not_relevant</t>
        </is>
      </c>
      <c r="N231" t="inlineStr">
        <is>
          <t>partial</t>
        </is>
      </c>
      <c r="O231" t="inlineStr">
        <is>
          <t>not_relevant</t>
        </is>
      </c>
      <c r="P231" t="b">
        <v>1</v>
      </c>
    </row>
    <row r="232">
      <c r="A232" t="inlineStr">
        <is>
          <t>Adidas bild</t>
        </is>
      </c>
      <c r="B232" t="inlineStr">
        <is>
          <t>Adidas picture</t>
        </is>
      </c>
      <c r="C232" t="n">
        <v>1657830848</v>
      </c>
      <c r="D232">
        <f>HYPERLINK("https://www.etsy.com/listing/1657830848", "link")</f>
        <v/>
      </c>
      <c r="E232">
        <f>HYPERLINK("https://atlas.etsycorp.com/listing/1657830848/lookup", "link")</f>
        <v/>
      </c>
      <c r="F232" t="inlineStr">
        <is>
          <t>Nike Sneakerhead Printable Wall Art, Hypebeast Sneaker Poster Set of 3, Minimalist Hypebeast Shoe poster, Travis Scott Jordan 1 poster.</t>
        </is>
      </c>
      <c r="G232" t="inlineStr">
        <is>
          <t>EuJWV_2BFNJVi13-OTPsjkAL0hb0</t>
        </is>
      </c>
      <c r="H232" t="inlineStr">
        <is>
          <t>web</t>
        </is>
      </c>
      <c r="I232" t="inlineStr">
        <is>
          <t>de</t>
        </is>
      </c>
      <c r="J232" t="inlineStr">
        <is>
          <t>intl-de</t>
        </is>
      </c>
      <c r="K232" t="b">
        <v>1</v>
      </c>
      <c r="L232" t="inlineStr">
        <is>
          <t>not_relevant</t>
        </is>
      </c>
      <c r="M232" t="inlineStr">
        <is>
          <t>not_relevant</t>
        </is>
      </c>
      <c r="N232" t="inlineStr">
        <is>
          <t>not_relevant</t>
        </is>
      </c>
      <c r="O232" t="inlineStr">
        <is>
          <t>not_relevant</t>
        </is>
      </c>
      <c r="P232" t="b">
        <v>1</v>
      </c>
    </row>
    <row r="233">
      <c r="A233" t="inlineStr">
        <is>
          <t>trauergeschenk</t>
        </is>
      </c>
      <c r="B233" t="inlineStr">
        <is>
          <t>sympathy gift</t>
        </is>
      </c>
      <c r="C233" t="n">
        <v>1737503881</v>
      </c>
      <c r="D233">
        <f>HYPERLINK("https://www.etsy.com/listing/1737503881", "link")</f>
        <v/>
      </c>
      <c r="E233">
        <f>HYPERLINK("https://atlas.etsycorp.com/listing/1737503881/lookup", "link")</f>
        <v/>
      </c>
      <c r="F233" t="inlineStr">
        <is>
          <t>Mourning light memorial light lantern farewell mourning gift death memory personalizable grave decoration grave light engraving with name and date</t>
        </is>
      </c>
      <c r="G233" t="inlineStr">
        <is>
          <t>EuaEY2rK-72xUPB70W2j0VzCiIc8</t>
        </is>
      </c>
      <c r="H233" t="inlineStr">
        <is>
          <t>web</t>
        </is>
      </c>
      <c r="I233" t="inlineStr">
        <is>
          <t>de</t>
        </is>
      </c>
      <c r="J233" t="inlineStr">
        <is>
          <t>intl-de</t>
        </is>
      </c>
      <c r="K233" t="b">
        <v>1</v>
      </c>
      <c r="L233" t="inlineStr">
        <is>
          <t>relevant</t>
        </is>
      </c>
      <c r="M233" t="inlineStr">
        <is>
          <t>relevant</t>
        </is>
      </c>
      <c r="N233" t="inlineStr">
        <is>
          <t>relevant</t>
        </is>
      </c>
      <c r="O233" t="inlineStr">
        <is>
          <t>relevant</t>
        </is>
      </c>
      <c r="P233" t="b">
        <v>1</v>
      </c>
    </row>
    <row r="234">
      <c r="A234" t="inlineStr">
        <is>
          <t>bean bag</t>
        </is>
      </c>
      <c r="B234" t="inlineStr">
        <is>
          <t>bean bag</t>
        </is>
      </c>
      <c r="C234" t="n">
        <v>1756077757</v>
      </c>
      <c r="D234">
        <f>HYPERLINK("https://www.etsy.com/listing/1756077757", "link")</f>
        <v/>
      </c>
      <c r="E234">
        <f>HYPERLINK("https://atlas.etsycorp.com/listing/1756077757/lookup", "link")</f>
        <v/>
      </c>
      <c r="F234" t="inlineStr">
        <is>
          <t>bean bag chair cover, Traditional Beanbag, chairs &amp; ottomans, bean bag chair adult</t>
        </is>
      </c>
      <c r="G234" t="inlineStr">
        <is>
          <t>EuJ3Ugi71BiOO5NT-4eknWz8Uz54</t>
        </is>
      </c>
      <c r="H234" t="inlineStr">
        <is>
          <t>boe</t>
        </is>
      </c>
      <c r="I234" t="inlineStr">
        <is>
          <t>pl</t>
        </is>
      </c>
      <c r="J234" t="inlineStr">
        <is>
          <t>intl-pl</t>
        </is>
      </c>
      <c r="K234" t="b">
        <v>1</v>
      </c>
      <c r="L234" t="inlineStr">
        <is>
          <t>partial</t>
        </is>
      </c>
      <c r="M234" t="inlineStr">
        <is>
          <t>partial</t>
        </is>
      </c>
      <c r="N234" t="inlineStr">
        <is>
          <t>relevant</t>
        </is>
      </c>
      <c r="O234" t="inlineStr">
        <is>
          <t>partial</t>
        </is>
      </c>
      <c r="P234" t="b">
        <v>1</v>
      </c>
    </row>
    <row r="235">
      <c r="A235" t="inlineStr">
        <is>
          <t>ciondoli</t>
        </is>
      </c>
      <c r="B235" t="inlineStr">
        <is>
          <t>pendants</t>
        </is>
      </c>
      <c r="C235" t="n">
        <v>1000674744</v>
      </c>
      <c r="D235">
        <f>HYPERLINK("https://www.etsy.com/listing/1000674744", "link")</f>
        <v/>
      </c>
      <c r="E235">
        <f>HYPERLINK("https://atlas.etsycorp.com/listing/1000674744/lookup", "link")</f>
        <v/>
      </c>
      <c r="F235" t="inlineStr">
        <is>
          <t>Genesa Crystal Natural Purifier Orgone Device in 99% Pure Copper, 16 cm in Diameter, 2 Versions, SYMMETRICAL WEATHER</t>
        </is>
      </c>
      <c r="G235" t="inlineStr">
        <is>
          <t>EuZ3Rrd9qU5snxzU1yMUq6T4LZdd</t>
        </is>
      </c>
      <c r="H235" t="inlineStr">
        <is>
          <t>web</t>
        </is>
      </c>
      <c r="I235" t="inlineStr">
        <is>
          <t>it</t>
        </is>
      </c>
      <c r="J235" t="inlineStr">
        <is>
          <t>intl-it</t>
        </is>
      </c>
      <c r="K235" t="b">
        <v>1</v>
      </c>
      <c r="L235" t="inlineStr">
        <is>
          <t>not_relevant</t>
        </is>
      </c>
      <c r="M235" t="inlineStr">
        <is>
          <t>not_relevant</t>
        </is>
      </c>
      <c r="N235" t="inlineStr">
        <is>
          <t>not_relevant</t>
        </is>
      </c>
      <c r="O235" t="inlineStr">
        <is>
          <t>not_relevant</t>
        </is>
      </c>
      <c r="P235" t="b">
        <v>1</v>
      </c>
    </row>
    <row r="236">
      <c r="A236" t="inlineStr">
        <is>
          <t>prénom bois</t>
        </is>
      </c>
      <c r="B236" t="inlineStr">
        <is>
          <t>first name wood</t>
        </is>
      </c>
      <c r="C236" t="n">
        <v>947565180</v>
      </c>
      <c r="D236">
        <f>HYPERLINK("https://www.etsy.com/listing/947565180", "link")</f>
        <v/>
      </c>
      <c r="E236">
        <f>HYPERLINK("https://atlas.etsycorp.com/listing/947565180/lookup", "link")</f>
        <v/>
      </c>
      <c r="F236" t="inlineStr">
        <is>
          <t>Crochet baby rattle with grip ring made of beech wood</t>
        </is>
      </c>
      <c r="G236" t="inlineStr">
        <is>
          <t>Euv9u7zmrIn4UQe41Dv6mbyFzq4f</t>
        </is>
      </c>
      <c r="H236" t="inlineStr">
        <is>
          <t>web</t>
        </is>
      </c>
      <c r="I236" t="inlineStr">
        <is>
          <t>fr</t>
        </is>
      </c>
      <c r="J236" t="inlineStr">
        <is>
          <t>intl-fr</t>
        </is>
      </c>
      <c r="K236" t="b">
        <v>1</v>
      </c>
      <c r="L236" t="inlineStr">
        <is>
          <t>not_relevant</t>
        </is>
      </c>
      <c r="M236" t="inlineStr">
        <is>
          <t>not_relevant</t>
        </is>
      </c>
      <c r="N236" t="inlineStr">
        <is>
          <t>not_relevant</t>
        </is>
      </c>
      <c r="O236" t="inlineStr">
        <is>
          <t>not_relevant</t>
        </is>
      </c>
      <c r="P236" t="b">
        <v>1</v>
      </c>
    </row>
    <row r="237">
      <c r="A237" t="inlineStr">
        <is>
          <t>16x16 chair cushions</t>
        </is>
      </c>
      <c r="B237" t="inlineStr"/>
      <c r="C237" t="n">
        <v>1044075598</v>
      </c>
      <c r="D237">
        <f>HYPERLINK("https://www.etsy.com/listing/1044075598", "link")</f>
        <v/>
      </c>
      <c r="E237">
        <f>HYPERLINK("https://atlas.etsycorp.com/listing/1044075598/lookup", "link")</f>
        <v/>
      </c>
      <c r="F237" t="inlineStr">
        <is>
          <t>Quilted chair cushions / Seat cushions with flowers / Chair pads with ties/ Square chair cushion /Outdoor chair cushion/ cushion with ties</t>
        </is>
      </c>
      <c r="G237" t="inlineStr">
        <is>
          <t>EuvpWYUojdoAekYAA-q49d3lHZ16</t>
        </is>
      </c>
      <c r="H237" t="inlineStr">
        <is>
          <t>boe</t>
        </is>
      </c>
      <c r="I237" t="inlineStr">
        <is>
          <t>en-US</t>
        </is>
      </c>
      <c r="J237" t="inlineStr">
        <is>
          <t>us_v2-direct_unspecified</t>
        </is>
      </c>
      <c r="K237" t="b">
        <v>1</v>
      </c>
      <c r="L237" t="inlineStr">
        <is>
          <t>partial</t>
        </is>
      </c>
      <c r="M237" t="inlineStr">
        <is>
          <t>partial</t>
        </is>
      </c>
      <c r="N237" t="inlineStr">
        <is>
          <t>relevant</t>
        </is>
      </c>
      <c r="O237" t="inlineStr">
        <is>
          <t>partial</t>
        </is>
      </c>
      <c r="P237" t="b">
        <v>1</v>
      </c>
    </row>
    <row r="238">
      <c r="A238" t="inlineStr">
        <is>
          <t>yet stickers</t>
        </is>
      </c>
      <c r="B238" t="inlineStr"/>
      <c r="C238" t="n">
        <v>946462209</v>
      </c>
      <c r="D238">
        <f>HYPERLINK("https://www.etsy.com/listing/946462209", "link")</f>
        <v/>
      </c>
      <c r="E238">
        <f>HYPERLINK("https://atlas.etsycorp.com/listing/946462209/lookup", "link")</f>
        <v/>
      </c>
      <c r="F238" t="inlineStr">
        <is>
          <t>Cooler/Ice Chest Decal | Water Resistant Vinyl Stickers</t>
        </is>
      </c>
      <c r="G238" t="inlineStr">
        <is>
          <t>EuqMMmgX7cYXRxFEgMTP3VIecrcb</t>
        </is>
      </c>
      <c r="H238" t="inlineStr">
        <is>
          <t>web</t>
        </is>
      </c>
      <c r="I238" t="inlineStr">
        <is>
          <t>en-US</t>
        </is>
      </c>
      <c r="J238" t="inlineStr">
        <is>
          <t>us_v2-direct_specified</t>
        </is>
      </c>
      <c r="K238" t="b">
        <v>1</v>
      </c>
      <c r="L238" t="inlineStr">
        <is>
          <t>partial</t>
        </is>
      </c>
      <c r="M238" t="inlineStr">
        <is>
          <t>partial</t>
        </is>
      </c>
      <c r="N238" t="inlineStr">
        <is>
          <t>partial</t>
        </is>
      </c>
      <c r="O238" t="inlineStr">
        <is>
          <t>partial</t>
        </is>
      </c>
      <c r="P238" t="b">
        <v>1</v>
      </c>
    </row>
    <row r="239">
      <c r="A239" t="inlineStr">
        <is>
          <t>custom bobblehead mountain bike</t>
        </is>
      </c>
      <c r="B239" t="inlineStr"/>
      <c r="C239" t="n">
        <v>1565455901</v>
      </c>
      <c r="D239">
        <f>HYPERLINK("https://www.etsy.com/listing/1565455901", "link")</f>
        <v/>
      </c>
      <c r="E239">
        <f>HYPERLINK("https://atlas.etsycorp.com/listing/1565455901/lookup", "link")</f>
        <v/>
      </c>
      <c r="F239" t="inlineStr">
        <is>
          <t>Personalized 3D Wooden Cartoon Bike Racer Figurine Trinket, Christmas Gift, Custom Cartoon Biker Portrait, Birthday Gift, Gift for Her</t>
        </is>
      </c>
      <c r="G239" t="inlineStr">
        <is>
          <t>EuT9kNmy4fzHDmGGvnGLsaTv8c93</t>
        </is>
      </c>
      <c r="H239" t="inlineStr">
        <is>
          <t>web</t>
        </is>
      </c>
      <c r="I239" t="inlineStr">
        <is>
          <t>en-US</t>
        </is>
      </c>
      <c r="J239" t="inlineStr">
        <is>
          <t>us_v2-direct_specified</t>
        </is>
      </c>
      <c r="K239" t="b">
        <v>1</v>
      </c>
      <c r="L239" t="inlineStr">
        <is>
          <t>partial</t>
        </is>
      </c>
      <c r="M239" t="inlineStr">
        <is>
          <t>partial</t>
        </is>
      </c>
      <c r="N239" t="inlineStr">
        <is>
          <t>partial</t>
        </is>
      </c>
      <c r="O239" t="inlineStr">
        <is>
          <t>relevant</t>
        </is>
      </c>
      <c r="P239" t="b">
        <v>1</v>
      </c>
    </row>
    <row r="240">
      <c r="A240" t="inlineStr">
        <is>
          <t>pacha ibiza</t>
        </is>
      </c>
      <c r="B240" t="inlineStr">
        <is>
          <t>pacha ibiza</t>
        </is>
      </c>
      <c r="C240" t="n">
        <v>1631618085</v>
      </c>
      <c r="D240">
        <f>HYPERLINK("https://www.etsy.com/listing/1631618085", "link")</f>
        <v/>
      </c>
      <c r="E240">
        <f>HYPERLINK("https://atlas.etsycorp.com/listing/1631618085/lookup", "link")</f>
        <v/>
      </c>
      <c r="F240" t="inlineStr">
        <is>
          <t>Ibiza, Spain  Trip Surprise Gift Ticket - You&amp;#39;re Going to IBIZA - Printable, Flight, Boarding Pass, Editable, Instant, Travel Print</t>
        </is>
      </c>
      <c r="G240" t="inlineStr">
        <is>
          <t>EuPyp3lxE2oDHUqYP-HrjZjVPad8</t>
        </is>
      </c>
      <c r="H240" t="inlineStr">
        <is>
          <t>boe</t>
        </is>
      </c>
      <c r="I240" t="inlineStr">
        <is>
          <t>nl</t>
        </is>
      </c>
      <c r="J240" t="inlineStr">
        <is>
          <t>intl-nl</t>
        </is>
      </c>
      <c r="K240" t="b">
        <v>1</v>
      </c>
      <c r="L240" t="inlineStr">
        <is>
          <t>partial</t>
        </is>
      </c>
      <c r="M240" t="inlineStr">
        <is>
          <t>partial</t>
        </is>
      </c>
      <c r="N240" t="inlineStr">
        <is>
          <t>partial</t>
        </is>
      </c>
      <c r="O240" t="inlineStr">
        <is>
          <t>partial</t>
        </is>
      </c>
      <c r="P240" t="b">
        <v>1</v>
      </c>
    </row>
    <row r="241">
      <c r="A241" t="inlineStr">
        <is>
          <t>crochet kookaburra</t>
        </is>
      </c>
      <c r="B241" t="inlineStr"/>
      <c r="C241" t="n">
        <v>779229213</v>
      </c>
      <c r="D241">
        <f>HYPERLINK("https://www.etsy.com/listing/779229213", "link")</f>
        <v/>
      </c>
      <c r="E241">
        <f>HYPERLINK("https://atlas.etsycorp.com/listing/779229213/lookup", "link")</f>
        <v/>
      </c>
      <c r="F241" t="inlineStr">
        <is>
          <t>Lorikeet foundation paper piecing FPP pattern DIGITAL DOWNLOAD A4</t>
        </is>
      </c>
      <c r="G241" t="inlineStr">
        <is>
          <t>EuT964tapu5NZWdQX6Nwc2BCi57b</t>
        </is>
      </c>
      <c r="H241" t="inlineStr">
        <is>
          <t>web</t>
        </is>
      </c>
      <c r="I241" t="inlineStr">
        <is>
          <t>en-US</t>
        </is>
      </c>
      <c r="J241" t="inlineStr">
        <is>
          <t>us_v2-direct_unspecified</t>
        </is>
      </c>
      <c r="K241" t="b">
        <v>1</v>
      </c>
      <c r="L241" t="inlineStr">
        <is>
          <t>not_relevant</t>
        </is>
      </c>
      <c r="M241" t="inlineStr">
        <is>
          <t>not_relevant</t>
        </is>
      </c>
      <c r="N241" t="inlineStr">
        <is>
          <t>not_relevant</t>
        </is>
      </c>
      <c r="O241" t="inlineStr">
        <is>
          <t>not_relevant</t>
        </is>
      </c>
      <c r="P241" t="b">
        <v>1</v>
      </c>
    </row>
    <row r="242">
      <c r="A242" t="inlineStr">
        <is>
          <t>baby memory book boy</t>
        </is>
      </c>
      <c r="B242" t="inlineStr"/>
      <c r="C242" t="n">
        <v>752469933</v>
      </c>
      <c r="D242">
        <f>HYPERLINK("https://www.etsy.com/listing/752469933", "link")</f>
        <v/>
      </c>
      <c r="E242">
        <f>HYPERLINK("https://atlas.etsycorp.com/listing/752469933/lookup", "link")</f>
        <v/>
      </c>
      <c r="F242" t="inlineStr">
        <is>
          <t>Baby Book |  First Year Baby Book | Baby Memory Book | Baby Gift | Baby Shower Gift | Gender Neutral | Baby Announcement | Pregnancy</t>
        </is>
      </c>
      <c r="G242" t="inlineStr">
        <is>
          <t>EuwVWYDiWOfvioTSvZwSXnrixQ00</t>
        </is>
      </c>
      <c r="H242" t="inlineStr">
        <is>
          <t>web</t>
        </is>
      </c>
      <c r="I242" t="inlineStr">
        <is>
          <t>en-US</t>
        </is>
      </c>
      <c r="J242" t="inlineStr">
        <is>
          <t>us_v2-direct_unspecified</t>
        </is>
      </c>
      <c r="K242" t="b">
        <v>1</v>
      </c>
      <c r="L242" t="inlineStr">
        <is>
          <t>relevant</t>
        </is>
      </c>
      <c r="M242" t="inlineStr">
        <is>
          <t>relevant</t>
        </is>
      </c>
      <c r="N242" t="inlineStr">
        <is>
          <t>relevant</t>
        </is>
      </c>
      <c r="O242" t="inlineStr">
        <is>
          <t>relevant</t>
        </is>
      </c>
      <c r="P242" t="b">
        <v>1</v>
      </c>
    </row>
    <row r="243">
      <c r="A243" t="inlineStr">
        <is>
          <t>hello sign</t>
        </is>
      </c>
      <c r="B243" t="inlineStr"/>
      <c r="C243" t="n">
        <v>723124037</v>
      </c>
      <c r="D243">
        <f>HYPERLINK("https://www.etsy.com/listing/723124037", "link")</f>
        <v/>
      </c>
      <c r="E243">
        <f>HYPERLINK("https://atlas.etsycorp.com/listing/723124037/lookup", "link")</f>
        <v/>
      </c>
      <c r="F243" t="inlineStr">
        <is>
          <t>Welcome To Our Neck Of The Woods SVG, Welcome Sign, Country, Farm, Deer, Outdoors, Cabin, Quote, House Decor, Silhouette Cricut Cut File</t>
        </is>
      </c>
      <c r="G243" t="inlineStr">
        <is>
          <t>EuwLy-28sC27PEiBTGLvHmAm1ce6</t>
        </is>
      </c>
      <c r="H243" t="inlineStr">
        <is>
          <t>boe</t>
        </is>
      </c>
      <c r="I243" t="inlineStr">
        <is>
          <t>en-US</t>
        </is>
      </c>
      <c r="J243" t="inlineStr">
        <is>
          <t>us_v2-direct_unspecified</t>
        </is>
      </c>
      <c r="K243" t="b">
        <v>1</v>
      </c>
      <c r="L243" t="inlineStr">
        <is>
          <t>partial</t>
        </is>
      </c>
      <c r="M243" t="inlineStr">
        <is>
          <t>partial</t>
        </is>
      </c>
      <c r="N243" t="inlineStr">
        <is>
          <t>partial</t>
        </is>
      </c>
      <c r="O243" t="inlineStr">
        <is>
          <t>partial</t>
        </is>
      </c>
      <c r="P243" t="b">
        <v>1</v>
      </c>
    </row>
    <row r="244">
      <c r="A244" t="inlineStr">
        <is>
          <t>cadre bijoux enfant</t>
        </is>
      </c>
      <c r="B244" t="inlineStr">
        <is>
          <t>child jewelry frame</t>
        </is>
      </c>
      <c r="C244" t="n">
        <v>1361416471</v>
      </c>
      <c r="D244">
        <f>HYPERLINK("https://www.etsy.com/listing/1361416471", "link")</f>
        <v/>
      </c>
      <c r="E244">
        <f>HYPERLINK("https://atlas.etsycorp.com/listing/1361416471/lookup", "link")</f>
        <v/>
      </c>
      <c r="F244" t="inlineStr">
        <is>
          <t>unique photo frames  &amp;quot;the wolf and the pig&amp;quot; &amp;quot;little pig&amp;quot; &amp;quot;little bear&amp;quot; &amp;quot;dog jewelry&amp;quot; 7.5X 5.5 inches</t>
        </is>
      </c>
      <c r="G244" t="inlineStr">
        <is>
          <t>EuYle9LxJ0ElWF6E4iXNELhNFv76</t>
        </is>
      </c>
      <c r="H244" t="inlineStr">
        <is>
          <t>web</t>
        </is>
      </c>
      <c r="I244" t="inlineStr">
        <is>
          <t>fr</t>
        </is>
      </c>
      <c r="J244" t="inlineStr">
        <is>
          <t>intl-fr</t>
        </is>
      </c>
      <c r="K244" t="b">
        <v>1</v>
      </c>
      <c r="L244" t="inlineStr">
        <is>
          <t>not_relevant</t>
        </is>
      </c>
      <c r="M244" t="inlineStr">
        <is>
          <t>not_relevant</t>
        </is>
      </c>
      <c r="N244" t="inlineStr">
        <is>
          <t>relevant</t>
        </is>
      </c>
      <c r="O244" t="inlineStr">
        <is>
          <t>not_relevant</t>
        </is>
      </c>
      <c r="P244" t="b">
        <v>1</v>
      </c>
    </row>
    <row r="245">
      <c r="A245" t="inlineStr">
        <is>
          <t>broek</t>
        </is>
      </c>
      <c r="B245" t="inlineStr">
        <is>
          <t>pants</t>
        </is>
      </c>
      <c r="C245" t="n">
        <v>615170424</v>
      </c>
      <c r="D245">
        <f>HYPERLINK("https://www.etsy.com/listing/615170424", "link")</f>
        <v/>
      </c>
      <c r="E245">
        <f>HYPERLINK("https://atlas.etsycorp.com/listing/615170424/lookup", "link")</f>
        <v/>
      </c>
      <c r="F245" t="inlineStr">
        <is>
          <t>pants turquoise</t>
        </is>
      </c>
      <c r="G245" t="inlineStr">
        <is>
          <t>EumQ3uRyqbuZ5DgeJPQjZ8hyUS19</t>
        </is>
      </c>
      <c r="H245" t="inlineStr">
        <is>
          <t>web</t>
        </is>
      </c>
      <c r="I245" t="inlineStr">
        <is>
          <t>nl</t>
        </is>
      </c>
      <c r="J245" t="inlineStr">
        <is>
          <t>intl-nl</t>
        </is>
      </c>
      <c r="K245" t="b">
        <v>1</v>
      </c>
      <c r="L245" t="inlineStr">
        <is>
          <t>relevant</t>
        </is>
      </c>
      <c r="M245" t="inlineStr">
        <is>
          <t>relevant</t>
        </is>
      </c>
      <c r="N245" t="inlineStr">
        <is>
          <t>relevant</t>
        </is>
      </c>
      <c r="O245" t="inlineStr">
        <is>
          <t>relevant</t>
        </is>
      </c>
      <c r="P245" t="b">
        <v>1</v>
      </c>
    </row>
    <row r="246">
      <c r="A246" t="inlineStr">
        <is>
          <t>doll house siding</t>
        </is>
      </c>
      <c r="B246" t="inlineStr"/>
      <c r="C246" t="n">
        <v>977226368</v>
      </c>
      <c r="D246">
        <f>HYPERLINK("https://www.etsy.com/listing/977226368", "link")</f>
        <v/>
      </c>
      <c r="E246">
        <f>HYPERLINK("https://atlas.etsycorp.com/listing/977226368/lookup", "link")</f>
        <v/>
      </c>
      <c r="F246" t="inlineStr">
        <is>
          <t>DOLLHOUSE white SHIPLAP wallpaper Miniature SIDING Printable clapboard Wooden plank Download for 1/12 Shelf insert Book nook Diorama Roombox</t>
        </is>
      </c>
      <c r="G246" t="inlineStr">
        <is>
          <t>EumTimWDyAwvioO3KmmmNwqWPZ29</t>
        </is>
      </c>
      <c r="H246" t="inlineStr">
        <is>
          <t>boe</t>
        </is>
      </c>
      <c r="I246" t="inlineStr">
        <is>
          <t>en-US</t>
        </is>
      </c>
      <c r="J246" t="inlineStr">
        <is>
          <t>us_v2-direct_unspecified</t>
        </is>
      </c>
      <c r="K246" t="b">
        <v>1</v>
      </c>
      <c r="L246" t="inlineStr">
        <is>
          <t>relevant</t>
        </is>
      </c>
      <c r="M246" t="inlineStr">
        <is>
          <t>relevant</t>
        </is>
      </c>
      <c r="N246" t="inlineStr">
        <is>
          <t>not_relevant</t>
        </is>
      </c>
      <c r="O246" t="inlineStr">
        <is>
          <t>relevant</t>
        </is>
      </c>
      <c r="P246" t="b">
        <v>1</v>
      </c>
    </row>
    <row r="247">
      <c r="A247" t="inlineStr">
        <is>
          <t>disco ball party</t>
        </is>
      </c>
      <c r="B247" t="inlineStr"/>
      <c r="C247" t="n">
        <v>1162358523</v>
      </c>
      <c r="D247">
        <f>HYPERLINK("https://www.etsy.com/listing/1162358523", "link")</f>
        <v/>
      </c>
      <c r="E247">
        <f>HYPERLINK("https://atlas.etsycorp.com/listing/1162358523/lookup", "link")</f>
        <v/>
      </c>
      <c r="F247" t="inlineStr">
        <is>
          <t>Personalised Disco Party Invitations Purple Disco Ball Girls invites</t>
        </is>
      </c>
      <c r="G247" t="inlineStr">
        <is>
          <t>EuAjMqyKppOGp8hR5aKFdkcFeed9</t>
        </is>
      </c>
      <c r="H247" t="inlineStr">
        <is>
          <t>web</t>
        </is>
      </c>
      <c r="I247" t="inlineStr">
        <is>
          <t>en-GB</t>
        </is>
      </c>
      <c r="J247" t="inlineStr">
        <is>
          <t>us_v2-broad</t>
        </is>
      </c>
      <c r="K247" t="b">
        <v>1</v>
      </c>
      <c r="L247" t="inlineStr">
        <is>
          <t>partial</t>
        </is>
      </c>
      <c r="M247" t="inlineStr">
        <is>
          <t>relevant</t>
        </is>
      </c>
      <c r="N247" t="inlineStr">
        <is>
          <t>partial</t>
        </is>
      </c>
      <c r="O247" t="inlineStr">
        <is>
          <t>partial</t>
        </is>
      </c>
      <c r="P247" t="b">
        <v>1</v>
      </c>
    </row>
    <row r="248">
      <c r="A248" t="inlineStr">
        <is>
          <t>fern resin necklace</t>
        </is>
      </c>
      <c r="B248" t="inlineStr"/>
      <c r="C248" t="n">
        <v>1395829219</v>
      </c>
      <c r="D248">
        <f>HYPERLINK("https://www.etsy.com/listing/1395829219", "link")</f>
        <v/>
      </c>
      <c r="E248">
        <f>HYPERLINK("https://atlas.etsycorp.com/listing/1395829219/lookup", "link")</f>
        <v/>
      </c>
      <c r="F248" t="inlineStr">
        <is>
          <t>Handmade Real Fern Leves Earrings,  Pressed Leaves Earrings, Resin Fern Leaf Earrings, Natural Jewellry, Christmas Birthday Gifts For Women</t>
        </is>
      </c>
      <c r="G248" t="inlineStr">
        <is>
          <t>EujVa1pPnYkGZp0SLnxPS3-63V1d</t>
        </is>
      </c>
      <c r="H248" t="inlineStr">
        <is>
          <t>web</t>
        </is>
      </c>
      <c r="I248" t="inlineStr">
        <is>
          <t>en-US</t>
        </is>
      </c>
      <c r="J248" t="inlineStr">
        <is>
          <t>us_v2-direct_specified</t>
        </is>
      </c>
      <c r="K248" t="b">
        <v>1</v>
      </c>
      <c r="L248" t="inlineStr">
        <is>
          <t>partial</t>
        </is>
      </c>
      <c r="M248" t="inlineStr">
        <is>
          <t>partial</t>
        </is>
      </c>
      <c r="N248" t="inlineStr">
        <is>
          <t>partial</t>
        </is>
      </c>
      <c r="O248" t="inlineStr">
        <is>
          <t>partial</t>
        </is>
      </c>
      <c r="P248" t="b">
        <v>1</v>
      </c>
    </row>
    <row r="249">
      <c r="A249" t="inlineStr">
        <is>
          <t>bob esponja invitacion</t>
        </is>
      </c>
      <c r="B249" t="inlineStr">
        <is>
          <t>spongebob invitation</t>
        </is>
      </c>
      <c r="C249" t="n">
        <v>1749154697</v>
      </c>
      <c r="D249">
        <f>HYPERLINK("https://www.etsy.com/listing/1749154697", "link")</f>
        <v/>
      </c>
      <c r="E249">
        <f>HYPERLINK("https://atlas.etsycorp.com/listing/1749154697/lookup", "link")</f>
        <v/>
      </c>
      <c r="F249" t="inlineStr">
        <is>
          <t>Superhero Cartoon Portrait, Kids Cartoon portrait,  Custom Cartoon portrait, Gift for kids, Birthday Fun Gift, Birthday ideas, Digital File</t>
        </is>
      </c>
      <c r="G249" t="inlineStr">
        <is>
          <t>EuVRsjDTrAYe5E7WsECe-diwMwd0</t>
        </is>
      </c>
      <c r="H249" t="inlineStr">
        <is>
          <t>web</t>
        </is>
      </c>
      <c r="I249" t="inlineStr">
        <is>
          <t>es</t>
        </is>
      </c>
      <c r="J249" t="inlineStr">
        <is>
          <t>intl-es</t>
        </is>
      </c>
      <c r="K249" t="b">
        <v>1</v>
      </c>
      <c r="L249" t="inlineStr">
        <is>
          <t>not_relevant</t>
        </is>
      </c>
      <c r="M249" t="inlineStr">
        <is>
          <t>not_relevant</t>
        </is>
      </c>
      <c r="N249" t="inlineStr">
        <is>
          <t>not_relevant</t>
        </is>
      </c>
      <c r="O249" t="inlineStr">
        <is>
          <t>not_relevant</t>
        </is>
      </c>
      <c r="P249" t="b">
        <v>1</v>
      </c>
    </row>
    <row r="250">
      <c r="A250" t="inlineStr">
        <is>
          <t>bonvon</t>
        </is>
      </c>
      <c r="B250" t="inlineStr">
        <is>
          <t>bonbon</t>
        </is>
      </c>
      <c r="C250" t="n">
        <v>512188034</v>
      </c>
      <c r="D250">
        <f>HYPERLINK("https://www.etsy.com/listing/512188034", "link")</f>
        <v/>
      </c>
      <c r="E250">
        <f>HYPERLINK("https://atlas.etsycorp.com/listing/512188034/lookup", "link")</f>
        <v/>
      </c>
      <c r="F250" t="inlineStr">
        <is>
          <t>Bon Bon Earrings. Ball drop earrings. Bonbons earrings. White color ball drop earrings, Beads dangle earrings with four crochet balls</t>
        </is>
      </c>
      <c r="G250" t="inlineStr">
        <is>
          <t>EuHkh2tpMYw809P34zqUx1C5cEb4</t>
        </is>
      </c>
      <c r="H250" t="inlineStr">
        <is>
          <t>boe</t>
        </is>
      </c>
      <c r="I250" t="inlineStr">
        <is>
          <t>fr</t>
        </is>
      </c>
      <c r="J250" t="inlineStr">
        <is>
          <t>intl-fr</t>
        </is>
      </c>
      <c r="K250" t="b">
        <v>1</v>
      </c>
      <c r="L250" t="inlineStr">
        <is>
          <t>relevant</t>
        </is>
      </c>
      <c r="M250" t="inlineStr">
        <is>
          <t>not_relevant</t>
        </is>
      </c>
      <c r="N250" t="inlineStr">
        <is>
          <t>relevant</t>
        </is>
      </c>
      <c r="O250" t="inlineStr">
        <is>
          <t>relevant</t>
        </is>
      </c>
      <c r="P250" t="b">
        <v>1</v>
      </c>
    </row>
    <row r="251">
      <c r="A251" t="inlineStr">
        <is>
          <t>pottery jug</t>
        </is>
      </c>
      <c r="B251" t="inlineStr"/>
      <c r="C251" t="n">
        <v>1288804377</v>
      </c>
      <c r="D251">
        <f>HYPERLINK("https://www.etsy.com/listing/1288804377", "link")</f>
        <v/>
      </c>
      <c r="E251">
        <f>HYPERLINK("https://atlas.etsycorp.com/listing/1288804377/lookup", "link")</f>
        <v/>
      </c>
      <c r="F251" t="inlineStr">
        <is>
          <t>Stoneware Embossed Jug - Goose, Cow or Chicken</t>
        </is>
      </c>
      <c r="G251" t="inlineStr">
        <is>
          <t>Eu76SjgFWJeNBVAOW8lwyZqLCc87</t>
        </is>
      </c>
      <c r="H251" t="inlineStr">
        <is>
          <t>boe</t>
        </is>
      </c>
      <c r="I251" t="inlineStr">
        <is>
          <t>en-US</t>
        </is>
      </c>
      <c r="J251" t="inlineStr">
        <is>
          <t>us_v2-direct_unspecified</t>
        </is>
      </c>
      <c r="K251" t="b">
        <v>1</v>
      </c>
      <c r="L251" t="inlineStr">
        <is>
          <t>partial</t>
        </is>
      </c>
      <c r="M251" t="inlineStr">
        <is>
          <t>relevant</t>
        </is>
      </c>
      <c r="N251" t="inlineStr">
        <is>
          <t>partial</t>
        </is>
      </c>
      <c r="O251" t="inlineStr">
        <is>
          <t>partial</t>
        </is>
      </c>
      <c r="P251" t="b">
        <v>1</v>
      </c>
    </row>
    <row r="252">
      <c r="A252" t="inlineStr">
        <is>
          <t>diario de gratitud</t>
        </is>
      </c>
      <c r="B252" t="inlineStr">
        <is>
          <t>gratitude journal</t>
        </is>
      </c>
      <c r="C252" t="n">
        <v>1661820574</v>
      </c>
      <c r="D252">
        <f>HYPERLINK("https://www.etsy.com/listing/1661820574", "link")</f>
        <v/>
      </c>
      <c r="E252">
        <f>HYPERLINK("https://atlas.etsycorp.com/listing/1661820574/lookup", "link")</f>
        <v/>
      </c>
      <c r="F252" t="inlineStr">
        <is>
          <t>All-in-One Digital Planner 2024, 2025, 2026, Undated Digital Planner, Digital Journal, Digital Goodnotes Template, Notability, Daily Planner</t>
        </is>
      </c>
      <c r="G252" t="inlineStr">
        <is>
          <t>EuVJNhsFzeQjPc1LbJs9n8Aojhf4</t>
        </is>
      </c>
      <c r="H252" t="inlineStr">
        <is>
          <t>web</t>
        </is>
      </c>
      <c r="I252" t="inlineStr">
        <is>
          <t>es</t>
        </is>
      </c>
      <c r="J252" t="inlineStr">
        <is>
          <t>intl-es</t>
        </is>
      </c>
      <c r="K252" t="b">
        <v>1</v>
      </c>
      <c r="L252" t="inlineStr">
        <is>
          <t>partial</t>
        </is>
      </c>
      <c r="M252" t="inlineStr">
        <is>
          <t>partial</t>
        </is>
      </c>
      <c r="N252" t="inlineStr">
        <is>
          <t>partial</t>
        </is>
      </c>
      <c r="O252" t="inlineStr">
        <is>
          <t>not_relevant</t>
        </is>
      </c>
      <c r="P252" t="b">
        <v>1</v>
      </c>
    </row>
    <row r="253">
      <c r="A253" t="inlineStr">
        <is>
          <t>engagement rings</t>
        </is>
      </c>
      <c r="B253" t="inlineStr">
        <is>
          <t>engagement rings</t>
        </is>
      </c>
      <c r="C253" t="n">
        <v>1376981568</v>
      </c>
      <c r="D253">
        <f>HYPERLINK("https://www.etsy.com/listing/1376981568", "link")</f>
        <v/>
      </c>
      <c r="E253">
        <f>HYPERLINK("https://atlas.etsycorp.com/listing/1376981568/lookup", "link")</f>
        <v/>
      </c>
      <c r="F253" t="inlineStr">
        <is>
          <t>2.0 CT Radiant Cut Moissanite Halo Engagement Ring/14K Solid White Gold Ring Wedding Anniversary Gift/925 Sterling Silver Ring/Proposal Ring</t>
        </is>
      </c>
      <c r="G253" t="inlineStr">
        <is>
          <t>Eux549B2vFZlRFGBVaOtMph5k95e</t>
        </is>
      </c>
      <c r="H253" t="inlineStr">
        <is>
          <t>boe</t>
        </is>
      </c>
      <c r="I253" t="inlineStr">
        <is>
          <t>es</t>
        </is>
      </c>
      <c r="J253" t="inlineStr">
        <is>
          <t>intl-es</t>
        </is>
      </c>
      <c r="K253" t="b">
        <v>1</v>
      </c>
      <c r="L253" t="inlineStr">
        <is>
          <t>relevant</t>
        </is>
      </c>
      <c r="M253" t="inlineStr">
        <is>
          <t>relevant</t>
        </is>
      </c>
      <c r="N253" t="inlineStr">
        <is>
          <t>relevant</t>
        </is>
      </c>
      <c r="O253" t="inlineStr">
        <is>
          <t>relevant</t>
        </is>
      </c>
      <c r="P253" t="b">
        <v>1</v>
      </c>
    </row>
    <row r="254">
      <c r="A254" t="inlineStr">
        <is>
          <t>vintage portable compact mirror asiatique</t>
        </is>
      </c>
      <c r="B254" t="inlineStr">
        <is>
          <t>vintage portable compact mirror asiatique</t>
        </is>
      </c>
      <c r="C254" t="n">
        <v>1595892207</v>
      </c>
      <c r="D254">
        <f>HYPERLINK("https://www.etsy.com/listing/1595892207", "link")</f>
        <v/>
      </c>
      <c r="E254">
        <f>HYPERLINK("https://atlas.etsycorp.com/listing/1595892207/lookup", "link")</f>
        <v/>
      </c>
      <c r="F254" t="inlineStr">
        <is>
          <t>Set of 10 high-quality flower embroidery Korean traditional double-sided hand mirrors</t>
        </is>
      </c>
      <c r="G254" t="inlineStr">
        <is>
          <t>EubNtsjAxYzIuuxmQbECBkWe5sef</t>
        </is>
      </c>
      <c r="H254" t="inlineStr">
        <is>
          <t>boe</t>
        </is>
      </c>
      <c r="I254" t="inlineStr">
        <is>
          <t>fr</t>
        </is>
      </c>
      <c r="J254" t="inlineStr">
        <is>
          <t>intl-fr</t>
        </is>
      </c>
      <c r="K254" t="b">
        <v>1</v>
      </c>
      <c r="L254" t="inlineStr">
        <is>
          <t>relevant</t>
        </is>
      </c>
      <c r="M254" t="inlineStr">
        <is>
          <t>relevant</t>
        </is>
      </c>
      <c r="N254" t="inlineStr">
        <is>
          <t>relevant</t>
        </is>
      </c>
      <c r="O254" t="inlineStr">
        <is>
          <t>relevant</t>
        </is>
      </c>
      <c r="P254" t="b">
        <v>1</v>
      </c>
    </row>
    <row r="255">
      <c r="A255" t="inlineStr">
        <is>
          <t>d &amp; d stained glass png</t>
        </is>
      </c>
      <c r="B255" t="inlineStr"/>
      <c r="C255" t="n">
        <v>1421091438</v>
      </c>
      <c r="D255">
        <f>HYPERLINK("https://www.etsy.com/listing/1421091438", "link")</f>
        <v/>
      </c>
      <c r="E255">
        <f>HYPERLINK("https://atlas.etsycorp.com/listing/1421091438/lookup", "link")</f>
        <v/>
      </c>
      <c r="F255" t="inlineStr">
        <is>
          <t>Faux Stained Glass Patriotic American Flag Sublimation Design - July 4th Wreath Sign - Door Hanger - Printable - Download - Commercial Use</t>
        </is>
      </c>
      <c r="G255" t="inlineStr">
        <is>
          <t>EuuomExYs5kudZgBv1hye6oIIb1c</t>
        </is>
      </c>
      <c r="H255" t="inlineStr">
        <is>
          <t>web</t>
        </is>
      </c>
      <c r="I255" t="inlineStr">
        <is>
          <t>en-US</t>
        </is>
      </c>
      <c r="J255" t="inlineStr">
        <is>
          <t>us_v2-direct_specified</t>
        </is>
      </c>
      <c r="K255" t="b">
        <v>1</v>
      </c>
      <c r="L255" t="inlineStr">
        <is>
          <t>partial</t>
        </is>
      </c>
      <c r="M255" t="inlineStr">
        <is>
          <t>relevant</t>
        </is>
      </c>
      <c r="N255" t="inlineStr">
        <is>
          <t>partial</t>
        </is>
      </c>
      <c r="O255" t="inlineStr">
        <is>
          <t>partial</t>
        </is>
      </c>
      <c r="P255" t="b">
        <v>1</v>
      </c>
    </row>
    <row r="256">
      <c r="A256" t="inlineStr">
        <is>
          <t>custom handstamped keychain</t>
        </is>
      </c>
      <c r="B256" t="inlineStr"/>
      <c r="C256" t="n">
        <v>1649805467</v>
      </c>
      <c r="D256">
        <f>HYPERLINK("https://www.etsy.com/listing/1649805467", "link")</f>
        <v/>
      </c>
      <c r="E256">
        <f>HYPERLINK("https://atlas.etsycorp.com/listing/1649805467/lookup", "link")</f>
        <v/>
      </c>
      <c r="F256" t="inlineStr">
        <is>
          <t>Photo Keychain, PU Leather Keychain, Car Accessories For Him, Personalized Photo Gift, Anniversary Gift For Boyfriend, For Husband, For Men</t>
        </is>
      </c>
      <c r="G256" t="inlineStr">
        <is>
          <t>Eu-MtdcOdi9KdWsxZy3IIZEL6s88</t>
        </is>
      </c>
      <c r="H256" t="inlineStr">
        <is>
          <t>boe</t>
        </is>
      </c>
      <c r="I256" t="inlineStr">
        <is>
          <t>en-US</t>
        </is>
      </c>
      <c r="J256" t="inlineStr">
        <is>
          <t>us_v2-direct_specified</t>
        </is>
      </c>
      <c r="K256" t="b">
        <v>1</v>
      </c>
      <c r="L256" t="inlineStr">
        <is>
          <t>partial</t>
        </is>
      </c>
      <c r="M256" t="inlineStr">
        <is>
          <t>partial</t>
        </is>
      </c>
      <c r="N256" t="inlineStr">
        <is>
          <t>partial</t>
        </is>
      </c>
      <c r="O256" t="inlineStr">
        <is>
          <t>relevant</t>
        </is>
      </c>
      <c r="P256" t="b">
        <v>1</v>
      </c>
    </row>
    <row r="257">
      <c r="A257" t="inlineStr">
        <is>
          <t>friends pencil case</t>
        </is>
      </c>
      <c r="B257" t="inlineStr"/>
      <c r="C257" t="n">
        <v>1301906539</v>
      </c>
      <c r="D257">
        <f>HYPERLINK("https://www.etsy.com/listing/1301906539", "link")</f>
        <v/>
      </c>
      <c r="E257">
        <f>HYPERLINK("https://atlas.etsycorp.com/listing/1301906539/lookup", "link")</f>
        <v/>
      </c>
      <c r="F257" t="inlineStr">
        <is>
          <t>Pencil Case  Storage Bag Canvas Makeup Bag  friends  friends themed  name/ personalised/ cosmetic</t>
        </is>
      </c>
      <c r="G257" t="inlineStr">
        <is>
          <t>EuEiUNsZ4jOOngGgJ9TGaqsdpd20</t>
        </is>
      </c>
      <c r="H257" t="inlineStr">
        <is>
          <t>web</t>
        </is>
      </c>
      <c r="I257" t="inlineStr">
        <is>
          <t>en-US</t>
        </is>
      </c>
      <c r="J257" t="inlineStr">
        <is>
          <t>us_v2-direct_specified</t>
        </is>
      </c>
      <c r="K257" t="b">
        <v>1</v>
      </c>
      <c r="L257" t="inlineStr">
        <is>
          <t>relevant</t>
        </is>
      </c>
      <c r="M257" t="inlineStr">
        <is>
          <t>relevant</t>
        </is>
      </c>
      <c r="N257" t="inlineStr">
        <is>
          <t>relevant</t>
        </is>
      </c>
      <c r="O257" t="inlineStr">
        <is>
          <t>relevant</t>
        </is>
      </c>
      <c r="P257" t="b">
        <v>1</v>
      </c>
    </row>
    <row r="258">
      <c r="A258" t="inlineStr">
        <is>
          <t>crystal rings for women</t>
        </is>
      </c>
      <c r="B258" t="inlineStr">
        <is>
          <t>crystal rings for women</t>
        </is>
      </c>
      <c r="C258" t="n">
        <v>1590282559</v>
      </c>
      <c r="D258">
        <f>HYPERLINK("https://www.etsy.com/listing/1590282559", "link")</f>
        <v/>
      </c>
      <c r="E258">
        <f>HYPERLINK("https://atlas.etsycorp.com/listing/1590282559/lookup", "link")</f>
        <v/>
      </c>
      <c r="F258" t="inlineStr">
        <is>
          <t>Gemstone Ring, statement ring irregular chunky gemstone ring, amber ring, 18k gold filled ring, natural gemstone ring, thick gold band agate</t>
        </is>
      </c>
      <c r="G258" t="inlineStr">
        <is>
          <t>EuzwWxvOGScA0rVcC5kd3I5BGfb8</t>
        </is>
      </c>
      <c r="H258" t="inlineStr">
        <is>
          <t>web</t>
        </is>
      </c>
      <c r="I258" t="inlineStr">
        <is>
          <t>ja</t>
        </is>
      </c>
      <c r="J258" t="inlineStr">
        <is>
          <t>intl-ja</t>
        </is>
      </c>
      <c r="K258" t="b">
        <v>1</v>
      </c>
      <c r="L258" t="inlineStr">
        <is>
          <t>partial</t>
        </is>
      </c>
      <c r="M258" t="inlineStr">
        <is>
          <t>partial</t>
        </is>
      </c>
      <c r="N258" t="inlineStr">
        <is>
          <t>partial</t>
        </is>
      </c>
      <c r="O258" t="inlineStr">
        <is>
          <t>relevant</t>
        </is>
      </c>
      <c r="P258" t="b">
        <v>1</v>
      </c>
    </row>
    <row r="259">
      <c r="A259" t="inlineStr">
        <is>
          <t>ponyo blanket</t>
        </is>
      </c>
      <c r="B259" t="inlineStr"/>
      <c r="C259" t="n">
        <v>1167004807</v>
      </c>
      <c r="D259">
        <f>HYPERLINK("https://www.etsy.com/listing/1167004807", "link")</f>
        <v/>
      </c>
      <c r="E259">
        <f>HYPERLINK("https://atlas.etsycorp.com/listing/1167004807/lookup", "link")</f>
        <v/>
      </c>
      <c r="F259" t="inlineStr">
        <is>
          <t>Studio Ghibli Spirited Away Poster Print Haku in the clouds Borderless Print Gift Idea Framed or Unframed</t>
        </is>
      </c>
      <c r="G259" t="inlineStr">
        <is>
          <t>EuLDbjLVLyToQQngkFIC2T8Ni2c1</t>
        </is>
      </c>
      <c r="H259" t="inlineStr">
        <is>
          <t>boe</t>
        </is>
      </c>
      <c r="I259" t="inlineStr">
        <is>
          <t>en-GB</t>
        </is>
      </c>
      <c r="J259" t="inlineStr">
        <is>
          <t>us_v2-direct_unspecified</t>
        </is>
      </c>
      <c r="K259" t="b">
        <v>1</v>
      </c>
      <c r="L259" t="inlineStr">
        <is>
          <t>not_relevant</t>
        </is>
      </c>
      <c r="M259" t="inlineStr">
        <is>
          <t>not_relevant</t>
        </is>
      </c>
      <c r="N259" t="inlineStr">
        <is>
          <t>not_relevant</t>
        </is>
      </c>
      <c r="O259" t="inlineStr">
        <is>
          <t>not_relevant</t>
        </is>
      </c>
      <c r="P259" t="b">
        <v>1</v>
      </c>
    </row>
    <row r="260">
      <c r="A260" t="inlineStr">
        <is>
          <t>sza poster</t>
        </is>
      </c>
      <c r="B260" t="inlineStr"/>
      <c r="C260" t="n">
        <v>1585073186</v>
      </c>
      <c r="D260">
        <f>HYPERLINK("https://www.etsy.com/listing/1585073186", "link")</f>
        <v/>
      </c>
      <c r="E260">
        <f>HYPERLINK("https://atlas.etsycorp.com/listing/1585073186/lookup", "link")</f>
        <v/>
      </c>
      <c r="F260" t="inlineStr">
        <is>
          <t>SZA - CTRL T-shirt, sza Graphic Tee, sza Merch, Rap Shirt, SOS, sza unisex gift, Concert T Shirt, Rap Unisex</t>
        </is>
      </c>
      <c r="G260" t="inlineStr">
        <is>
          <t>EuU57AjjUvPHW5cnQG7_T7EPcl4c</t>
        </is>
      </c>
      <c r="H260" t="inlineStr">
        <is>
          <t>boe</t>
        </is>
      </c>
      <c r="I260" t="inlineStr">
        <is>
          <t>en-US</t>
        </is>
      </c>
      <c r="J260" t="inlineStr">
        <is>
          <t>us_v2-direct_specified</t>
        </is>
      </c>
      <c r="K260" t="b">
        <v>1</v>
      </c>
      <c r="L260" t="inlineStr">
        <is>
          <t>partial</t>
        </is>
      </c>
      <c r="M260" t="inlineStr">
        <is>
          <t>partial</t>
        </is>
      </c>
      <c r="N260" t="inlineStr">
        <is>
          <t>partial</t>
        </is>
      </c>
      <c r="O260" t="inlineStr">
        <is>
          <t>not_relevant</t>
        </is>
      </c>
      <c r="P260" t="b">
        <v>1</v>
      </c>
    </row>
    <row r="261">
      <c r="A261" t="inlineStr">
        <is>
          <t>logo R300</t>
        </is>
      </c>
      <c r="B261" t="inlineStr">
        <is>
          <t>R300 logo</t>
        </is>
      </c>
      <c r="C261" t="n">
        <v>1575443618</v>
      </c>
      <c r="D261">
        <f>HYPERLINK("https://www.etsy.com/listing/1575443618", "link")</f>
        <v/>
      </c>
      <c r="E261">
        <f>HYPERLINK("https://atlas.etsycorp.com/listing/1575443618/lookup", "link")</f>
        <v/>
      </c>
      <c r="F261" t="inlineStr">
        <is>
          <t>Motorcycle car stickers smax nmax xmax tmax nvx r1 r3 r6 r7 r15 r25 decals Vinyl Material for yamaha</t>
        </is>
      </c>
      <c r="G261" t="inlineStr">
        <is>
          <t>Eu5EDdHf9cx304iu67_tohDrBb63</t>
        </is>
      </c>
      <c r="H261" t="inlineStr">
        <is>
          <t>boe</t>
        </is>
      </c>
      <c r="I261" t="inlineStr">
        <is>
          <t>fr</t>
        </is>
      </c>
      <c r="J261" t="inlineStr">
        <is>
          <t>intl-fr</t>
        </is>
      </c>
      <c r="K261" t="b">
        <v>1</v>
      </c>
      <c r="L261" t="inlineStr">
        <is>
          <t>not_relevant</t>
        </is>
      </c>
      <c r="M261" t="inlineStr">
        <is>
          <t>not_relevant</t>
        </is>
      </c>
      <c r="N261" t="inlineStr">
        <is>
          <t>not_relevant</t>
        </is>
      </c>
      <c r="O261" t="inlineStr">
        <is>
          <t>not_relevant</t>
        </is>
      </c>
      <c r="P261" t="b">
        <v>1</v>
      </c>
    </row>
    <row r="262">
      <c r="A262" t="inlineStr">
        <is>
          <t>Chinese  lingerie</t>
        </is>
      </c>
      <c r="B262" t="inlineStr"/>
      <c r="C262" t="n">
        <v>537136877</v>
      </c>
      <c r="D262">
        <f>HYPERLINK("https://www.etsy.com/listing/537136877", "link")</f>
        <v/>
      </c>
      <c r="E262">
        <f>HYPERLINK("https://atlas.etsycorp.com/listing/537136877/lookup", "link")</f>
        <v/>
      </c>
      <c r="F262" t="inlineStr">
        <is>
          <t>long black draped dress with hood - fishnet fabric - faux leather belt - o rings and harness chains - gothic fashion - MADE TO ORDER</t>
        </is>
      </c>
      <c r="G262" t="inlineStr">
        <is>
          <t>EuV1fSfIJ9EpG4BxweQ-Skquxv0a</t>
        </is>
      </c>
      <c r="H262" t="inlineStr">
        <is>
          <t>web</t>
        </is>
      </c>
      <c r="I262" t="inlineStr">
        <is>
          <t>en-GB</t>
        </is>
      </c>
      <c r="J262" t="inlineStr">
        <is>
          <t>us_v2-direct_specified</t>
        </is>
      </c>
      <c r="K262" t="b">
        <v>1</v>
      </c>
      <c r="L262" t="inlineStr">
        <is>
          <t>partial</t>
        </is>
      </c>
      <c r="M262" t="inlineStr">
        <is>
          <t>partial</t>
        </is>
      </c>
      <c r="N262" t="inlineStr">
        <is>
          <t>not_relevant</t>
        </is>
      </c>
      <c r="O262" t="inlineStr">
        <is>
          <t>partial</t>
        </is>
      </c>
      <c r="P262" t="b">
        <v>1</v>
      </c>
    </row>
    <row r="263">
      <c r="A263" t="inlineStr">
        <is>
          <t>carved oak side table</t>
        </is>
      </c>
      <c r="B263" t="inlineStr"/>
      <c r="C263" t="n">
        <v>1324724676</v>
      </c>
      <c r="D263">
        <f>HYPERLINK("https://www.etsy.com/listing/1324724676", "link")</f>
        <v/>
      </c>
      <c r="E263">
        <f>HYPERLINK("https://atlas.etsycorp.com/listing/1324724676/lookup", "link")</f>
        <v/>
      </c>
      <c r="F263" t="inlineStr">
        <is>
          <t>Side Table | Modern Accent Table | Scandi Wood Bedside Table</t>
        </is>
      </c>
      <c r="G263" t="inlineStr">
        <is>
          <t>EuITEKLFzswmj7wFF6cMMCi5Jcde</t>
        </is>
      </c>
      <c r="H263" t="inlineStr">
        <is>
          <t>web</t>
        </is>
      </c>
      <c r="I263" t="inlineStr">
        <is>
          <t>en-US</t>
        </is>
      </c>
      <c r="J263" t="inlineStr">
        <is>
          <t>us_v2-direct_specified</t>
        </is>
      </c>
      <c r="K263" t="b">
        <v>1</v>
      </c>
      <c r="L263" t="inlineStr">
        <is>
          <t>partial</t>
        </is>
      </c>
      <c r="M263" t="inlineStr">
        <is>
          <t>partial</t>
        </is>
      </c>
      <c r="N263" t="inlineStr">
        <is>
          <t>partial</t>
        </is>
      </c>
      <c r="O263" t="inlineStr">
        <is>
          <t>partial</t>
        </is>
      </c>
      <c r="P263" t="b">
        <v>1</v>
      </c>
    </row>
    <row r="264">
      <c r="A264" t="inlineStr">
        <is>
          <t>islam</t>
        </is>
      </c>
      <c r="B264" t="inlineStr">
        <is>
          <t>Islam</t>
        </is>
      </c>
      <c r="C264" t="n">
        <v>1020505646</v>
      </c>
      <c r="D264">
        <f>HYPERLINK("https://www.etsy.com/listing/1020505646", "link")</f>
        <v/>
      </c>
      <c r="E264">
        <f>HYPERLINK("https://atlas.etsycorp.com/listing/1020505646/lookup", "link")</f>
        <v/>
      </c>
      <c r="F264" t="inlineStr">
        <is>
          <t>Silver Mens Handmade Ring, Islamic Jewelry, Turkish Silver Man Ring, Ottoman Mens Ring, Gift for Him, 925k Sterling Silver Ring, Muslim Ring</t>
        </is>
      </c>
      <c r="G264" t="inlineStr">
        <is>
          <t>Euh5ygNw-TbCJNV7aPgOxwBUhy07</t>
        </is>
      </c>
      <c r="H264" t="inlineStr">
        <is>
          <t>web</t>
        </is>
      </c>
      <c r="I264" t="inlineStr">
        <is>
          <t>nl</t>
        </is>
      </c>
      <c r="J264" t="inlineStr">
        <is>
          <t>intl-nl</t>
        </is>
      </c>
      <c r="K264" t="b">
        <v>1</v>
      </c>
      <c r="L264" t="inlineStr">
        <is>
          <t>relevant</t>
        </is>
      </c>
      <c r="M264" t="inlineStr">
        <is>
          <t>relevant</t>
        </is>
      </c>
      <c r="N264" t="inlineStr">
        <is>
          <t>relevant</t>
        </is>
      </c>
      <c r="O264" t="inlineStr">
        <is>
          <t>relevant</t>
        </is>
      </c>
      <c r="P264" t="b">
        <v>1</v>
      </c>
    </row>
    <row r="265">
      <c r="A265" t="inlineStr">
        <is>
          <t>personalized gifts for women</t>
        </is>
      </c>
      <c r="B265" t="inlineStr"/>
      <c r="C265" t="n">
        <v>1102169549</v>
      </c>
      <c r="D265">
        <f>HYPERLINK("https://www.etsy.com/listing/1102169549", "link")</f>
        <v/>
      </c>
      <c r="E265">
        <f>HYPERLINK("https://atlas.etsycorp.com/listing/1102169549/lookup", "link")</f>
        <v/>
      </c>
      <c r="F265" t="inlineStr">
        <is>
          <t>You Choose Candle Message| Spa Box for Women| Personalized Gift</t>
        </is>
      </c>
      <c r="G265" t="inlineStr">
        <is>
          <t>Eu5aDy35bMoJTaF191l86tOsw-ba</t>
        </is>
      </c>
      <c r="H265" t="inlineStr">
        <is>
          <t>boe</t>
        </is>
      </c>
      <c r="I265" t="inlineStr">
        <is>
          <t>en-US</t>
        </is>
      </c>
      <c r="J265" t="inlineStr">
        <is>
          <t>us_v2-gift</t>
        </is>
      </c>
      <c r="K265" t="b">
        <v>1</v>
      </c>
      <c r="L265" t="inlineStr">
        <is>
          <t>relevant</t>
        </is>
      </c>
      <c r="M265" t="inlineStr">
        <is>
          <t>relevant</t>
        </is>
      </c>
      <c r="N265" t="inlineStr">
        <is>
          <t>relevant</t>
        </is>
      </c>
      <c r="O265" t="inlineStr">
        <is>
          <t>relevant</t>
        </is>
      </c>
      <c r="P265" t="b">
        <v>1</v>
      </c>
    </row>
    <row r="266">
      <c r="A266" t="inlineStr">
        <is>
          <t>fun facts 1974 belgie</t>
        </is>
      </c>
      <c r="B266" t="inlineStr">
        <is>
          <t>fun facts 1974 belgium</t>
        </is>
      </c>
      <c r="C266" t="n">
        <v>1739415828</v>
      </c>
      <c r="D266">
        <f>HYPERLINK("https://www.etsy.com/listing/1739415828", "link")</f>
        <v/>
      </c>
      <c r="E266">
        <f>HYPERLINK("https://atlas.etsycorp.com/listing/1739415828/lookup", "link")</f>
        <v/>
      </c>
      <c r="F266" t="inlineStr">
        <is>
          <t>Birthday Newspaper | Back In The year They Were Born | Birthday Sign | Born In Any Year | Birthday Party Decor | Unique Birthday Ideas</t>
        </is>
      </c>
      <c r="G266" t="inlineStr">
        <is>
          <t>EuU7unOBSnmN8Vylz8ttIxlL96c9</t>
        </is>
      </c>
      <c r="H266" t="inlineStr">
        <is>
          <t>web</t>
        </is>
      </c>
      <c r="I266" t="inlineStr">
        <is>
          <t>nl</t>
        </is>
      </c>
      <c r="J266" t="inlineStr">
        <is>
          <t>intl-nl</t>
        </is>
      </c>
      <c r="K266" t="b">
        <v>1</v>
      </c>
      <c r="L266" t="inlineStr">
        <is>
          <t>not_relevant</t>
        </is>
      </c>
      <c r="M266" t="inlineStr">
        <is>
          <t>not_relevant</t>
        </is>
      </c>
      <c r="N266" t="inlineStr">
        <is>
          <t>not_relevant</t>
        </is>
      </c>
      <c r="O266" t="inlineStr">
        <is>
          <t>partial</t>
        </is>
      </c>
      <c r="P266" t="b">
        <v>1</v>
      </c>
    </row>
    <row r="267">
      <c r="A267" t="inlineStr">
        <is>
          <t>beast ring</t>
        </is>
      </c>
      <c r="B267" t="inlineStr">
        <is>
          <t>beast ring</t>
        </is>
      </c>
      <c r="C267" t="n">
        <v>683232414</v>
      </c>
      <c r="D267">
        <f>HYPERLINK("https://www.etsy.com/listing/683232414", "link")</f>
        <v/>
      </c>
      <c r="E267">
        <f>HYPERLINK("https://atlas.etsycorp.com/listing/683232414/lookup", "link")</f>
        <v/>
      </c>
      <c r="F267" t="inlineStr">
        <is>
          <t>Diamond Cluster Engagement Ring Split Shank Ring 0.48 ct Diamond 14k white gold</t>
        </is>
      </c>
      <c r="G267" t="inlineStr">
        <is>
          <t>Eu1rPkeiSdNa3d2bhPBW3T4FoC92</t>
        </is>
      </c>
      <c r="H267" t="inlineStr">
        <is>
          <t>web</t>
        </is>
      </c>
      <c r="I267" t="inlineStr">
        <is>
          <t>de</t>
        </is>
      </c>
      <c r="J267" t="inlineStr">
        <is>
          <t>intl-de</t>
        </is>
      </c>
      <c r="K267" t="b">
        <v>1</v>
      </c>
      <c r="L267" t="inlineStr">
        <is>
          <t>partial</t>
        </is>
      </c>
      <c r="M267" t="inlineStr">
        <is>
          <t>relevant</t>
        </is>
      </c>
      <c r="N267" t="inlineStr">
        <is>
          <t>partial</t>
        </is>
      </c>
      <c r="O267" t="inlineStr">
        <is>
          <t>partial</t>
        </is>
      </c>
      <c r="P267" t="b">
        <v>1</v>
      </c>
    </row>
    <row r="268">
      <c r="A268" t="inlineStr">
        <is>
          <t>wife hubby shirt</t>
        </is>
      </c>
      <c r="B268" t="inlineStr"/>
      <c r="C268" t="n">
        <v>1209186189</v>
      </c>
      <c r="D268">
        <f>HYPERLINK("https://www.etsy.com/listing/1209186189", "link")</f>
        <v/>
      </c>
      <c r="E268">
        <f>HYPERLINK("https://atlas.etsycorp.com/listing/1209186189/lookup", "link")</f>
        <v/>
      </c>
      <c r="F268" t="inlineStr">
        <is>
          <t>Wifey est 2024, Hubby est 2023, Bridal Shower Gift, Engagement Gift, Gift for Bride, Gift for Fiance, Wedding Gift</t>
        </is>
      </c>
      <c r="G268" t="inlineStr">
        <is>
          <t>EunzkURPmKrBiHi39uy2y6pB51b0</t>
        </is>
      </c>
      <c r="H268" t="inlineStr">
        <is>
          <t>boe</t>
        </is>
      </c>
      <c r="I268" t="inlineStr">
        <is>
          <t>en-US</t>
        </is>
      </c>
      <c r="J268" t="inlineStr">
        <is>
          <t>us_v2-direct_specified</t>
        </is>
      </c>
      <c r="K268" t="b">
        <v>1</v>
      </c>
      <c r="L268" t="inlineStr">
        <is>
          <t>partial</t>
        </is>
      </c>
      <c r="M268" t="inlineStr">
        <is>
          <t>partial</t>
        </is>
      </c>
      <c r="N268" t="inlineStr">
        <is>
          <t>partial</t>
        </is>
      </c>
      <c r="O268" t="inlineStr">
        <is>
          <t>relevant</t>
        </is>
      </c>
      <c r="P268" t="b">
        <v>1</v>
      </c>
    </row>
    <row r="269">
      <c r="A269" t="inlineStr">
        <is>
          <t>minnie urn</t>
        </is>
      </c>
      <c r="B269" t="inlineStr"/>
      <c r="C269" t="n">
        <v>770939782</v>
      </c>
      <c r="D269">
        <f>HYPERLINK("https://www.etsy.com/listing/770939782", "link")</f>
        <v/>
      </c>
      <c r="E269">
        <f>HYPERLINK("https://atlas.etsycorp.com/listing/770939782/lookup", "link")</f>
        <v/>
      </c>
      <c r="F269" t="inlineStr">
        <is>
          <t>Violet Angel Mini Keepsake Urn - Love Charms® Option</t>
        </is>
      </c>
      <c r="G269" t="inlineStr">
        <is>
          <t>EuSkIJyD3Z9hdvunHAna0V5r9k7d</t>
        </is>
      </c>
      <c r="H269" t="inlineStr">
        <is>
          <t>boe</t>
        </is>
      </c>
      <c r="I269" t="inlineStr">
        <is>
          <t>en-US</t>
        </is>
      </c>
      <c r="J269" t="inlineStr">
        <is>
          <t>us_v2-direct_specified</t>
        </is>
      </c>
      <c r="K269" t="b">
        <v>1</v>
      </c>
      <c r="L269" t="inlineStr">
        <is>
          <t>partial</t>
        </is>
      </c>
      <c r="M269" t="inlineStr">
        <is>
          <t>partial</t>
        </is>
      </c>
      <c r="N269" t="inlineStr">
        <is>
          <t>relevant</t>
        </is>
      </c>
      <c r="O269" t="inlineStr">
        <is>
          <t>partial</t>
        </is>
      </c>
      <c r="P269" t="b">
        <v>1</v>
      </c>
    </row>
    <row r="270">
      <c r="A270" t="inlineStr">
        <is>
          <t>handmade gift</t>
        </is>
      </c>
      <c r="B270" t="inlineStr"/>
      <c r="C270" t="n">
        <v>713812978</v>
      </c>
      <c r="D270">
        <f>HYPERLINK("https://www.etsy.com/listing/713812978", "link")</f>
        <v/>
      </c>
      <c r="E270">
        <f>HYPERLINK("https://atlas.etsycorp.com/listing/713812978/lookup", "link")</f>
        <v/>
      </c>
      <c r="F270" t="inlineStr">
        <is>
          <t>The Geo Feeder | Geometric Window Hummingbird Feeder | Sweet Feeders | Copper | Aluminum | Modern | Home Decor | Glass Bottle | Suction Cup</t>
        </is>
      </c>
      <c r="G270" t="inlineStr">
        <is>
          <t>EuwEfYYAKAvboTX7tbMOkU1pOw64</t>
        </is>
      </c>
      <c r="H270" t="inlineStr">
        <is>
          <t>web</t>
        </is>
      </c>
      <c r="I270" t="inlineStr">
        <is>
          <t>en-US</t>
        </is>
      </c>
      <c r="J270" t="inlineStr">
        <is>
          <t>us_v2-gift</t>
        </is>
      </c>
      <c r="K270" t="b">
        <v>1</v>
      </c>
      <c r="L270" t="inlineStr">
        <is>
          <t>not_relevant</t>
        </is>
      </c>
      <c r="M270" t="inlineStr">
        <is>
          <t>not_relevant</t>
        </is>
      </c>
      <c r="N270" t="inlineStr">
        <is>
          <t>not_relevant</t>
        </is>
      </c>
      <c r="O270" t="inlineStr">
        <is>
          <t>relevant</t>
        </is>
      </c>
      <c r="P270" t="b">
        <v>1</v>
      </c>
    </row>
    <row r="271">
      <c r="A271" t="inlineStr">
        <is>
          <t>malliot foot espagne</t>
        </is>
      </c>
      <c r="B271" t="inlineStr">
        <is>
          <t>malliot football spain</t>
        </is>
      </c>
      <c r="C271" t="n">
        <v>1745602860</v>
      </c>
      <c r="D271">
        <f>HYPERLINK("https://www.etsy.com/listing/1745602860", "link")</f>
        <v/>
      </c>
      <c r="E271">
        <f>HYPERLINK("https://atlas.etsycorp.com/listing/1745602860/lookup", "link")</f>
        <v/>
      </c>
      <c r="F271" t="inlineStr">
        <is>
          <t>Lamine Yamal Poster Football Print Custom Football Wall Art Spain Fan Gift</t>
        </is>
      </c>
      <c r="G271" t="inlineStr">
        <is>
          <t>EulDQfhwO7kTD1oV-Y6DIqMfJe86</t>
        </is>
      </c>
      <c r="H271" t="inlineStr">
        <is>
          <t>web</t>
        </is>
      </c>
      <c r="I271" t="inlineStr">
        <is>
          <t>fr</t>
        </is>
      </c>
      <c r="J271" t="inlineStr">
        <is>
          <t>intl-fr</t>
        </is>
      </c>
      <c r="K271" t="b">
        <v>1</v>
      </c>
      <c r="L271" t="inlineStr">
        <is>
          <t>partial</t>
        </is>
      </c>
      <c r="M271" t="inlineStr">
        <is>
          <t>partial</t>
        </is>
      </c>
      <c r="N271" t="inlineStr">
        <is>
          <t>partial</t>
        </is>
      </c>
      <c r="O271" t="inlineStr">
        <is>
          <t>partial</t>
        </is>
      </c>
      <c r="P271" t="b">
        <v>1</v>
      </c>
    </row>
    <row r="272">
      <c r="A272" t="inlineStr">
        <is>
          <t>piercing ear</t>
        </is>
      </c>
      <c r="B272" t="inlineStr">
        <is>
          <t>ear piercing</t>
        </is>
      </c>
      <c r="C272" t="n">
        <v>1395718071</v>
      </c>
      <c r="D272">
        <f>HYPERLINK("https://www.etsy.com/listing/1395718071", "link")</f>
        <v/>
      </c>
      <c r="E272">
        <f>HYPERLINK("https://atlas.etsycorp.com/listing/1395718071/lookup", "link")</f>
        <v/>
      </c>
      <c r="F272" t="inlineStr">
        <is>
          <t>NEW ‣ 20G/18G/16G Tiny Sparkle Star Threadless Push Pin Labret Stud • Sparkle Star Cartilage earring • Tragus/Conch • FlatBack Earrings</t>
        </is>
      </c>
      <c r="G272" t="inlineStr">
        <is>
          <t>Eup4iLForHT3BkYUxtGyofErr9af</t>
        </is>
      </c>
      <c r="H272" t="inlineStr">
        <is>
          <t>boe</t>
        </is>
      </c>
      <c r="I272" t="inlineStr">
        <is>
          <t>es</t>
        </is>
      </c>
      <c r="J272" t="inlineStr">
        <is>
          <t>intl-es</t>
        </is>
      </c>
      <c r="K272" t="b">
        <v>1</v>
      </c>
      <c r="L272" t="inlineStr">
        <is>
          <t>relevant</t>
        </is>
      </c>
      <c r="M272" t="inlineStr">
        <is>
          <t>relevant</t>
        </is>
      </c>
      <c r="N272" t="inlineStr">
        <is>
          <t>relevant</t>
        </is>
      </c>
      <c r="O272" t="inlineStr">
        <is>
          <t>relevant</t>
        </is>
      </c>
      <c r="P272" t="b">
        <v>1</v>
      </c>
    </row>
    <row r="273">
      <c r="A273" t="inlineStr">
        <is>
          <t>studio ghibli mug jiji</t>
        </is>
      </c>
      <c r="B273" t="inlineStr"/>
      <c r="C273" t="n">
        <v>1616344431</v>
      </c>
      <c r="D273">
        <f>HYPERLINK("https://www.etsy.com/listing/1616344431", "link")</f>
        <v/>
      </c>
      <c r="E273">
        <f>HYPERLINK("https://atlas.etsycorp.com/listing/1616344431/lookup", "link")</f>
        <v/>
      </c>
      <c r="F273" t="inlineStr">
        <is>
          <t>Kiki&amp;#39;s Delivery Service Inspired Kiki and Jiji Unisex Sweatshirt</t>
        </is>
      </c>
      <c r="G273" t="inlineStr">
        <is>
          <t>EuCZiK7UzLTXziYNFjEauZDDcI7f</t>
        </is>
      </c>
      <c r="H273" t="inlineStr">
        <is>
          <t>boe</t>
        </is>
      </c>
      <c r="I273" t="inlineStr">
        <is>
          <t>en-US</t>
        </is>
      </c>
      <c r="J273" t="inlineStr">
        <is>
          <t>us_v2-direct_specified</t>
        </is>
      </c>
      <c r="K273" t="b">
        <v>1</v>
      </c>
      <c r="L273" t="inlineStr">
        <is>
          <t>not_relevant</t>
        </is>
      </c>
      <c r="M273" t="inlineStr">
        <is>
          <t>not_relevant</t>
        </is>
      </c>
      <c r="N273" t="inlineStr">
        <is>
          <t>not_relevant</t>
        </is>
      </c>
      <c r="O273" t="inlineStr">
        <is>
          <t>not_relevant</t>
        </is>
      </c>
      <c r="P273" t="b">
        <v>1</v>
      </c>
    </row>
    <row r="274">
      <c r="A274" t="inlineStr">
        <is>
          <t>kajol</t>
        </is>
      </c>
      <c r="B274" t="inlineStr">
        <is>
          <t>kajol</t>
        </is>
      </c>
      <c r="C274" t="n">
        <v>1676377992</v>
      </c>
      <c r="D274">
        <f>HYPERLINK("https://www.etsy.com/listing/1676377992", "link")</f>
        <v/>
      </c>
      <c r="E274">
        <f>HYPERLINK("https://atlas.etsycorp.com/listing/1676377992/lookup", "link")</f>
        <v/>
      </c>
      <c r="F274" t="inlineStr">
        <is>
          <t>DDLJ Tshirt, Dilwale dulhania le jayenge Tshirt, Srk Shirt, Shahrukh Khan tshirt, Bollywood tshirt, Desi Indian tshirt</t>
        </is>
      </c>
      <c r="G274" t="inlineStr">
        <is>
          <t>EuWmCFch8_Kyj4yvApEKS9E9_6e4</t>
        </is>
      </c>
      <c r="H274" t="inlineStr">
        <is>
          <t>web</t>
        </is>
      </c>
      <c r="I274" t="inlineStr">
        <is>
          <t>fr</t>
        </is>
      </c>
      <c r="J274" t="inlineStr">
        <is>
          <t>intl-fr</t>
        </is>
      </c>
      <c r="K274" t="b">
        <v>1</v>
      </c>
      <c r="L274" t="inlineStr">
        <is>
          <t>not_relevant</t>
        </is>
      </c>
      <c r="M274" t="inlineStr">
        <is>
          <t>not_relevant</t>
        </is>
      </c>
      <c r="N274" t="inlineStr">
        <is>
          <t>not_relevant</t>
        </is>
      </c>
      <c r="O274" t="inlineStr">
        <is>
          <t>not_relevant</t>
        </is>
      </c>
      <c r="P274" t="b">
        <v>1</v>
      </c>
    </row>
    <row r="275">
      <c r="A275" t="inlineStr">
        <is>
          <t>Find shirts</t>
        </is>
      </c>
      <c r="B275" t="inlineStr">
        <is>
          <t>Find shirts</t>
        </is>
      </c>
      <c r="C275" t="n">
        <v>1486855709</v>
      </c>
      <c r="D275">
        <f>HYPERLINK("https://www.etsy.com/listing/1486855709", "link")</f>
        <v/>
      </c>
      <c r="E275">
        <f>HYPERLINK("https://atlas.etsycorp.com/listing/1486855709/lookup", "link")</f>
        <v/>
      </c>
      <c r="F275" t="inlineStr">
        <is>
          <t>Fck Around And Find Out, Sarcastic Funny SVG, Wine Glass SVG, Funny SVG, Instant Download, Cricut Cut File, Fuck Around and Find Out Svg Png</t>
        </is>
      </c>
      <c r="G275" t="inlineStr">
        <is>
          <t>Eut0b-LHGxv7X9atpxpX1MuBKZed</t>
        </is>
      </c>
      <c r="H275" t="inlineStr">
        <is>
          <t>web</t>
        </is>
      </c>
      <c r="I275" t="inlineStr">
        <is>
          <t>es</t>
        </is>
      </c>
      <c r="J275" t="inlineStr">
        <is>
          <t>intl-es</t>
        </is>
      </c>
      <c r="K275" t="b">
        <v>1</v>
      </c>
      <c r="L275" t="inlineStr">
        <is>
          <t>partial</t>
        </is>
      </c>
      <c r="M275" t="inlineStr">
        <is>
          <t>partial</t>
        </is>
      </c>
      <c r="N275" t="inlineStr">
        <is>
          <t>partial</t>
        </is>
      </c>
      <c r="O275" t="inlineStr">
        <is>
          <t>partial</t>
        </is>
      </c>
      <c r="P275" t="b">
        <v>1</v>
      </c>
    </row>
    <row r="276">
      <c r="A276" t="inlineStr">
        <is>
          <t>Find shirts</t>
        </is>
      </c>
      <c r="B276" t="inlineStr">
        <is>
          <t>Find shirts</t>
        </is>
      </c>
      <c r="C276" t="n">
        <v>1755712147</v>
      </c>
      <c r="D276">
        <f>HYPERLINK("https://www.etsy.com/listing/1755712147", "link")</f>
        <v/>
      </c>
      <c r="E276">
        <f>HYPERLINK("https://atlas.etsycorp.com/listing/1755712147/lookup", "link")</f>
        <v/>
      </c>
      <c r="F276" t="inlineStr">
        <is>
          <t>That&amp;#39;s where I find God Unisex Jersey Short Sleeve Tee</t>
        </is>
      </c>
      <c r="G276" t="inlineStr">
        <is>
          <t>EudLpv1nbMFhH1_eaDS7XuH1Jy8c</t>
        </is>
      </c>
      <c r="H276" t="inlineStr">
        <is>
          <t>web</t>
        </is>
      </c>
      <c r="I276" t="inlineStr">
        <is>
          <t>es</t>
        </is>
      </c>
      <c r="J276" t="inlineStr">
        <is>
          <t>intl-es</t>
        </is>
      </c>
      <c r="K276" t="b">
        <v>1</v>
      </c>
      <c r="L276" t="inlineStr">
        <is>
          <t>relevant</t>
        </is>
      </c>
      <c r="M276" t="inlineStr">
        <is>
          <t>relevant</t>
        </is>
      </c>
      <c r="N276" t="inlineStr">
        <is>
          <t>relevant</t>
        </is>
      </c>
      <c r="O276" t="inlineStr">
        <is>
          <t>relevant</t>
        </is>
      </c>
      <c r="P276" t="b">
        <v>1</v>
      </c>
    </row>
    <row r="277">
      <c r="A277" t="inlineStr">
        <is>
          <t>outdoor hosting</t>
        </is>
      </c>
      <c r="B277" t="inlineStr">
        <is>
          <t>outdoorhosting</t>
        </is>
      </c>
      <c r="C277" t="n">
        <v>1090396432</v>
      </c>
      <c r="D277">
        <f>HYPERLINK("https://www.etsy.com/listing/1090396432", "link")</f>
        <v/>
      </c>
      <c r="E277">
        <f>HYPERLINK("https://atlas.etsycorp.com/listing/1090396432/lookup", "link")</f>
        <v/>
      </c>
      <c r="F277" t="inlineStr">
        <is>
          <t>Mobile folding wine table also suitable for champagne bottles, gift idea, outdoor wine table, portable, wood</t>
        </is>
      </c>
      <c r="G277" t="inlineStr">
        <is>
          <t>EuNb0pBdKGZ_MJ7YvzoTp86oREec</t>
        </is>
      </c>
      <c r="H277" t="inlineStr">
        <is>
          <t>web</t>
        </is>
      </c>
      <c r="I277" t="inlineStr">
        <is>
          <t>de</t>
        </is>
      </c>
      <c r="J277" t="inlineStr">
        <is>
          <t>intl-de</t>
        </is>
      </c>
      <c r="K277" t="b">
        <v>1</v>
      </c>
      <c r="L277" t="inlineStr">
        <is>
          <t>relevant</t>
        </is>
      </c>
      <c r="M277" t="inlineStr">
        <is>
          <t>relevant</t>
        </is>
      </c>
      <c r="N277" t="inlineStr">
        <is>
          <t>relevant</t>
        </is>
      </c>
      <c r="O277" t="inlineStr">
        <is>
          <t>relevant</t>
        </is>
      </c>
      <c r="P277" t="b">
        <v>1</v>
      </c>
    </row>
    <row r="278">
      <c r="A278" t="inlineStr">
        <is>
          <t>travel accessories</t>
        </is>
      </c>
      <c r="B278" t="inlineStr">
        <is>
          <t>Travel accessories</t>
        </is>
      </c>
      <c r="C278" t="n">
        <v>1728695666</v>
      </c>
      <c r="D278">
        <f>HYPERLINK("https://www.etsy.com/listing/1728695666", "link")</f>
        <v/>
      </c>
      <c r="E278">
        <f>HYPERLINK("https://atlas.etsycorp.com/listing/1728695666/lookup", "link")</f>
        <v/>
      </c>
      <c r="F278" t="inlineStr">
        <is>
          <t>Fruity European Summer Collage Phone Case, La Dolce Vita, Spring Summer Themed, Cute &amp; Trendy Cover, iPhone 15 14 13 12 11 Pro Max 8 Plus X</t>
        </is>
      </c>
      <c r="G278" t="inlineStr">
        <is>
          <t>EuC25pa3wDRVwuglbb7sruhWQAb7</t>
        </is>
      </c>
      <c r="H278" t="inlineStr">
        <is>
          <t>boe</t>
        </is>
      </c>
      <c r="I278" t="inlineStr">
        <is>
          <t>ja</t>
        </is>
      </c>
      <c r="J278" t="inlineStr">
        <is>
          <t>intl-ja</t>
        </is>
      </c>
      <c r="K278" t="b">
        <v>1</v>
      </c>
      <c r="L278" t="inlineStr">
        <is>
          <t>partial</t>
        </is>
      </c>
      <c r="M278" t="inlineStr">
        <is>
          <t>relevant</t>
        </is>
      </c>
      <c r="N278" t="inlineStr">
        <is>
          <t>partial</t>
        </is>
      </c>
      <c r="O278" t="inlineStr">
        <is>
          <t>partial</t>
        </is>
      </c>
      <c r="P278" t="b">
        <v>1</v>
      </c>
    </row>
    <row r="279">
      <c r="A279" t="inlineStr">
        <is>
          <t>PISTOLE ORO DEADPOOL</t>
        </is>
      </c>
      <c r="B279" t="inlineStr">
        <is>
          <t>DEADPOOL GOLD GUNS</t>
        </is>
      </c>
      <c r="C279" t="n">
        <v>1769094993</v>
      </c>
      <c r="D279">
        <f>HYPERLINK("https://www.etsy.com/listing/1769094993", "link")</f>
        <v/>
      </c>
      <c r="E279">
        <f>HYPERLINK("https://atlas.etsycorp.com/listing/1769094993/lookup", "link")</f>
        <v/>
      </c>
      <c r="F279" t="inlineStr">
        <is>
          <t>BEA &amp; ARTHUR Deadpool&amp;#39;s Katanas - 3D Printed Collapsible Sword Replica</t>
        </is>
      </c>
      <c r="G279" t="inlineStr">
        <is>
          <t>Eu-0o4e9dpZNcSzPZzNUXqfF4Q4e</t>
        </is>
      </c>
      <c r="H279" t="inlineStr">
        <is>
          <t>web</t>
        </is>
      </c>
      <c r="I279" t="inlineStr">
        <is>
          <t>it</t>
        </is>
      </c>
      <c r="J279" t="inlineStr">
        <is>
          <t>intl-it</t>
        </is>
      </c>
      <c r="K279" t="b">
        <v>1</v>
      </c>
      <c r="L279" t="inlineStr">
        <is>
          <t>not_relevant</t>
        </is>
      </c>
      <c r="M279" t="inlineStr">
        <is>
          <t>not_relevant</t>
        </is>
      </c>
      <c r="N279" t="inlineStr">
        <is>
          <t>not_relevant</t>
        </is>
      </c>
      <c r="O279" t="inlineStr">
        <is>
          <t>not_relevant</t>
        </is>
      </c>
      <c r="P279" t="b">
        <v>1</v>
      </c>
    </row>
    <row r="280">
      <c r="A280" t="inlineStr">
        <is>
          <t>nudit</t>
        </is>
      </c>
      <c r="B280" t="inlineStr">
        <is>
          <t>nudit</t>
        </is>
      </c>
      <c r="C280" t="n">
        <v>1709920639</v>
      </c>
      <c r="D280">
        <f>HYPERLINK("https://www.etsy.com/listing/1709920639", "link")</f>
        <v/>
      </c>
      <c r="E280">
        <f>HYPERLINK("https://atlas.etsycorp.com/listing/1709920639/lookup", "link")</f>
        <v/>
      </c>
      <c r="F280" t="inlineStr">
        <is>
          <t>Slightly imperfect Farm Girl signed 2024 calendar. Signed on the back cover.</t>
        </is>
      </c>
      <c r="G280" t="inlineStr">
        <is>
          <t>Eu8iqBM5o0CSx59BStDDleD6uD07</t>
        </is>
      </c>
      <c r="H280" t="inlineStr">
        <is>
          <t>boe</t>
        </is>
      </c>
      <c r="I280" t="inlineStr">
        <is>
          <t>es</t>
        </is>
      </c>
      <c r="J280" t="inlineStr">
        <is>
          <t>intl-es</t>
        </is>
      </c>
      <c r="K280" t="b">
        <v>1</v>
      </c>
      <c r="L280" t="inlineStr">
        <is>
          <t>relevant</t>
        </is>
      </c>
      <c r="M280" t="inlineStr">
        <is>
          <t>relevant</t>
        </is>
      </c>
      <c r="N280" t="inlineStr">
        <is>
          <t>relevant</t>
        </is>
      </c>
      <c r="O280" t="inlineStr">
        <is>
          <t>not_relevant</t>
        </is>
      </c>
      <c r="P280" t="b">
        <v>1</v>
      </c>
    </row>
    <row r="281">
      <c r="A281" t="inlineStr">
        <is>
          <t>ventaglio bambu uomo</t>
        </is>
      </c>
      <c r="B281" t="inlineStr">
        <is>
          <t>man's bamboo fan</t>
        </is>
      </c>
      <c r="C281" t="n">
        <v>936778277</v>
      </c>
      <c r="D281">
        <f>HYPERLINK("https://www.etsy.com/listing/936778277", "link")</f>
        <v/>
      </c>
      <c r="E281">
        <f>HYPERLINK("https://atlas.etsycorp.com/listing/936778277/lookup", "link")</f>
        <v/>
      </c>
      <c r="F281" t="inlineStr">
        <is>
          <t>Records Vinyl Socks Music Lover - Men&amp;#39;s Bamboo Novelty Socks by Smiling Faces</t>
        </is>
      </c>
      <c r="G281" t="inlineStr">
        <is>
          <t>Eu6BS8CdQxPdrtTADPwYWuQarF5e</t>
        </is>
      </c>
      <c r="H281" t="inlineStr">
        <is>
          <t>boe</t>
        </is>
      </c>
      <c r="I281" t="inlineStr">
        <is>
          <t>it</t>
        </is>
      </c>
      <c r="J281" t="inlineStr">
        <is>
          <t>intl-it</t>
        </is>
      </c>
      <c r="K281" t="b">
        <v>1</v>
      </c>
      <c r="L281" t="inlineStr">
        <is>
          <t>not_relevant</t>
        </is>
      </c>
      <c r="M281" t="inlineStr">
        <is>
          <t>not_relevant</t>
        </is>
      </c>
      <c r="N281" t="inlineStr">
        <is>
          <t>not_relevant</t>
        </is>
      </c>
      <c r="O281" t="inlineStr">
        <is>
          <t>not_relevant</t>
        </is>
      </c>
      <c r="P281" t="b">
        <v>1</v>
      </c>
    </row>
    <row r="282">
      <c r="A282" t="inlineStr">
        <is>
          <t>valentines day shirt assistant principal</t>
        </is>
      </c>
      <c r="B282" t="inlineStr"/>
      <c r="C282" t="n">
        <v>1390496729</v>
      </c>
      <c r="D282">
        <f>HYPERLINK("https://www.etsy.com/listing/1390496729", "link")</f>
        <v/>
      </c>
      <c r="E282">
        <f>HYPERLINK("https://atlas.etsycorp.com/listing/1390496729/lookup", "link")</f>
        <v/>
      </c>
      <c r="F282" t="inlineStr">
        <is>
          <t>Principal To The Cutest Sweethearts Shirt / Valentine Shirt / Cutest Sweethearts shirt / Valentine Principal shirt / Principal Valentine</t>
        </is>
      </c>
      <c r="G282" t="inlineStr">
        <is>
          <t>EuNg1pufvd-VgY8pMU5erXvDZ8d6</t>
        </is>
      </c>
      <c r="H282" t="inlineStr">
        <is>
          <t>web</t>
        </is>
      </c>
      <c r="I282" t="inlineStr">
        <is>
          <t>en-US</t>
        </is>
      </c>
      <c r="J282" t="inlineStr">
        <is>
          <t>us_v2-direct_unspecified</t>
        </is>
      </c>
      <c r="K282" t="b">
        <v>1</v>
      </c>
      <c r="L282" t="inlineStr">
        <is>
          <t>relevant</t>
        </is>
      </c>
      <c r="M282" t="inlineStr">
        <is>
          <t>relevant</t>
        </is>
      </c>
      <c r="N282" t="inlineStr">
        <is>
          <t>partial</t>
        </is>
      </c>
      <c r="O282" t="inlineStr">
        <is>
          <t>relevant</t>
        </is>
      </c>
      <c r="P282" t="b">
        <v>1</v>
      </c>
    </row>
    <row r="283">
      <c r="A283" t="inlineStr">
        <is>
          <t>trakers budget</t>
        </is>
      </c>
      <c r="B283" t="inlineStr">
        <is>
          <t>budget trakers</t>
        </is>
      </c>
      <c r="C283" t="n">
        <v>1269685550</v>
      </c>
      <c r="D283">
        <f>HYPERLINK("https://www.etsy.com/listing/1269685550", "link")</f>
        <v/>
      </c>
      <c r="E283">
        <f>HYPERLINK("https://atlas.etsycorp.com/listing/1269685550/lookup", "link")</f>
        <v/>
      </c>
      <c r="F283" t="inlineStr">
        <is>
          <t>CUSTOMIZABLE 10 title sheets budget envelopes binder + 10 budget trackers - Ready to print</t>
        </is>
      </c>
      <c r="G283" t="inlineStr">
        <is>
          <t>EuUpt7NOE_RGRKfClkMutLVLdo58</t>
        </is>
      </c>
      <c r="H283" t="inlineStr">
        <is>
          <t>web</t>
        </is>
      </c>
      <c r="I283" t="inlineStr">
        <is>
          <t>fr</t>
        </is>
      </c>
      <c r="J283" t="inlineStr">
        <is>
          <t>intl-fr</t>
        </is>
      </c>
      <c r="K283" t="b">
        <v>1</v>
      </c>
      <c r="L283" t="inlineStr">
        <is>
          <t>relevant</t>
        </is>
      </c>
      <c r="M283" t="inlineStr">
        <is>
          <t>relevant</t>
        </is>
      </c>
      <c r="N283" t="inlineStr">
        <is>
          <t>relevant</t>
        </is>
      </c>
      <c r="O283" t="inlineStr">
        <is>
          <t>relevant</t>
        </is>
      </c>
      <c r="P283" t="b">
        <v>1</v>
      </c>
    </row>
    <row r="284">
      <c r="A284" t="inlineStr">
        <is>
          <t>wickeltisch</t>
        </is>
      </c>
      <c r="B284" t="inlineStr">
        <is>
          <t>changing table</t>
        </is>
      </c>
      <c r="C284" t="n">
        <v>1716408123</v>
      </c>
      <c r="D284">
        <f>HYPERLINK("https://www.etsy.com/listing/1716408123", "link")</f>
        <v/>
      </c>
      <c r="E284">
        <f>HYPERLINK("https://atlas.etsycorp.com/listing/1716408123/lookup", "link")</f>
        <v/>
      </c>
      <c r="F284" t="inlineStr">
        <is>
          <t>Changing mat changing table mat Ökotex Standard 100 organic cotton light beige corduroy terry cloth</t>
        </is>
      </c>
      <c r="G284" t="inlineStr">
        <is>
          <t>EuyKYcVsJH43RI1imCXjj3o-qs88</t>
        </is>
      </c>
      <c r="H284" t="inlineStr">
        <is>
          <t>boe</t>
        </is>
      </c>
      <c r="I284" t="inlineStr">
        <is>
          <t>de</t>
        </is>
      </c>
      <c r="J284" t="inlineStr">
        <is>
          <t>intl-de</t>
        </is>
      </c>
      <c r="K284" t="b">
        <v>1</v>
      </c>
      <c r="L284" t="inlineStr">
        <is>
          <t>partial</t>
        </is>
      </c>
      <c r="M284" t="inlineStr">
        <is>
          <t>relevant</t>
        </is>
      </c>
      <c r="N284" t="inlineStr">
        <is>
          <t>partial</t>
        </is>
      </c>
      <c r="O284" t="inlineStr">
        <is>
          <t>partial</t>
        </is>
      </c>
      <c r="P284" t="b">
        <v>1</v>
      </c>
    </row>
    <row r="285">
      <c r="A285" t="inlineStr">
        <is>
          <t>gifts for women</t>
        </is>
      </c>
      <c r="B285" t="inlineStr">
        <is>
          <t>gifts for women</t>
        </is>
      </c>
      <c r="C285" t="n">
        <v>1112997443</v>
      </c>
      <c r="D285">
        <f>HYPERLINK("https://www.etsy.com/listing/1112997443", "link")</f>
        <v/>
      </c>
      <c r="E285">
        <f>HYPERLINK("https://atlas.etsycorp.com/listing/1112997443/lookup", "link")</f>
        <v/>
      </c>
      <c r="F285" t="inlineStr">
        <is>
          <t>Birthstone Necklace, Personalized Necklace, Birthstone Jewelry, Birthday Gift, Bridesmaid Gift, Sister Gift, BFF Gift, Gift for Her</t>
        </is>
      </c>
      <c r="G285" t="inlineStr">
        <is>
          <t>Eu_btmtZ_H__zzgEo04aBkt1m1c3</t>
        </is>
      </c>
      <c r="H285" t="inlineStr">
        <is>
          <t>boe</t>
        </is>
      </c>
      <c r="I285" t="inlineStr">
        <is>
          <t>fr</t>
        </is>
      </c>
      <c r="J285" t="inlineStr">
        <is>
          <t>intl-fr</t>
        </is>
      </c>
      <c r="K285" t="b">
        <v>1</v>
      </c>
      <c r="L285" t="inlineStr">
        <is>
          <t>relevant</t>
        </is>
      </c>
      <c r="M285" t="inlineStr">
        <is>
          <t>relevant</t>
        </is>
      </c>
      <c r="N285" t="inlineStr">
        <is>
          <t>relevant</t>
        </is>
      </c>
      <c r="O285" t="inlineStr">
        <is>
          <t>relevant</t>
        </is>
      </c>
      <c r="P285" t="b">
        <v>1</v>
      </c>
    </row>
    <row r="286">
      <c r="A286" t="inlineStr">
        <is>
          <t>pokemone japanese cards</t>
        </is>
      </c>
      <c r="B286" t="inlineStr"/>
      <c r="C286" t="n">
        <v>1452915632</v>
      </c>
      <c r="D286">
        <f>HYPERLINK("https://www.etsy.com/listing/1452915632", "link")</f>
        <v/>
      </c>
      <c r="E286">
        <f>HYPERLINK("https://atlas.etsycorp.com/listing/1452915632/lookup", "link")</f>
        <v/>
      </c>
      <c r="F286" t="inlineStr">
        <is>
          <t>Johto Classics Mini Stickers + SHINY Set of 25 Generation Two Glossy Vinyl Stickers Meganium Typhlosion Feraligatr Suicune Lugia + more</t>
        </is>
      </c>
      <c r="G286" t="inlineStr">
        <is>
          <t>EuiJ9HCs4BHfq1src_VACyzGO366</t>
        </is>
      </c>
      <c r="H286" t="inlineStr">
        <is>
          <t>boe</t>
        </is>
      </c>
      <c r="I286" t="inlineStr">
        <is>
          <t>en-US</t>
        </is>
      </c>
      <c r="J286" t="inlineStr">
        <is>
          <t>us_v2-direct_specified</t>
        </is>
      </c>
      <c r="K286" t="b">
        <v>1</v>
      </c>
      <c r="L286" t="inlineStr">
        <is>
          <t>not_relevant</t>
        </is>
      </c>
      <c r="M286" t="inlineStr">
        <is>
          <t>not_relevant</t>
        </is>
      </c>
      <c r="N286" t="inlineStr">
        <is>
          <t>partial</t>
        </is>
      </c>
      <c r="O286" t="inlineStr">
        <is>
          <t>not_relevant</t>
        </is>
      </c>
      <c r="P286" t="b">
        <v>1</v>
      </c>
    </row>
    <row r="287">
      <c r="A287" t="inlineStr">
        <is>
          <t>depop google sheets</t>
        </is>
      </c>
      <c r="B287" t="inlineStr"/>
      <c r="C287" t="n">
        <v>1573995450</v>
      </c>
      <c r="D287">
        <f>HYPERLINK("https://www.etsy.com/listing/1573995450", "link")</f>
        <v/>
      </c>
      <c r="E287">
        <f>HYPERLINK("https://atlas.etsycorp.com/listing/1573995450/lookup", "link")</f>
        <v/>
      </c>
      <c r="F287" t="inlineStr">
        <is>
          <t>Simple Bucket Budget Spreadsheet - Google Sheets Instant Download</t>
        </is>
      </c>
      <c r="G287" t="inlineStr">
        <is>
          <t>EuVOC23TLB5Hk4WPIhIKUuU1k312</t>
        </is>
      </c>
      <c r="H287" t="inlineStr">
        <is>
          <t>boe</t>
        </is>
      </c>
      <c r="I287" t="inlineStr">
        <is>
          <t>en-US</t>
        </is>
      </c>
      <c r="J287" t="inlineStr">
        <is>
          <t>us_v2-direct_specified</t>
        </is>
      </c>
      <c r="K287" t="b">
        <v>1</v>
      </c>
      <c r="L287" t="inlineStr">
        <is>
          <t>partial</t>
        </is>
      </c>
      <c r="M287" t="inlineStr">
        <is>
          <t>partial</t>
        </is>
      </c>
      <c r="N287" t="inlineStr">
        <is>
          <t>relevant</t>
        </is>
      </c>
      <c r="O287" t="inlineStr">
        <is>
          <t>partial</t>
        </is>
      </c>
      <c r="P287" t="b">
        <v>1</v>
      </c>
    </row>
    <row r="288">
      <c r="A288" t="inlineStr">
        <is>
          <t>william and mary antique furniture</t>
        </is>
      </c>
      <c r="B288" t="inlineStr"/>
      <c r="C288" t="n">
        <v>1450882618</v>
      </c>
      <c r="D288">
        <f>HYPERLINK("https://www.etsy.com/listing/1450882618", "link")</f>
        <v/>
      </c>
      <c r="E288">
        <f>HYPERLINK("https://atlas.etsycorp.com/listing/1450882618/lookup", "link")</f>
        <v/>
      </c>
      <c r="F288" t="inlineStr">
        <is>
          <t>Antique Arts &amp;amp; Crafts Oak Hall Console Desk Table</t>
        </is>
      </c>
      <c r="G288" t="inlineStr">
        <is>
          <t>EuSAtqm3n1wyMGx6esWIKoXhRs8c</t>
        </is>
      </c>
      <c r="H288" t="inlineStr">
        <is>
          <t>web</t>
        </is>
      </c>
      <c r="I288" t="inlineStr">
        <is>
          <t>en-GB</t>
        </is>
      </c>
      <c r="J288" t="inlineStr">
        <is>
          <t>us_v2-direct_specified</t>
        </is>
      </c>
      <c r="K288" t="b">
        <v>1</v>
      </c>
      <c r="L288" t="inlineStr">
        <is>
          <t>partial</t>
        </is>
      </c>
      <c r="M288" t="inlineStr">
        <is>
          <t>relevant</t>
        </is>
      </c>
      <c r="N288" t="inlineStr">
        <is>
          <t>partial</t>
        </is>
      </c>
      <c r="O288" t="inlineStr">
        <is>
          <t>partial</t>
        </is>
      </c>
      <c r="P288" t="b">
        <v>1</v>
      </c>
    </row>
    <row r="289">
      <c r="A289" t="inlineStr">
        <is>
          <t>vitage fischer</t>
        </is>
      </c>
      <c r="B289" t="inlineStr">
        <is>
          <t>vitage fischer</t>
        </is>
      </c>
      <c r="C289" t="n">
        <v>1743683783</v>
      </c>
      <c r="D289">
        <f>HYPERLINK("https://www.etsy.com/listing/1743683783", "link")</f>
        <v/>
      </c>
      <c r="E289">
        <f>HYPERLINK("https://atlas.etsycorp.com/listing/1743683783/lookup", "link")</f>
        <v/>
      </c>
      <c r="F289" t="inlineStr">
        <is>
          <t>Bottle opener brass fish, crown cap opener, crown cork opener, capsule lifter, crown cap lifter, fish shape, metal opener</t>
        </is>
      </c>
      <c r="G289" t="inlineStr">
        <is>
          <t>EuiZIMfcG1WdgY45iGZikrMmrAa7</t>
        </is>
      </c>
      <c r="H289" t="inlineStr">
        <is>
          <t>web</t>
        </is>
      </c>
      <c r="I289" t="inlineStr">
        <is>
          <t>de</t>
        </is>
      </c>
      <c r="J289" t="inlineStr">
        <is>
          <t>intl-de</t>
        </is>
      </c>
      <c r="K289" t="b">
        <v>1</v>
      </c>
      <c r="L289" t="inlineStr">
        <is>
          <t>not_relevant</t>
        </is>
      </c>
      <c r="M289" t="inlineStr">
        <is>
          <t>relevant</t>
        </is>
      </c>
      <c r="N289" t="inlineStr">
        <is>
          <t>not_relevant</t>
        </is>
      </c>
      <c r="O289" t="inlineStr">
        <is>
          <t>not_relevant</t>
        </is>
      </c>
      <c r="P289" t="b">
        <v>1</v>
      </c>
    </row>
    <row r="290">
      <c r="A290" t="inlineStr">
        <is>
          <t>personalized romper women</t>
        </is>
      </c>
      <c r="B290" t="inlineStr"/>
      <c r="C290" t="n">
        <v>1665766922</v>
      </c>
      <c r="D290">
        <f>HYPERLINK("https://www.etsy.com/listing/1665766922", "link")</f>
        <v/>
      </c>
      <c r="E290">
        <f>HYPERLINK("https://atlas.etsycorp.com/listing/1665766922/lookup", "link")</f>
        <v/>
      </c>
      <c r="F290" t="inlineStr">
        <is>
          <t>Auntie Bean and Auntie&amp;#39;s Lil Bean Sweatshirt, Auntie Me Sweatshirts, Aunt Sweatshirt, Aunt Niece Shirts, Best Gifts for Aunt, Aunt Nephew</t>
        </is>
      </c>
      <c r="G290" t="inlineStr">
        <is>
          <t>EunPSyrsCgpcpejJCEJBTB3bWIf9</t>
        </is>
      </c>
      <c r="H290" t="inlineStr">
        <is>
          <t>web</t>
        </is>
      </c>
      <c r="I290" t="inlineStr">
        <is>
          <t>en-US</t>
        </is>
      </c>
      <c r="J290" t="inlineStr">
        <is>
          <t>us_v2-direct_unspecified</t>
        </is>
      </c>
      <c r="K290" t="b">
        <v>1</v>
      </c>
      <c r="L290" t="inlineStr">
        <is>
          <t>partial</t>
        </is>
      </c>
      <c r="M290" t="inlineStr">
        <is>
          <t>partial</t>
        </is>
      </c>
      <c r="N290" t="inlineStr">
        <is>
          <t>partial</t>
        </is>
      </c>
      <c r="O290" t="inlineStr">
        <is>
          <t>partial</t>
        </is>
      </c>
      <c r="P290" t="b">
        <v>1</v>
      </c>
    </row>
    <row r="291">
      <c r="A291" t="inlineStr">
        <is>
          <t>wooden name puzzle</t>
        </is>
      </c>
      <c r="B291" t="inlineStr"/>
      <c r="C291" t="n">
        <v>1562161603</v>
      </c>
      <c r="D291">
        <f>HYPERLINK("https://www.etsy.com/listing/1562161603", "link")</f>
        <v/>
      </c>
      <c r="E291">
        <f>HYPERLINK("https://atlas.etsycorp.com/listing/1562161603/lookup", "link")</f>
        <v/>
      </c>
      <c r="F291" t="inlineStr">
        <is>
          <t>Personalized Gift Wooden Name Puzzle 1st Birthday name puzzle baby gift Easter  Gifts for kids baby shower gift first birthday gift girl</t>
        </is>
      </c>
      <c r="G291" t="inlineStr">
        <is>
          <t>Eu52-3l3GgL2nR22GoaMyLo1QCbc</t>
        </is>
      </c>
      <c r="H291" t="inlineStr">
        <is>
          <t>web</t>
        </is>
      </c>
      <c r="I291" t="inlineStr">
        <is>
          <t>en-US</t>
        </is>
      </c>
      <c r="J291" t="inlineStr">
        <is>
          <t>us_v2-direct_specified</t>
        </is>
      </c>
      <c r="K291" t="b">
        <v>1</v>
      </c>
      <c r="L291" t="inlineStr">
        <is>
          <t>relevant</t>
        </is>
      </c>
      <c r="M291" t="inlineStr">
        <is>
          <t>relevant</t>
        </is>
      </c>
      <c r="N291" t="inlineStr">
        <is>
          <t>relevant</t>
        </is>
      </c>
      <c r="O291" t="inlineStr">
        <is>
          <t>relevant</t>
        </is>
      </c>
      <c r="P291" t="b">
        <v>1</v>
      </c>
    </row>
    <row r="292">
      <c r="A292" t="inlineStr">
        <is>
          <t>shell jewelry</t>
        </is>
      </c>
      <c r="B292" t="inlineStr">
        <is>
          <t>shell jewelry</t>
        </is>
      </c>
      <c r="C292" t="n">
        <v>1486640206</v>
      </c>
      <c r="D292">
        <f>HYPERLINK("https://www.etsy.com/listing/1486640206", "link")</f>
        <v/>
      </c>
      <c r="E292">
        <f>HYPERLINK("https://atlas.etsycorp.com/listing/1486640206/lookup", "link")</f>
        <v/>
      </c>
      <c r="F292" t="inlineStr">
        <is>
          <t>Gold/Silver Pearl Under the Sea Necklace | Unique Pearl Jewelry | Mother of Pearl Necklace | Elegant Statement Piece | Bridal Pearl Necklace</t>
        </is>
      </c>
      <c r="G292" t="inlineStr">
        <is>
          <t>EuJtSmv2YuXJk8CZX_wEY3zBUae2</t>
        </is>
      </c>
      <c r="H292" t="inlineStr">
        <is>
          <t>web</t>
        </is>
      </c>
      <c r="I292" t="inlineStr">
        <is>
          <t>pt</t>
        </is>
      </c>
      <c r="J292" t="inlineStr">
        <is>
          <t>intl-pt</t>
        </is>
      </c>
      <c r="K292" t="b">
        <v>1</v>
      </c>
      <c r="L292" t="inlineStr">
        <is>
          <t>partial</t>
        </is>
      </c>
      <c r="M292" t="inlineStr">
        <is>
          <t>partial</t>
        </is>
      </c>
      <c r="N292" t="inlineStr">
        <is>
          <t>relevant</t>
        </is>
      </c>
      <c r="O292" t="inlineStr">
        <is>
          <t>partial</t>
        </is>
      </c>
      <c r="P292" t="b">
        <v>1</v>
      </c>
    </row>
    <row r="293">
      <c r="A293" t="inlineStr">
        <is>
          <t>gamer gifts</t>
        </is>
      </c>
      <c r="B293" t="inlineStr"/>
      <c r="C293" t="n">
        <v>1377689472</v>
      </c>
      <c r="D293">
        <f>HYPERLINK("https://www.etsy.com/listing/1377689472", "link")</f>
        <v/>
      </c>
      <c r="E293">
        <f>HYPERLINK("https://atlas.etsycorp.com/listing/1377689472/lookup", "link")</f>
        <v/>
      </c>
      <c r="F293" t="inlineStr">
        <is>
          <t>Personalized Peanut Butter Spoon, Custom Engraved Spoon, Peanut Butter Spoon, Teen Boy Gift, 21st Birthday gifts, Gift For Her, Gift For Him</t>
        </is>
      </c>
      <c r="G293" t="inlineStr">
        <is>
          <t>EuqkvbcTgfa8BkVzradvRFR34wac</t>
        </is>
      </c>
      <c r="H293" t="inlineStr">
        <is>
          <t>web</t>
        </is>
      </c>
      <c r="I293" t="inlineStr">
        <is>
          <t>en-US</t>
        </is>
      </c>
      <c r="J293" t="inlineStr">
        <is>
          <t>us_v2-gift</t>
        </is>
      </c>
      <c r="K293" t="b">
        <v>1</v>
      </c>
      <c r="L293" t="inlineStr">
        <is>
          <t>not_relevant</t>
        </is>
      </c>
      <c r="M293" t="inlineStr">
        <is>
          <t>not_relevant</t>
        </is>
      </c>
      <c r="N293" t="inlineStr">
        <is>
          <t>not_relevant</t>
        </is>
      </c>
      <c r="O293" t="inlineStr">
        <is>
          <t>not_relevant</t>
        </is>
      </c>
      <c r="P293" t="b">
        <v>1</v>
      </c>
    </row>
    <row r="294">
      <c r="A294" t="inlineStr">
        <is>
          <t>spieltisch Outdoor</t>
        </is>
      </c>
      <c r="B294" t="inlineStr">
        <is>
          <t>outdoor game table</t>
        </is>
      </c>
      <c r="C294" t="n">
        <v>1412829500</v>
      </c>
      <c r="D294">
        <f>HYPERLINK("https://www.etsy.com/listing/1412829500", "link")</f>
        <v/>
      </c>
      <c r="E294">
        <f>HYPERLINK("https://atlas.etsycorp.com/listing/1412829500/lookup", "link")</f>
        <v/>
      </c>
      <c r="F294" t="inlineStr">
        <is>
          <t>Chess design chair handwoven chair for chess table</t>
        </is>
      </c>
      <c r="G294" t="inlineStr">
        <is>
          <t>Eunrb27CUgcaJ5i5mok1zIkAdU64</t>
        </is>
      </c>
      <c r="H294" t="inlineStr">
        <is>
          <t>web</t>
        </is>
      </c>
      <c r="I294" t="inlineStr">
        <is>
          <t>de</t>
        </is>
      </c>
      <c r="J294" t="inlineStr">
        <is>
          <t>intl-de</t>
        </is>
      </c>
      <c r="K294" t="b">
        <v>1</v>
      </c>
      <c r="L294" t="inlineStr">
        <is>
          <t>not_relevant</t>
        </is>
      </c>
      <c r="M294" t="inlineStr">
        <is>
          <t>not_relevant</t>
        </is>
      </c>
      <c r="N294" t="inlineStr">
        <is>
          <t>partial</t>
        </is>
      </c>
      <c r="O294" t="inlineStr">
        <is>
          <t>not_relevant</t>
        </is>
      </c>
      <c r="P294" t="b">
        <v>1</v>
      </c>
    </row>
    <row r="295">
      <c r="A295" t="inlineStr">
        <is>
          <t>sword</t>
        </is>
      </c>
      <c r="B295" t="inlineStr"/>
      <c r="C295" t="n">
        <v>1395677897</v>
      </c>
      <c r="D295">
        <f>HYPERLINK("https://www.etsy.com/listing/1395677897", "link")</f>
        <v/>
      </c>
      <c r="E295">
        <f>HYPERLINK("https://atlas.etsycorp.com/listing/1395677897/lookup", "link")</f>
        <v/>
      </c>
      <c r="F295" t="inlineStr">
        <is>
          <t>Functional sharp Hand Forged Viking Sword with Personalized engraved wooden box Birthday gift for Men or Women, Wedding Anniversary Gift</t>
        </is>
      </c>
      <c r="G295" t="inlineStr">
        <is>
          <t>EuNPgqUOrOIxWCUUOG6WvnQess08</t>
        </is>
      </c>
      <c r="H295" t="inlineStr">
        <is>
          <t>web</t>
        </is>
      </c>
      <c r="I295" t="inlineStr">
        <is>
          <t>en-US</t>
        </is>
      </c>
      <c r="J295" t="inlineStr">
        <is>
          <t>us_v2-direct_unspecified</t>
        </is>
      </c>
      <c r="K295" t="b">
        <v>1</v>
      </c>
      <c r="L295" t="inlineStr">
        <is>
          <t>relevant</t>
        </is>
      </c>
      <c r="M295" t="inlineStr">
        <is>
          <t>relevant</t>
        </is>
      </c>
      <c r="N295" t="inlineStr">
        <is>
          <t>relevant</t>
        </is>
      </c>
      <c r="O295" t="inlineStr">
        <is>
          <t>relevant</t>
        </is>
      </c>
      <c r="P295" t="b">
        <v>1</v>
      </c>
    </row>
    <row r="296">
      <c r="A296" t="inlineStr">
        <is>
          <t>this is the doorbell</t>
        </is>
      </c>
      <c r="B296" t="inlineStr"/>
      <c r="C296" t="n">
        <v>995954561</v>
      </c>
      <c r="D296">
        <f>HYPERLINK("https://www.etsy.com/listing/995954561", "link")</f>
        <v/>
      </c>
      <c r="E296">
        <f>HYPERLINK("https://atlas.etsycorp.com/listing/995954561/lookup", "link")</f>
        <v/>
      </c>
      <c r="F296" t="inlineStr">
        <is>
          <t>Please do not ring the door bell, do not knock sign, dogs will bark, working from home, babies sleeping, door sign, farmhouse, custom sign</t>
        </is>
      </c>
      <c r="G296" t="inlineStr">
        <is>
          <t>EuFAbx6LKmfRMKLqVQMKAeXV6e25</t>
        </is>
      </c>
      <c r="H296" t="inlineStr">
        <is>
          <t>web</t>
        </is>
      </c>
      <c r="I296" t="inlineStr">
        <is>
          <t>en-US</t>
        </is>
      </c>
      <c r="J296" t="inlineStr">
        <is>
          <t>us_v2-broad</t>
        </is>
      </c>
      <c r="K296" t="b">
        <v>1</v>
      </c>
      <c r="L296" t="inlineStr">
        <is>
          <t>partial</t>
        </is>
      </c>
      <c r="M296" t="inlineStr">
        <is>
          <t>not_relevant</t>
        </is>
      </c>
      <c r="N296" t="inlineStr">
        <is>
          <t>partial</t>
        </is>
      </c>
      <c r="O296" t="inlineStr">
        <is>
          <t>partial</t>
        </is>
      </c>
      <c r="P296" t="b">
        <v>1</v>
      </c>
    </row>
    <row r="297">
      <c r="A297" t="inlineStr">
        <is>
          <t>candle warmer</t>
        </is>
      </c>
      <c r="B297" t="inlineStr"/>
      <c r="C297" t="n">
        <v>1600141105</v>
      </c>
      <c r="D297">
        <f>HYPERLINK("https://www.etsy.com/listing/1600141105", "link")</f>
        <v/>
      </c>
      <c r="E297">
        <f>HYPERLINK("https://atlas.etsycorp.com/listing/1600141105/lookup", "link")</f>
        <v/>
      </c>
      <c r="F297" t="inlineStr">
        <is>
          <t>Electric Candle Warmer With Timer, Wedding Decoration, Aroma Lamp, Warm Light, Bedside Lamp</t>
        </is>
      </c>
      <c r="G297" t="inlineStr">
        <is>
          <t>Eufvz-nTkA9_18fSaynrBDK_nK22</t>
        </is>
      </c>
      <c r="H297" t="inlineStr">
        <is>
          <t>boe</t>
        </is>
      </c>
      <c r="I297" t="inlineStr">
        <is>
          <t>en-GB</t>
        </is>
      </c>
      <c r="J297" t="inlineStr">
        <is>
          <t>us_v2-direct_unspecified</t>
        </is>
      </c>
      <c r="K297" t="b">
        <v>1</v>
      </c>
      <c r="L297" t="inlineStr">
        <is>
          <t>relevant</t>
        </is>
      </c>
      <c r="M297" t="inlineStr">
        <is>
          <t>relevant</t>
        </is>
      </c>
      <c r="N297" t="inlineStr">
        <is>
          <t>relevant</t>
        </is>
      </c>
      <c r="O297" t="inlineStr">
        <is>
          <t>relevant</t>
        </is>
      </c>
      <c r="P297" t="b">
        <v>1</v>
      </c>
    </row>
    <row r="298">
      <c r="A298" t="inlineStr">
        <is>
          <t>fullcupwood works</t>
        </is>
      </c>
      <c r="B298" t="inlineStr"/>
      <c r="C298" t="n">
        <v>1489938405</v>
      </c>
      <c r="D298">
        <f>HYPERLINK("https://www.etsy.com/listing/1489938405", "link")</f>
        <v/>
      </c>
      <c r="E298">
        <f>HYPERLINK("https://atlas.etsycorp.com/listing/1489938405/lookup", "link")</f>
        <v/>
      </c>
      <c r="F298" t="inlineStr">
        <is>
          <t>Redline K9 Biothane All Weather Long Line Black (3/8&amp;quot; x 33&amp;#39;)</t>
        </is>
      </c>
      <c r="G298" t="inlineStr">
        <is>
          <t>EunzBWqHt6xM8Fm-a1M09awFsCe7</t>
        </is>
      </c>
      <c r="H298" t="inlineStr">
        <is>
          <t>boe</t>
        </is>
      </c>
      <c r="I298" t="inlineStr">
        <is>
          <t>en-US</t>
        </is>
      </c>
      <c r="J298" t="inlineStr">
        <is>
          <t>us_v2-broad</t>
        </is>
      </c>
      <c r="K298" t="b">
        <v>1</v>
      </c>
      <c r="L298" t="inlineStr">
        <is>
          <t>not_relevant</t>
        </is>
      </c>
      <c r="M298" t="inlineStr">
        <is>
          <t>not_relevant</t>
        </is>
      </c>
      <c r="N298" t="inlineStr">
        <is>
          <t>not_relevant</t>
        </is>
      </c>
      <c r="O298" t="inlineStr">
        <is>
          <t>not_relevant</t>
        </is>
      </c>
      <c r="P298" t="b">
        <v>1</v>
      </c>
    </row>
    <row r="299">
      <c r="A299" t="inlineStr">
        <is>
          <t>kitten heels</t>
        </is>
      </c>
      <c r="B299" t="inlineStr"/>
      <c r="C299" t="n">
        <v>1540876182</v>
      </c>
      <c r="D299">
        <f>HYPERLINK("https://www.etsy.com/listing/1540876182", "link")</f>
        <v/>
      </c>
      <c r="E299">
        <f>HYPERLINK("https://atlas.etsycorp.com/listing/1540876182/lookup", "link")</f>
        <v/>
      </c>
      <c r="F299" t="inlineStr">
        <is>
          <t>Light Blue Crochet Lace Pointy Toe Wedding Low Heels with Wrapped Ankle Tie, Bridal Shoes, Bridal Low Heels, Kitten Heels</t>
        </is>
      </c>
      <c r="G299" t="inlineStr">
        <is>
          <t>EuINAivPUDfsFO7v4rMbW5YdXv60</t>
        </is>
      </c>
      <c r="H299" t="inlineStr">
        <is>
          <t>web</t>
        </is>
      </c>
      <c r="I299" t="inlineStr">
        <is>
          <t>en-US</t>
        </is>
      </c>
      <c r="J299" t="inlineStr">
        <is>
          <t>us_v2-direct_unspecified</t>
        </is>
      </c>
      <c r="K299" t="b">
        <v>1</v>
      </c>
      <c r="L299" t="inlineStr">
        <is>
          <t>relevant</t>
        </is>
      </c>
      <c r="M299" t="inlineStr">
        <is>
          <t>relevant</t>
        </is>
      </c>
      <c r="N299" t="inlineStr">
        <is>
          <t>relevant</t>
        </is>
      </c>
      <c r="O299" t="inlineStr">
        <is>
          <t>relevant</t>
        </is>
      </c>
      <c r="P299" t="b">
        <v>1</v>
      </c>
    </row>
    <row r="300">
      <c r="A300" t="inlineStr">
        <is>
          <t>umrah</t>
        </is>
      </c>
      <c r="B300" t="inlineStr"/>
      <c r="C300" t="n">
        <v>1527420502</v>
      </c>
      <c r="D300">
        <f>HYPERLINK("https://www.etsy.com/listing/1527420502", "link")</f>
        <v/>
      </c>
      <c r="E300">
        <f>HYPERLINK("https://atlas.etsycorp.com/listing/1527420502/lookup", "link")</f>
        <v/>
      </c>
      <c r="F300" t="inlineStr">
        <is>
          <t>Personalized Islamic Stationery: Arabic Name &amp; Hijabi Notebook, muslim journal, Dua Journal</t>
        </is>
      </c>
      <c r="G300" t="inlineStr">
        <is>
          <t>Eu0H176h2a1iIipcAelnlJDlNY50</t>
        </is>
      </c>
      <c r="H300" t="inlineStr">
        <is>
          <t>web</t>
        </is>
      </c>
      <c r="I300" t="inlineStr">
        <is>
          <t>en-GB</t>
        </is>
      </c>
      <c r="J300" t="inlineStr">
        <is>
          <t>us_v2-broad</t>
        </is>
      </c>
      <c r="K300" t="b">
        <v>1</v>
      </c>
      <c r="L300" t="inlineStr">
        <is>
          <t>not_relevant</t>
        </is>
      </c>
      <c r="M300" t="inlineStr">
        <is>
          <t>not_relevant</t>
        </is>
      </c>
      <c r="N300" t="inlineStr">
        <is>
          <t>not_relevant</t>
        </is>
      </c>
      <c r="O300" t="inlineStr">
        <is>
          <t>not_relevant</t>
        </is>
      </c>
      <c r="P300" t="b">
        <v>1</v>
      </c>
    </row>
    <row r="301">
      <c r="A301" t="inlineStr">
        <is>
          <t>labradorite bracelet</t>
        </is>
      </c>
      <c r="B301" t="inlineStr"/>
      <c r="C301" t="n">
        <v>1521202061</v>
      </c>
      <c r="D301">
        <f>HYPERLINK("https://www.etsy.com/listing/1521202061", "link")</f>
        <v/>
      </c>
      <c r="E301">
        <f>HYPERLINK("https://atlas.etsycorp.com/listing/1521202061/lookup", "link")</f>
        <v/>
      </c>
      <c r="F301" t="inlineStr">
        <is>
          <t>Labradorite leather cuff</t>
        </is>
      </c>
      <c r="G301" t="inlineStr">
        <is>
          <t>Eutc-ZS4Tc_HSUscnFcqSqRHE458</t>
        </is>
      </c>
      <c r="H301" t="inlineStr">
        <is>
          <t>web</t>
        </is>
      </c>
      <c r="I301" t="inlineStr">
        <is>
          <t>en-US</t>
        </is>
      </c>
      <c r="J301" t="inlineStr">
        <is>
          <t>us_v2-direct_specified</t>
        </is>
      </c>
      <c r="K301" t="b">
        <v>1</v>
      </c>
      <c r="L301" t="inlineStr">
        <is>
          <t>partial</t>
        </is>
      </c>
      <c r="M301" t="inlineStr">
        <is>
          <t>partial</t>
        </is>
      </c>
      <c r="N301" t="inlineStr">
        <is>
          <t>partial</t>
        </is>
      </c>
      <c r="O301" t="inlineStr">
        <is>
          <t>not_relevant</t>
        </is>
      </c>
      <c r="P301" t="b">
        <v>1</v>
      </c>
    </row>
    <row r="302">
      <c r="A302" t="inlineStr">
        <is>
          <t>kersmik kugel wand</t>
        </is>
      </c>
      <c r="B302" t="inlineStr">
        <is>
          <t>ceramic ball wall</t>
        </is>
      </c>
      <c r="C302" t="n">
        <v>797676465</v>
      </c>
      <c r="D302">
        <f>HYPERLINK("https://www.etsy.com/listing/797676465", "link")</f>
        <v/>
      </c>
      <c r="E302">
        <f>HYPERLINK("https://atlas.etsycorp.com/listing/797676465/lookup", "link")</f>
        <v/>
      </c>
      <c r="F302" t="inlineStr">
        <is>
          <t>3 Coat hooks-wall hooks for functional home decor. Zen Garden exclusive collection of 3 hand painted ceramic hooks . 4.5 by 2 inches.</t>
        </is>
      </c>
      <c r="G302" t="inlineStr">
        <is>
          <t>Euy_GUcU5QTjXAm4gRUJhm8YMz48</t>
        </is>
      </c>
      <c r="H302" t="inlineStr">
        <is>
          <t>web</t>
        </is>
      </c>
      <c r="I302" t="inlineStr">
        <is>
          <t>de</t>
        </is>
      </c>
      <c r="J302" t="inlineStr">
        <is>
          <t>intl-de</t>
        </is>
      </c>
      <c r="K302" t="b">
        <v>1</v>
      </c>
      <c r="L302" t="inlineStr">
        <is>
          <t>not_relevant</t>
        </is>
      </c>
      <c r="M302" t="inlineStr">
        <is>
          <t>not_relevant</t>
        </is>
      </c>
      <c r="N302" t="inlineStr">
        <is>
          <t>partial</t>
        </is>
      </c>
      <c r="O302" t="inlineStr">
        <is>
          <t>not_relevant</t>
        </is>
      </c>
      <c r="P302" t="b">
        <v>1</v>
      </c>
    </row>
    <row r="303">
      <c r="A303" t="inlineStr">
        <is>
          <t>rowe bag</t>
        </is>
      </c>
      <c r="B303" t="inlineStr"/>
      <c r="C303" t="n">
        <v>1363377237</v>
      </c>
      <c r="D303">
        <f>HYPERLINK("https://www.etsy.com/listing/1363377237", "link")</f>
        <v/>
      </c>
      <c r="E303">
        <f>HYPERLINK("https://atlas.etsycorp.com/listing/1363377237/lookup", "link")</f>
        <v/>
      </c>
      <c r="F303" t="inlineStr">
        <is>
          <t>Women Half Moon Chest Bag ,Designer Crossbody Bags , PU Leather Shoulder Bags ,Handbag Charms, ,Aesthetic Tote Bag , Small Leather Bag,</t>
        </is>
      </c>
      <c r="G303" t="inlineStr">
        <is>
          <t>EuGhmOyarDdES-6t_lSQt4yF01b1</t>
        </is>
      </c>
      <c r="H303" t="inlineStr">
        <is>
          <t>web</t>
        </is>
      </c>
      <c r="I303" t="inlineStr">
        <is>
          <t>en-GB</t>
        </is>
      </c>
      <c r="J303" t="inlineStr">
        <is>
          <t>us_v2-direct_unspecified</t>
        </is>
      </c>
      <c r="K303" t="b">
        <v>1</v>
      </c>
      <c r="L303" t="inlineStr">
        <is>
          <t>partial</t>
        </is>
      </c>
      <c r="M303" t="inlineStr">
        <is>
          <t>partial</t>
        </is>
      </c>
      <c r="N303" t="inlineStr">
        <is>
          <t>partial</t>
        </is>
      </c>
      <c r="O303" t="inlineStr">
        <is>
          <t>partial</t>
        </is>
      </c>
      <c r="P303" t="b">
        <v>1</v>
      </c>
    </row>
    <row r="304">
      <c r="A304" t="inlineStr">
        <is>
          <t>pink striped scarf</t>
        </is>
      </c>
      <c r="B304" t="inlineStr"/>
      <c r="C304" t="n">
        <v>1121974543</v>
      </c>
      <c r="D304">
        <f>HYPERLINK("https://www.etsy.com/listing/1121974543", "link")</f>
        <v/>
      </c>
      <c r="E304">
        <f>HYPERLINK("https://atlas.etsycorp.com/listing/1121974543/lookup", "link")</f>
        <v/>
      </c>
      <c r="F304" t="inlineStr">
        <is>
          <t>Hand Knitted Children&amp;#39;s Scarf</t>
        </is>
      </c>
      <c r="G304" t="inlineStr">
        <is>
          <t>EuG1TlcwuiX46HYHmxGxdjUhhnde</t>
        </is>
      </c>
      <c r="H304" t="inlineStr">
        <is>
          <t>boe</t>
        </is>
      </c>
      <c r="I304" t="inlineStr">
        <is>
          <t>en-US</t>
        </is>
      </c>
      <c r="J304" t="inlineStr">
        <is>
          <t>us_v2-direct_specified</t>
        </is>
      </c>
      <c r="K304" t="b">
        <v>1</v>
      </c>
      <c r="L304" t="inlineStr">
        <is>
          <t>partial</t>
        </is>
      </c>
      <c r="M304" t="inlineStr">
        <is>
          <t>relevant</t>
        </is>
      </c>
      <c r="N304" t="inlineStr">
        <is>
          <t>partial</t>
        </is>
      </c>
      <c r="O304" t="inlineStr">
        <is>
          <t>partial</t>
        </is>
      </c>
      <c r="P304" t="b">
        <v>1</v>
      </c>
    </row>
    <row r="305">
      <c r="A305" t="inlineStr">
        <is>
          <t>80s wood necklace</t>
        </is>
      </c>
      <c r="B305" t="inlineStr"/>
      <c r="C305" t="n">
        <v>628807416</v>
      </c>
      <c r="D305">
        <f>HYPERLINK("https://www.etsy.com/listing/628807416", "link")</f>
        <v/>
      </c>
      <c r="E305">
        <f>HYPERLINK("https://atlas.etsycorp.com/listing/628807416/lookup", "link")</f>
        <v/>
      </c>
      <c r="F305" t="inlineStr">
        <is>
          <t>Wood Jewelry - Ombre Wood Necklace, Laser Cut Jewelry, Gift Women, Natural Jewelry, Wood Pendant, Small Wood Necklace</t>
        </is>
      </c>
      <c r="G305" t="inlineStr">
        <is>
          <t>EuGo6xfUwwQKlIR9oTseKwpMG907</t>
        </is>
      </c>
      <c r="H305" t="inlineStr">
        <is>
          <t>boe</t>
        </is>
      </c>
      <c r="I305" t="inlineStr">
        <is>
          <t>en-US</t>
        </is>
      </c>
      <c r="J305" t="inlineStr">
        <is>
          <t>us_v2-direct_specified</t>
        </is>
      </c>
      <c r="K305" t="b">
        <v>1</v>
      </c>
      <c r="L305" t="inlineStr">
        <is>
          <t>partial</t>
        </is>
      </c>
      <c r="M305" t="inlineStr">
        <is>
          <t>partial</t>
        </is>
      </c>
      <c r="N305" t="inlineStr">
        <is>
          <t>partial</t>
        </is>
      </c>
      <c r="O305" t="inlineStr">
        <is>
          <t>partial</t>
        </is>
      </c>
      <c r="P305" t="b">
        <v>1</v>
      </c>
    </row>
    <row r="306">
      <c r="A306" t="inlineStr">
        <is>
          <t>schriftzug mit Minifeder</t>
        </is>
      </c>
      <c r="B306" t="inlineStr">
        <is>
          <t>lettering with mini feather</t>
        </is>
      </c>
      <c r="C306" t="n">
        <v>1479905757</v>
      </c>
      <c r="D306">
        <f>HYPERLINK("https://www.etsy.com/listing/1479905757", "link")</f>
        <v/>
      </c>
      <c r="E306">
        <f>HYPERLINK("https://atlas.etsycorp.com/listing/1479905757/lookup", "link")</f>
        <v/>
      </c>
      <c r="F306" t="inlineStr">
        <is>
          <t>handwritten greeting card original modern calligraphy thank you love congratulations handlettering pen ink customizable handlettering</t>
        </is>
      </c>
      <c r="G306" t="inlineStr">
        <is>
          <t>Eu1Il1KrdiTqxAzdkc1ed2pp2g5b</t>
        </is>
      </c>
      <c r="H306" t="inlineStr">
        <is>
          <t>web</t>
        </is>
      </c>
      <c r="I306" t="inlineStr">
        <is>
          <t>de</t>
        </is>
      </c>
      <c r="J306" t="inlineStr">
        <is>
          <t>intl-de</t>
        </is>
      </c>
      <c r="K306" t="b">
        <v>1</v>
      </c>
      <c r="L306" t="inlineStr">
        <is>
          <t>not_relevant</t>
        </is>
      </c>
      <c r="M306" t="inlineStr">
        <is>
          <t>not_relevant</t>
        </is>
      </c>
      <c r="N306" t="inlineStr">
        <is>
          <t>relevant</t>
        </is>
      </c>
      <c r="O306" t="inlineStr">
        <is>
          <t>not_relevant</t>
        </is>
      </c>
      <c r="P306" t="b">
        <v>1</v>
      </c>
    </row>
    <row r="307">
      <c r="A307" t="inlineStr">
        <is>
          <t>gifts for kids</t>
        </is>
      </c>
      <c r="B307" t="inlineStr"/>
      <c r="C307" t="n">
        <v>1297761172</v>
      </c>
      <c r="D307">
        <f>HYPERLINK("https://www.etsy.com/listing/1297761172", "link")</f>
        <v/>
      </c>
      <c r="E307">
        <f>HYPERLINK("https://atlas.etsycorp.com/listing/1297761172/lookup", "link")</f>
        <v/>
      </c>
      <c r="F307" t="inlineStr">
        <is>
          <t>Personalised Bunny Rabbit, New Baby Gift, Personalised Plush Soft Toy, Your Name Teddy, Cuddly Toy, Girls and Boys Teddy Baby Shower Gift</t>
        </is>
      </c>
      <c r="G307" t="inlineStr">
        <is>
          <t>EuMbAYrPQboD98ICpYwokwu8BM75</t>
        </is>
      </c>
      <c r="H307" t="inlineStr">
        <is>
          <t>boe</t>
        </is>
      </c>
      <c r="I307" t="inlineStr">
        <is>
          <t>en-US</t>
        </is>
      </c>
      <c r="J307" t="inlineStr">
        <is>
          <t>us_v2-broad</t>
        </is>
      </c>
      <c r="K307" t="b">
        <v>1</v>
      </c>
      <c r="L307" t="inlineStr">
        <is>
          <t>relevant</t>
        </is>
      </c>
      <c r="M307" t="inlineStr">
        <is>
          <t>relevant</t>
        </is>
      </c>
      <c r="N307" t="inlineStr">
        <is>
          <t>relevant</t>
        </is>
      </c>
      <c r="O307" t="inlineStr">
        <is>
          <t>relevant</t>
        </is>
      </c>
      <c r="P307" t="b">
        <v>1</v>
      </c>
    </row>
    <row r="308">
      <c r="A308" t="inlineStr">
        <is>
          <t>Custom womens clothing</t>
        </is>
      </c>
      <c r="B308" t="inlineStr">
        <is>
          <t>Custom womens clothing</t>
        </is>
      </c>
      <c r="C308" t="n">
        <v>1311306531</v>
      </c>
      <c r="D308">
        <f>HYPERLINK("https://www.etsy.com/listing/1311306531", "link")</f>
        <v/>
      </c>
      <c r="E308">
        <f>HYPERLINK("https://atlas.etsycorp.com/listing/1311306531/lookup", "link")</f>
        <v/>
      </c>
      <c r="F308" t="inlineStr">
        <is>
          <t>Custom Cookie Cutter Jungle, Custom Fondant, Customise with first name</t>
        </is>
      </c>
      <c r="G308" t="inlineStr">
        <is>
          <t>EuvUXgaGi24sKXZabBDuxufKPV5f</t>
        </is>
      </c>
      <c r="H308" t="inlineStr">
        <is>
          <t>boe</t>
        </is>
      </c>
      <c r="I308" t="inlineStr">
        <is>
          <t>fr</t>
        </is>
      </c>
      <c r="J308" t="inlineStr">
        <is>
          <t>intl-fr</t>
        </is>
      </c>
      <c r="K308" t="b">
        <v>1</v>
      </c>
      <c r="L308" t="inlineStr">
        <is>
          <t>not_relevant</t>
        </is>
      </c>
      <c r="M308" t="inlineStr">
        <is>
          <t>not_relevant</t>
        </is>
      </c>
      <c r="N308" t="inlineStr">
        <is>
          <t>not_relevant</t>
        </is>
      </c>
      <c r="O308" t="inlineStr">
        <is>
          <t>not_relevant</t>
        </is>
      </c>
      <c r="P308" t="b">
        <v>1</v>
      </c>
    </row>
    <row r="309">
      <c r="A309" t="inlineStr">
        <is>
          <t>60th birthday gifts for her</t>
        </is>
      </c>
      <c r="B309" t="inlineStr"/>
      <c r="C309" t="n">
        <v>1667573127</v>
      </c>
      <c r="D309">
        <f>HYPERLINK("https://www.etsy.com/listing/1667573127", "link")</f>
        <v/>
      </c>
      <c r="E309">
        <f>HYPERLINK("https://atlas.etsycorp.com/listing/1667573127/lookup", "link")</f>
        <v/>
      </c>
      <c r="F309" t="inlineStr">
        <is>
          <t>60th Birthday Gift for Women, 60th Bracelet, Milestone Birthday Gifts for Her</t>
        </is>
      </c>
      <c r="G309" t="inlineStr">
        <is>
          <t>Eu0zIiWcqYgQIEnDwbYKKSorpNb5</t>
        </is>
      </c>
      <c r="H309" t="inlineStr">
        <is>
          <t>web</t>
        </is>
      </c>
      <c r="I309" t="inlineStr">
        <is>
          <t>en-US</t>
        </is>
      </c>
      <c r="J309" t="inlineStr">
        <is>
          <t>us_v2-gift</t>
        </is>
      </c>
      <c r="K309" t="b">
        <v>1</v>
      </c>
      <c r="L309" t="inlineStr">
        <is>
          <t>relevant</t>
        </is>
      </c>
      <c r="M309" t="inlineStr">
        <is>
          <t>relevant</t>
        </is>
      </c>
      <c r="N309" t="inlineStr">
        <is>
          <t>relevant</t>
        </is>
      </c>
      <c r="O309" t="inlineStr">
        <is>
          <t>relevant</t>
        </is>
      </c>
      <c r="P309" t="b">
        <v>1</v>
      </c>
    </row>
    <row r="310">
      <c r="A310" t="inlineStr">
        <is>
          <t>Custom womens clothing</t>
        </is>
      </c>
      <c r="B310" t="inlineStr">
        <is>
          <t>custom womens clothing</t>
        </is>
      </c>
      <c r="C310" t="n">
        <v>1347010175</v>
      </c>
      <c r="D310">
        <f>HYPERLINK("https://www.etsy.com/listing/1347010175", "link")</f>
        <v/>
      </c>
      <c r="E310">
        <f>HYPERLINK("https://atlas.etsycorp.com/listing/1347010175/lookup", "link")</f>
        <v/>
      </c>
      <c r="F310" t="inlineStr">
        <is>
          <t>Rings of Saturn Planet Off the Shoulder Shirt, Fashion Gift for Her, Sustainable Clothing Bamboo Organic Cotton Top, Slouchy Fit Gray Blouse</t>
        </is>
      </c>
      <c r="G310" t="inlineStr">
        <is>
          <t>EuHY2mB5KibM8HbUv_dDzCxzNg5b</t>
        </is>
      </c>
      <c r="H310" t="inlineStr">
        <is>
          <t>boe</t>
        </is>
      </c>
      <c r="I310" t="inlineStr">
        <is>
          <t>es</t>
        </is>
      </c>
      <c r="J310" t="inlineStr">
        <is>
          <t>intl-es</t>
        </is>
      </c>
      <c r="K310" t="b">
        <v>1</v>
      </c>
      <c r="L310" t="inlineStr">
        <is>
          <t>partial</t>
        </is>
      </c>
      <c r="M310" t="inlineStr">
        <is>
          <t>partial</t>
        </is>
      </c>
      <c r="N310" t="inlineStr">
        <is>
          <t>partial</t>
        </is>
      </c>
      <c r="O310" t="inlineStr">
        <is>
          <t>relevant</t>
        </is>
      </c>
      <c r="P310" t="b">
        <v>1</v>
      </c>
    </row>
    <row r="311">
      <c r="A311" t="inlineStr">
        <is>
          <t>traumfänger</t>
        </is>
      </c>
      <c r="B311" t="inlineStr">
        <is>
          <t>dreamcatcher</t>
        </is>
      </c>
      <c r="C311" t="n">
        <v>915498333</v>
      </c>
      <c r="D311">
        <f>HYPERLINK("https://www.etsy.com/listing/915498333", "link")</f>
        <v/>
      </c>
      <c r="E311">
        <f>HYPERLINK("https://atlas.etsycorp.com/listing/915498333/lookup", "link")</f>
        <v/>
      </c>
      <c r="F311" t="inlineStr">
        <is>
          <t>Dream catcher, size L, dream catcher &amp;quot;white dream&amp;quot;, crocheted, white feathers, wooden beads, white edge.</t>
        </is>
      </c>
      <c r="G311" t="inlineStr">
        <is>
          <t>EuyfJ7KYi909dhHEMRwOLCmBxa27</t>
        </is>
      </c>
      <c r="H311" t="inlineStr">
        <is>
          <t>web</t>
        </is>
      </c>
      <c r="I311" t="inlineStr">
        <is>
          <t>de</t>
        </is>
      </c>
      <c r="J311" t="inlineStr">
        <is>
          <t>intl-de</t>
        </is>
      </c>
      <c r="K311" t="b">
        <v>1</v>
      </c>
      <c r="L311" t="inlineStr">
        <is>
          <t>relevant</t>
        </is>
      </c>
      <c r="M311" t="inlineStr">
        <is>
          <t>relevant</t>
        </is>
      </c>
      <c r="N311" t="inlineStr">
        <is>
          <t>relevant</t>
        </is>
      </c>
      <c r="O311" t="inlineStr">
        <is>
          <t>relevant</t>
        </is>
      </c>
      <c r="P311" t="b">
        <v>1</v>
      </c>
    </row>
    <row r="312">
      <c r="A312" t="inlineStr">
        <is>
          <t>mango jewellery</t>
        </is>
      </c>
      <c r="B312" t="inlineStr"/>
      <c r="C312" t="n">
        <v>1076190801</v>
      </c>
      <c r="D312">
        <f>HYPERLINK("https://www.etsy.com/listing/1076190801", "link")</f>
        <v/>
      </c>
      <c r="E312">
        <f>HYPERLINK("https://atlas.etsycorp.com/listing/1076190801/lookup", "link")</f>
        <v/>
      </c>
      <c r="F312" t="inlineStr">
        <is>
          <t>Wooden Sunflower earrings</t>
        </is>
      </c>
      <c r="G312" t="inlineStr">
        <is>
          <t>EugYpnQhNCg_auylFdg-Ax4kdB3d</t>
        </is>
      </c>
      <c r="H312" t="inlineStr">
        <is>
          <t>boe</t>
        </is>
      </c>
      <c r="I312" t="inlineStr">
        <is>
          <t>en-GB</t>
        </is>
      </c>
      <c r="J312" t="inlineStr">
        <is>
          <t>us_v2-broad</t>
        </is>
      </c>
      <c r="K312" t="b">
        <v>1</v>
      </c>
      <c r="L312" t="inlineStr">
        <is>
          <t>not_relevant</t>
        </is>
      </c>
      <c r="M312" t="inlineStr">
        <is>
          <t>partial</t>
        </is>
      </c>
      <c r="N312" t="inlineStr">
        <is>
          <t>not_relevant</t>
        </is>
      </c>
      <c r="O312" t="inlineStr">
        <is>
          <t>not_relevant</t>
        </is>
      </c>
      <c r="P312" t="b">
        <v>1</v>
      </c>
    </row>
    <row r="313">
      <c r="A313" t="inlineStr">
        <is>
          <t>logo R300</t>
        </is>
      </c>
      <c r="B313" t="inlineStr">
        <is>
          <t>R300 logo</t>
        </is>
      </c>
      <c r="C313" t="n">
        <v>1748605929</v>
      </c>
      <c r="D313">
        <f>HYPERLINK("https://www.etsy.com/listing/1748605929", "link")</f>
        <v/>
      </c>
      <c r="E313">
        <f>HYPERLINK("https://atlas.etsycorp.com/listing/1748605929/lookup", "link")</f>
        <v/>
      </c>
      <c r="F313" t="inlineStr">
        <is>
          <t>Porsche sticker for Thrustmaster Ferrari SF1000 steering wheel - Add-On F1 - Fanatec Podium / CSL McLaren - SIMAGIC - Moza GS</t>
        </is>
      </c>
      <c r="G313" t="inlineStr">
        <is>
          <t>Eu5EDdHf9cx304iu67_tohDrBb63</t>
        </is>
      </c>
      <c r="H313" t="inlineStr">
        <is>
          <t>boe</t>
        </is>
      </c>
      <c r="I313" t="inlineStr">
        <is>
          <t>fr</t>
        </is>
      </c>
      <c r="J313" t="inlineStr">
        <is>
          <t>intl-fr</t>
        </is>
      </c>
      <c r="K313" t="b">
        <v>1</v>
      </c>
      <c r="L313" t="inlineStr">
        <is>
          <t>not_relevant</t>
        </is>
      </c>
      <c r="M313" t="inlineStr">
        <is>
          <t>not_relevant</t>
        </is>
      </c>
      <c r="N313" t="inlineStr">
        <is>
          <t>not_relevant</t>
        </is>
      </c>
      <c r="O313" t="inlineStr">
        <is>
          <t>not_relevant</t>
        </is>
      </c>
      <c r="P313" t="b">
        <v>1</v>
      </c>
    </row>
    <row r="314">
      <c r="A314" t="inlineStr">
        <is>
          <t>polymer clay cutters</t>
        </is>
      </c>
      <c r="B314" t="inlineStr"/>
      <c r="C314" t="n">
        <v>1383655535</v>
      </c>
      <c r="D314">
        <f>HYPERLINK("https://www.etsy.com/listing/1383655535", "link")</f>
        <v/>
      </c>
      <c r="E314">
        <f>HYPERLINK("https://atlas.etsycorp.com/listing/1383655535/lookup", "link")</f>
        <v/>
      </c>
      <c r="F314" t="inlineStr">
        <is>
          <t>Heart Clay Cutter Bundle | Heart Polymer Clay Cutter Bundle Set Polymer Clay Heart Cutter Valentine’s Day Clay Micro Cutter Heart Shaped Set</t>
        </is>
      </c>
      <c r="G314" t="inlineStr">
        <is>
          <t>EudJE3YDPdxwZCGFOr7AgXLbrYee</t>
        </is>
      </c>
      <c r="H314" t="inlineStr">
        <is>
          <t>boe</t>
        </is>
      </c>
      <c r="I314" t="inlineStr">
        <is>
          <t>en-US</t>
        </is>
      </c>
      <c r="J314" t="inlineStr">
        <is>
          <t>us_v2-direct_specified</t>
        </is>
      </c>
      <c r="K314" t="b">
        <v>1</v>
      </c>
      <c r="L314" t="inlineStr">
        <is>
          <t>relevant</t>
        </is>
      </c>
      <c r="M314" t="inlineStr">
        <is>
          <t>relevant</t>
        </is>
      </c>
      <c r="N314" t="inlineStr">
        <is>
          <t>partial</t>
        </is>
      </c>
      <c r="O314" t="inlineStr">
        <is>
          <t>relevant</t>
        </is>
      </c>
      <c r="P314" t="b">
        <v>1</v>
      </c>
    </row>
    <row r="315">
      <c r="A315" t="inlineStr">
        <is>
          <t>wickelauflage</t>
        </is>
      </c>
      <c r="B315" t="inlineStr">
        <is>
          <t>changing mat</t>
        </is>
      </c>
      <c r="C315" t="n">
        <v>1524482478</v>
      </c>
      <c r="D315">
        <f>HYPERLINK("https://www.etsy.com/listing/1524482478", "link")</f>
        <v/>
      </c>
      <c r="E315">
        <f>HYPERLINK("https://atlas.etsycorp.com/listing/1524482478/lookup", "link")</f>
        <v/>
      </c>
      <c r="F315" t="inlineStr">
        <is>
          <t>Beige Wasserabweisende Wickelauflage Libelle, Baby changing mat with Dragonfly, Water repellent changing pad</t>
        </is>
      </c>
      <c r="G315" t="inlineStr">
        <is>
          <t>EunXz0v91uhrJ3eG4tQQFFqTM-59</t>
        </is>
      </c>
      <c r="H315" t="inlineStr">
        <is>
          <t>web</t>
        </is>
      </c>
      <c r="I315" t="inlineStr">
        <is>
          <t>de</t>
        </is>
      </c>
      <c r="J315" t="inlineStr">
        <is>
          <t>intl-de</t>
        </is>
      </c>
      <c r="K315" t="b">
        <v>1</v>
      </c>
      <c r="L315" t="inlineStr">
        <is>
          <t>relevant</t>
        </is>
      </c>
      <c r="M315" t="inlineStr">
        <is>
          <t>relevant</t>
        </is>
      </c>
      <c r="N315" t="inlineStr">
        <is>
          <t>relevant</t>
        </is>
      </c>
      <c r="O315" t="inlineStr">
        <is>
          <t>relevant</t>
        </is>
      </c>
      <c r="P315" t="b">
        <v>1</v>
      </c>
    </row>
    <row r="316">
      <c r="A316" t="inlineStr">
        <is>
          <t>ae</t>
        </is>
      </c>
      <c r="B316" t="inlineStr">
        <is>
          <t>ae</t>
        </is>
      </c>
      <c r="C316" t="n">
        <v>1713242494</v>
      </c>
      <c r="D316">
        <f>HYPERLINK("https://www.etsy.com/listing/1713242494", "link")</f>
        <v/>
      </c>
      <c r="E316">
        <f>HYPERLINK("https://atlas.etsycorp.com/listing/1713242494/lookup", "link")</f>
        <v/>
      </c>
      <c r="F316" t="inlineStr">
        <is>
          <t>1000+ Premiere Pro Transitions Bundle Pack 2024, Easy Drag &amp; Drop, Motion Design Presets, Transitions Effects, Glitch Effects, Resizable</t>
        </is>
      </c>
      <c r="G316" t="inlineStr">
        <is>
          <t>EujUQqjwoDceiFesNpfv5Hxc5wfe</t>
        </is>
      </c>
      <c r="H316" t="inlineStr">
        <is>
          <t>web</t>
        </is>
      </c>
      <c r="I316" t="inlineStr">
        <is>
          <t>es</t>
        </is>
      </c>
      <c r="J316" t="inlineStr">
        <is>
          <t>intl-es</t>
        </is>
      </c>
      <c r="K316" t="b">
        <v>1</v>
      </c>
      <c r="L316" t="inlineStr">
        <is>
          <t>not_relevant</t>
        </is>
      </c>
      <c r="M316" t="inlineStr">
        <is>
          <t>not_relevant</t>
        </is>
      </c>
      <c r="N316" t="inlineStr">
        <is>
          <t>not_relevant</t>
        </is>
      </c>
      <c r="O316" t="inlineStr">
        <is>
          <t>not_relevant</t>
        </is>
      </c>
      <c r="P316" t="b">
        <v>1</v>
      </c>
    </row>
    <row r="317">
      <c r="A317" t="inlineStr">
        <is>
          <t>sustainable bookcases</t>
        </is>
      </c>
      <c r="B317" t="inlineStr"/>
      <c r="C317" t="n">
        <v>1596509581</v>
      </c>
      <c r="D317">
        <f>HYPERLINK("https://www.etsy.com/listing/1596509581", "link")</f>
        <v/>
      </c>
      <c r="E317">
        <f>HYPERLINK("https://atlas.etsycorp.com/listing/1596509581/lookup", "link")</f>
        <v/>
      </c>
      <c r="F317" t="inlineStr">
        <is>
          <t>Rustic Bookcase Unique Bookshelf Tree Bookcase Wood Bookshelf for Living Room Book Case Reading Corner Book Shelf Freestanding Display Unit</t>
        </is>
      </c>
      <c r="G317" t="inlineStr">
        <is>
          <t>EuKiO2JAa7rRicTr3uTc0mdFU11d</t>
        </is>
      </c>
      <c r="H317" t="inlineStr">
        <is>
          <t>web</t>
        </is>
      </c>
      <c r="I317" t="inlineStr">
        <is>
          <t>en-GB</t>
        </is>
      </c>
      <c r="J317" t="inlineStr">
        <is>
          <t>us_v2-direct_unspecified</t>
        </is>
      </c>
      <c r="K317" t="b">
        <v>1</v>
      </c>
      <c r="L317" t="inlineStr">
        <is>
          <t>relevant</t>
        </is>
      </c>
      <c r="M317" t="inlineStr">
        <is>
          <t>partial</t>
        </is>
      </c>
      <c r="N317" t="inlineStr">
        <is>
          <t>relevant</t>
        </is>
      </c>
      <c r="O317" t="inlineStr">
        <is>
          <t>relevant</t>
        </is>
      </c>
      <c r="P317" t="b">
        <v>1</v>
      </c>
    </row>
    <row r="318">
      <c r="A318" t="inlineStr">
        <is>
          <t>poster xxl carte du monde animaux</t>
        </is>
      </c>
      <c r="B318" t="inlineStr">
        <is>
          <t>poster xxl world map animals</t>
        </is>
      </c>
      <c r="C318" t="n">
        <v>486542720</v>
      </c>
      <c r="D318">
        <f>HYPERLINK("https://www.etsy.com/listing/486542720", "link")</f>
        <v/>
      </c>
      <c r="E318">
        <f>HYPERLINK("https://atlas.etsycorp.com/listing/486542720/lookup", "link")</f>
        <v/>
      </c>
      <c r="F318" t="inlineStr">
        <is>
          <t xml:space="preserve">ENGLISH VERSION  - World Map Poster | World Map Wall Art 50x70 cm | Nursery Art | Illustrated Poster | Kids Room | World Map for Children | </t>
        </is>
      </c>
      <c r="G318" t="inlineStr">
        <is>
          <t>EuHoCAoOqIA1qk96xYbxTU3THx40</t>
        </is>
      </c>
      <c r="H318" t="inlineStr">
        <is>
          <t>web</t>
        </is>
      </c>
      <c r="I318" t="inlineStr">
        <is>
          <t>fr</t>
        </is>
      </c>
      <c r="J318" t="inlineStr">
        <is>
          <t>intl-fr</t>
        </is>
      </c>
      <c r="K318" t="b">
        <v>1</v>
      </c>
      <c r="L318" t="inlineStr">
        <is>
          <t>partial</t>
        </is>
      </c>
      <c r="M318" t="inlineStr">
        <is>
          <t>partial</t>
        </is>
      </c>
      <c r="N318" t="inlineStr">
        <is>
          <t>not_relevant</t>
        </is>
      </c>
      <c r="O318" t="inlineStr">
        <is>
          <t>partial</t>
        </is>
      </c>
      <c r="P318" t="b">
        <v>1</v>
      </c>
    </row>
    <row r="319">
      <c r="A319" t="inlineStr">
        <is>
          <t>vegeta</t>
        </is>
      </c>
      <c r="B319" t="inlineStr">
        <is>
          <t>vegeta</t>
        </is>
      </c>
      <c r="C319" t="n">
        <v>1730820657</v>
      </c>
      <c r="D319">
        <f>HYPERLINK("https://www.etsy.com/listing/1730820657", "link")</f>
        <v/>
      </c>
      <c r="E319">
        <f>HYPERLINK("https://atlas.etsycorp.com/listing/1730820657/lookup", "link")</f>
        <v/>
      </c>
      <c r="F319" t="inlineStr">
        <is>
          <t>Custom Anime Air Force 1’s (Goku x Vegeta)</t>
        </is>
      </c>
      <c r="G319" t="inlineStr">
        <is>
          <t>EubtpecW68fZZe0S2AlKfyYyRG72</t>
        </is>
      </c>
      <c r="H319" t="inlineStr">
        <is>
          <t>web</t>
        </is>
      </c>
      <c r="I319" t="inlineStr">
        <is>
          <t>de</t>
        </is>
      </c>
      <c r="J319" t="inlineStr">
        <is>
          <t>intl-de</t>
        </is>
      </c>
      <c r="K319" t="b">
        <v>1</v>
      </c>
      <c r="L319" t="inlineStr">
        <is>
          <t>relevant</t>
        </is>
      </c>
      <c r="M319" t="inlineStr">
        <is>
          <t>relevant</t>
        </is>
      </c>
      <c r="N319" t="inlineStr">
        <is>
          <t>relevant</t>
        </is>
      </c>
      <c r="O319" t="inlineStr">
        <is>
          <t>relevant</t>
        </is>
      </c>
      <c r="P319" t="b">
        <v>1</v>
      </c>
    </row>
    <row r="320">
      <c r="A320" t="inlineStr">
        <is>
          <t>black madonna</t>
        </is>
      </c>
      <c r="B320" t="inlineStr"/>
      <c r="C320" t="n">
        <v>1077337878</v>
      </c>
      <c r="D320">
        <f>HYPERLINK("https://www.etsy.com/listing/1077337878", "link")</f>
        <v/>
      </c>
      <c r="E320">
        <f>HYPERLINK("https://atlas.etsycorp.com/listing/1077337878/lookup", "link")</f>
        <v/>
      </c>
      <c r="F320" t="inlineStr">
        <is>
          <t>Mary Magdalene &amp; the Risen Christ</t>
        </is>
      </c>
      <c r="G320" t="inlineStr">
        <is>
          <t>EuY-vUO22zu4zHGTAVs4uZ4XcE31</t>
        </is>
      </c>
      <c r="H320" t="inlineStr">
        <is>
          <t>web</t>
        </is>
      </c>
      <c r="I320" t="inlineStr">
        <is>
          <t>en-US</t>
        </is>
      </c>
      <c r="J320" t="inlineStr">
        <is>
          <t>us_v2-broad</t>
        </is>
      </c>
      <c r="K320" t="b">
        <v>1</v>
      </c>
      <c r="L320" t="inlineStr">
        <is>
          <t>not_relevant</t>
        </is>
      </c>
      <c r="M320" t="inlineStr">
        <is>
          <t>not_relevant</t>
        </is>
      </c>
      <c r="N320" t="inlineStr">
        <is>
          <t>relevant</t>
        </is>
      </c>
      <c r="O320" t="inlineStr">
        <is>
          <t>not_relevant</t>
        </is>
      </c>
      <c r="P320" t="b">
        <v>1</v>
      </c>
    </row>
    <row r="321">
      <c r="A321" t="inlineStr">
        <is>
          <t>blue thistle gift</t>
        </is>
      </c>
      <c r="B321" t="inlineStr"/>
      <c r="C321" t="n">
        <v>1654355159</v>
      </c>
      <c r="D321">
        <f>HYPERLINK("https://www.etsy.com/listing/1654355159", "link")</f>
        <v/>
      </c>
      <c r="E321">
        <f>HYPERLINK("https://atlas.etsycorp.com/listing/1654355159/lookup", "link")</f>
        <v/>
      </c>
      <c r="F321" t="inlineStr">
        <is>
          <t>Vintage cobalt blue small pressed glass basket - hearts and thistle pattern - Adorable!</t>
        </is>
      </c>
      <c r="G321" t="inlineStr">
        <is>
          <t>Euryg9ehwwI66u6O1ffkAWX-Hv61</t>
        </is>
      </c>
      <c r="H321" t="inlineStr">
        <is>
          <t>web</t>
        </is>
      </c>
      <c r="I321" t="inlineStr">
        <is>
          <t>en-US</t>
        </is>
      </c>
      <c r="J321" t="inlineStr">
        <is>
          <t>us_v2-gift</t>
        </is>
      </c>
      <c r="K321" t="b">
        <v>1</v>
      </c>
      <c r="L321" t="inlineStr">
        <is>
          <t>not_relevant</t>
        </is>
      </c>
      <c r="M321" t="inlineStr">
        <is>
          <t>not_relevant</t>
        </is>
      </c>
      <c r="N321" t="inlineStr">
        <is>
          <t>not_relevant</t>
        </is>
      </c>
      <c r="O321" t="inlineStr">
        <is>
          <t>partial</t>
        </is>
      </c>
      <c r="P321" t="b">
        <v>1</v>
      </c>
    </row>
    <row r="322">
      <c r="A322" t="inlineStr">
        <is>
          <t>ivanka studio</t>
        </is>
      </c>
      <c r="B322" t="inlineStr"/>
      <c r="C322" t="n">
        <v>1423462060</v>
      </c>
      <c r="D322">
        <f>HYPERLINK("https://www.etsy.com/listing/1423462060", "link")</f>
        <v/>
      </c>
      <c r="E322">
        <f>HYPERLINK("https://atlas.etsycorp.com/listing/1423462060/lookup", "link")</f>
        <v/>
      </c>
      <c r="F322" t="inlineStr">
        <is>
          <t>Mother and Child Painting, Nursing Mother, Vintage Nursery Print, Mother Portrait Painting, Mother Feeding Her Baby, Motherhood</t>
        </is>
      </c>
      <c r="G322" t="inlineStr">
        <is>
          <t>EuGz8aQ2Se2ZSIYe-6IWUmfiu3e6</t>
        </is>
      </c>
      <c r="H322" t="inlineStr">
        <is>
          <t>web</t>
        </is>
      </c>
      <c r="I322" t="inlineStr">
        <is>
          <t>en-GB</t>
        </is>
      </c>
      <c r="J322" t="inlineStr">
        <is>
          <t>us_v2-broad</t>
        </is>
      </c>
      <c r="K322" t="b">
        <v>1</v>
      </c>
      <c r="L322" t="inlineStr">
        <is>
          <t>not_relevant</t>
        </is>
      </c>
      <c r="M322" t="inlineStr">
        <is>
          <t>not_relevant</t>
        </is>
      </c>
      <c r="N322" t="inlineStr">
        <is>
          <t>not_relevant</t>
        </is>
      </c>
      <c r="O322" t="inlineStr">
        <is>
          <t>not_relevant</t>
        </is>
      </c>
      <c r="P322" t="b">
        <v>1</v>
      </c>
    </row>
    <row r="323">
      <c r="A323" t="inlineStr">
        <is>
          <t>birdcages</t>
        </is>
      </c>
      <c r="B323" t="inlineStr"/>
      <c r="C323" t="n">
        <v>875489169</v>
      </c>
      <c r="D323">
        <f>HYPERLINK("https://www.etsy.com/listing/875489169", "link")</f>
        <v/>
      </c>
      <c r="E323">
        <f>HYPERLINK("https://atlas.etsycorp.com/listing/875489169/lookup", "link")</f>
        <v/>
      </c>
      <c r="F323" t="inlineStr">
        <is>
          <t>Elegant Bridal Cap Headpiece with birdcage veil - Half Hat Style Wedding 1950s wedding hat - 1940s wedding headpiece- Bridal hat with leaves</t>
        </is>
      </c>
      <c r="G323" t="inlineStr">
        <is>
          <t>EuFhO3bH6iylhrqJloGga3m_df66</t>
        </is>
      </c>
      <c r="H323" t="inlineStr">
        <is>
          <t>web</t>
        </is>
      </c>
      <c r="I323" t="inlineStr">
        <is>
          <t>en-US</t>
        </is>
      </c>
      <c r="J323" t="inlineStr">
        <is>
          <t>us_v2-direct_unspecified</t>
        </is>
      </c>
      <c r="K323" t="b">
        <v>1</v>
      </c>
      <c r="L323" t="inlineStr">
        <is>
          <t>not_relevant</t>
        </is>
      </c>
      <c r="M323" t="inlineStr">
        <is>
          <t>not_relevant</t>
        </is>
      </c>
      <c r="N323" t="inlineStr">
        <is>
          <t>relevant</t>
        </is>
      </c>
      <c r="O323" t="inlineStr">
        <is>
          <t>not_relevant</t>
        </is>
      </c>
      <c r="P323" t="b">
        <v>1</v>
      </c>
    </row>
    <row r="324">
      <c r="A324" t="inlineStr">
        <is>
          <t>sexy puzzles</t>
        </is>
      </c>
      <c r="B324" t="inlineStr"/>
      <c r="C324" t="n">
        <v>1386631775</v>
      </c>
      <c r="D324">
        <f>HYPERLINK("https://www.etsy.com/listing/1386631775", "link")</f>
        <v/>
      </c>
      <c r="E324">
        <f>HYPERLINK("https://atlas.etsycorp.com/listing/1386631775/lookup", "link")</f>
        <v/>
      </c>
      <c r="F324" t="inlineStr">
        <is>
          <t>Lesbian, Gay, LGBT, Vintage, Retro, Pulp Art Poker cards, Playing Cards, Unique, Full deck. Gift, Girlfriend. Gay Pride</t>
        </is>
      </c>
      <c r="G324" t="inlineStr">
        <is>
          <t>Euxx1_DbM6Ycwr4EGrtJvWQ0cY99</t>
        </is>
      </c>
      <c r="H324" t="inlineStr">
        <is>
          <t>boe</t>
        </is>
      </c>
      <c r="I324" t="inlineStr">
        <is>
          <t>en-US</t>
        </is>
      </c>
      <c r="J324" t="inlineStr">
        <is>
          <t>us_v2-direct_specified</t>
        </is>
      </c>
      <c r="K324" t="b">
        <v>1</v>
      </c>
      <c r="L324" t="inlineStr">
        <is>
          <t>not_relevant</t>
        </is>
      </c>
      <c r="M324" t="inlineStr">
        <is>
          <t>not_relevant</t>
        </is>
      </c>
      <c r="N324" t="inlineStr">
        <is>
          <t>not_sure</t>
        </is>
      </c>
      <c r="O324" t="inlineStr">
        <is>
          <t>not_relevant</t>
        </is>
      </c>
      <c r="P324" t="b">
        <v>1</v>
      </c>
    </row>
    <row r="325">
      <c r="A325" t="inlineStr">
        <is>
          <t>aquarium statue</t>
        </is>
      </c>
      <c r="B325" t="inlineStr">
        <is>
          <t>aquarium statue</t>
        </is>
      </c>
      <c r="C325" t="n">
        <v>1533417990</v>
      </c>
      <c r="D325">
        <f>HYPERLINK("https://www.etsy.com/listing/1533417990", "link")</f>
        <v/>
      </c>
      <c r="E325">
        <f>HYPERLINK("https://atlas.etsycorp.com/listing/1533417990/lookup", "link")</f>
        <v/>
      </c>
      <c r="F325" t="inlineStr">
        <is>
          <t>Aquarium Hex Walls | Create an adventure zone for your fish, shrimp, pleco etc | Aquascape</t>
        </is>
      </c>
      <c r="G325" t="inlineStr">
        <is>
          <t>Eu0d9TsA0-nb7E8YILBUjL_2Bte6</t>
        </is>
      </c>
      <c r="H325" t="inlineStr">
        <is>
          <t>boe</t>
        </is>
      </c>
      <c r="I325" t="inlineStr">
        <is>
          <t>fr</t>
        </is>
      </c>
      <c r="J325" t="inlineStr">
        <is>
          <t>intl-fr</t>
        </is>
      </c>
      <c r="K325" t="b">
        <v>1</v>
      </c>
      <c r="L325" t="inlineStr">
        <is>
          <t>partial</t>
        </is>
      </c>
      <c r="M325" t="inlineStr">
        <is>
          <t>partial</t>
        </is>
      </c>
      <c r="N325" t="inlineStr">
        <is>
          <t>partial</t>
        </is>
      </c>
      <c r="O325" t="inlineStr">
        <is>
          <t>relevant</t>
        </is>
      </c>
      <c r="P325" t="b">
        <v>1</v>
      </c>
    </row>
    <row r="326">
      <c r="A326" t="inlineStr">
        <is>
          <t>different heart svg</t>
        </is>
      </c>
      <c r="B326" t="inlineStr"/>
      <c r="C326" t="n">
        <v>1472067118</v>
      </c>
      <c r="D326">
        <f>HYPERLINK("https://www.etsy.com/listing/1472067118", "link")</f>
        <v/>
      </c>
      <c r="E326">
        <f>HYPERLINK("https://atlas.etsycorp.com/listing/1472067118/lookup", "link")</f>
        <v/>
      </c>
      <c r="F326" t="inlineStr">
        <is>
          <t>Heart Svg Bundle, Heart Svg, Hand Drawn Heart svg, Open Heart Svg, Doodle Heart Svg, Sketch Heart Svg, Love Svg,Valentine Svg,Cricut,Png,</t>
        </is>
      </c>
      <c r="G326" t="inlineStr">
        <is>
          <t>Euk4ySQcYBY_jfh6TxayJiDXoI94</t>
        </is>
      </c>
      <c r="H326" t="inlineStr">
        <is>
          <t>boe</t>
        </is>
      </c>
      <c r="I326" t="inlineStr">
        <is>
          <t>en-US</t>
        </is>
      </c>
      <c r="J326" t="inlineStr">
        <is>
          <t>us_v2-direct_specified</t>
        </is>
      </c>
      <c r="K326" t="b">
        <v>1</v>
      </c>
      <c r="L326" t="inlineStr">
        <is>
          <t>relevant</t>
        </is>
      </c>
      <c r="M326" t="inlineStr">
        <is>
          <t>relevant</t>
        </is>
      </c>
      <c r="N326" t="inlineStr">
        <is>
          <t>relevant</t>
        </is>
      </c>
      <c r="O326" t="inlineStr">
        <is>
          <t>relevant</t>
        </is>
      </c>
      <c r="P326" t="b">
        <v>1</v>
      </c>
    </row>
    <row r="327">
      <c r="A327" t="inlineStr">
        <is>
          <t>iphone 12 pro max case</t>
        </is>
      </c>
      <c r="B327" t="inlineStr"/>
      <c r="C327" t="n">
        <v>1330147897</v>
      </c>
      <c r="D327">
        <f>HYPERLINK("https://www.etsy.com/listing/1330147897", "link")</f>
        <v/>
      </c>
      <c r="E327">
        <f>HYPERLINK("https://atlas.etsycorp.com/listing/1330147897/lookup", "link")</f>
        <v/>
      </c>
      <c r="F327" t="inlineStr">
        <is>
          <t>STUNNING! Opal iPhone Case for iPhone 14 Case, 14 Pro Max, 12, 13 Pro, 12 Pro Max, 11 Pro Max Case - 6 Foot Drop Protection CUTE iPhone Case</t>
        </is>
      </c>
      <c r="G327" t="inlineStr">
        <is>
          <t>EuyQAfzGBfTldJbRsxdLl21Sa4a2</t>
        </is>
      </c>
      <c r="H327" t="inlineStr">
        <is>
          <t>web</t>
        </is>
      </c>
      <c r="I327" t="inlineStr">
        <is>
          <t>en-GB</t>
        </is>
      </c>
      <c r="J327" t="inlineStr">
        <is>
          <t>us_v2-direct_specified</t>
        </is>
      </c>
      <c r="K327" t="b">
        <v>1</v>
      </c>
      <c r="L327" t="inlineStr">
        <is>
          <t>relevant</t>
        </is>
      </c>
      <c r="M327" t="inlineStr">
        <is>
          <t>relevant</t>
        </is>
      </c>
      <c r="N327" t="inlineStr">
        <is>
          <t>relevant</t>
        </is>
      </c>
      <c r="O327" t="inlineStr">
        <is>
          <t>relevant</t>
        </is>
      </c>
      <c r="P327" t="b">
        <v>1</v>
      </c>
    </row>
    <row r="328">
      <c r="A328" t="inlineStr">
        <is>
          <t>20 digital paper  mockup</t>
        </is>
      </c>
      <c r="B328" t="inlineStr"/>
      <c r="C328" t="n">
        <v>1463733798</v>
      </c>
      <c r="D328">
        <f>HYPERLINK("https://www.etsy.com/listing/1463733798", "link")</f>
        <v/>
      </c>
      <c r="E328">
        <f>HYPERLINK("https://atlas.etsycorp.com/listing/1463733798/lookup", "link")</f>
        <v/>
      </c>
      <c r="F328" t="inlineStr">
        <is>
          <t>Wrapping paper mockup on wooden background, Folded Fabrics Mockup, SeamLess Patterns mockup, Elegant wrapping paper mockup Psd and Jpg</t>
        </is>
      </c>
      <c r="G328" t="inlineStr">
        <is>
          <t>Eul0lL7Vho4HiJCX4mtWOODOMgfd</t>
        </is>
      </c>
      <c r="H328" t="inlineStr">
        <is>
          <t>web</t>
        </is>
      </c>
      <c r="I328" t="inlineStr">
        <is>
          <t>en-US</t>
        </is>
      </c>
      <c r="J328" t="inlineStr">
        <is>
          <t>us_v2-direct_specified</t>
        </is>
      </c>
      <c r="K328" t="b">
        <v>1</v>
      </c>
      <c r="L328" t="inlineStr">
        <is>
          <t>partial</t>
        </is>
      </c>
      <c r="M328" t="inlineStr">
        <is>
          <t>partial</t>
        </is>
      </c>
      <c r="N328" t="inlineStr">
        <is>
          <t>partial</t>
        </is>
      </c>
      <c r="O328" t="inlineStr">
        <is>
          <t>partial</t>
        </is>
      </c>
      <c r="P328" t="b">
        <v>1</v>
      </c>
    </row>
    <row r="329">
      <c r="A329" t="inlineStr">
        <is>
          <t>i solemnly swear that i am up to no good svg</t>
        </is>
      </c>
      <c r="B329" t="inlineStr">
        <is>
          <t>i solemnly swear that i am up to no good svg</t>
        </is>
      </c>
      <c r="C329" t="n">
        <v>1404139050</v>
      </c>
      <c r="D329">
        <f>HYPERLINK("https://www.etsy.com/listing/1404139050", "link")</f>
        <v/>
      </c>
      <c r="E329">
        <f>HYPERLINK("https://atlas.etsycorp.com/listing/1404139050/lookup", "link")</f>
        <v/>
      </c>
      <c r="F329" t="inlineStr">
        <is>
          <t>Potter Glasses / silhouette / HP wizard world PNG SVG digital download instant</t>
        </is>
      </c>
      <c r="G329" t="inlineStr">
        <is>
          <t>EujhUjGbByxlXkdzSqJ0dlZJiq8d</t>
        </is>
      </c>
      <c r="H329" t="inlineStr">
        <is>
          <t>boe</t>
        </is>
      </c>
      <c r="I329" t="inlineStr">
        <is>
          <t>de</t>
        </is>
      </c>
      <c r="J329" t="inlineStr">
        <is>
          <t>intl-de</t>
        </is>
      </c>
      <c r="K329" t="b">
        <v>1</v>
      </c>
      <c r="L329" t="inlineStr">
        <is>
          <t>not_relevant</t>
        </is>
      </c>
      <c r="M329" t="inlineStr">
        <is>
          <t>not_relevant</t>
        </is>
      </c>
      <c r="N329" t="inlineStr">
        <is>
          <t>not_relevant</t>
        </is>
      </c>
      <c r="O329" t="inlineStr">
        <is>
          <t>not_relevant</t>
        </is>
      </c>
      <c r="P329" t="b">
        <v>1</v>
      </c>
    </row>
    <row r="330">
      <c r="A330" t="inlineStr">
        <is>
          <t>gift for dog</t>
        </is>
      </c>
      <c r="B330" t="inlineStr"/>
      <c r="C330" t="n">
        <v>584449079</v>
      </c>
      <c r="D330">
        <f>HYPERLINK("https://www.etsy.com/listing/584449079", "link")</f>
        <v/>
      </c>
      <c r="E330">
        <f>HYPERLINK("https://atlas.etsycorp.com/listing/584449079/lookup", "link")</f>
        <v/>
      </c>
      <c r="F330" t="inlineStr">
        <is>
          <t>Segreta by Emmanuel Schmitt Blue White Striped Shirt with Cocker Spaniel Dog Patches Gift for Dog Lover</t>
        </is>
      </c>
      <c r="G330" t="inlineStr">
        <is>
          <t>EutaaqRH0xA1Ru25ykVYJh12jpd6</t>
        </is>
      </c>
      <c r="H330" t="inlineStr">
        <is>
          <t>boe</t>
        </is>
      </c>
      <c r="I330" t="inlineStr">
        <is>
          <t>en-US</t>
        </is>
      </c>
      <c r="J330" t="inlineStr">
        <is>
          <t>us_v2-gift</t>
        </is>
      </c>
      <c r="K330" t="b">
        <v>1</v>
      </c>
      <c r="L330" t="inlineStr">
        <is>
          <t>not_relevant</t>
        </is>
      </c>
      <c r="M330" t="inlineStr">
        <is>
          <t>not_relevant</t>
        </is>
      </c>
      <c r="N330" t="inlineStr">
        <is>
          <t>not_relevant</t>
        </is>
      </c>
      <c r="O330" t="inlineStr">
        <is>
          <t>partial</t>
        </is>
      </c>
      <c r="P330" t="b">
        <v>1</v>
      </c>
    </row>
    <row r="331">
      <c r="A331" t="inlineStr">
        <is>
          <t>1967 gto blanket</t>
        </is>
      </c>
      <c r="B331" t="inlineStr"/>
      <c r="C331" t="n">
        <v>852935254</v>
      </c>
      <c r="D331">
        <f>HYPERLINK("https://www.etsy.com/listing/852935254", "link")</f>
        <v/>
      </c>
      <c r="E331">
        <f>HYPERLINK("https://atlas.etsycorp.com/listing/852935254/lookup", "link")</f>
        <v/>
      </c>
      <c r="F331" t="inlineStr">
        <is>
          <t>1966 Pontiac GTO Back View Silhouette T Shirt</t>
        </is>
      </c>
      <c r="G331" t="inlineStr">
        <is>
          <t>EuwsKHXR2CxCKp3z5Q6aNKAoIY9e</t>
        </is>
      </c>
      <c r="H331" t="inlineStr">
        <is>
          <t>boe</t>
        </is>
      </c>
      <c r="I331" t="inlineStr">
        <is>
          <t>en-US</t>
        </is>
      </c>
      <c r="J331" t="inlineStr">
        <is>
          <t>us_v2-direct_specified</t>
        </is>
      </c>
      <c r="K331" t="b">
        <v>1</v>
      </c>
      <c r="L331" t="inlineStr">
        <is>
          <t>partial</t>
        </is>
      </c>
      <c r="M331" t="inlineStr">
        <is>
          <t>partial</t>
        </is>
      </c>
      <c r="N331" t="inlineStr">
        <is>
          <t>not_relevant</t>
        </is>
      </c>
      <c r="O331" t="inlineStr">
        <is>
          <t>partial</t>
        </is>
      </c>
      <c r="P331" t="b">
        <v>1</v>
      </c>
    </row>
    <row r="332">
      <c r="A332" t="inlineStr">
        <is>
          <t>dungeons and dragons</t>
        </is>
      </c>
      <c r="B332" t="inlineStr">
        <is>
          <t>dungeons and dragons</t>
        </is>
      </c>
      <c r="C332" t="n">
        <v>1690080849</v>
      </c>
      <c r="D332">
        <f>HYPERLINK("https://www.etsy.com/listing/1690080849", "link")</f>
        <v/>
      </c>
      <c r="E332">
        <f>HYPERLINK("https://atlas.etsycorp.com/listing/1690080849/lookup", "link")</f>
        <v/>
      </c>
      <c r="F332" t="inlineStr">
        <is>
          <t>DnD 5e Dragon Character Sheet / Fillable PDF Digital Download / Dungeon and Dragons gifts / Fantasy GM Gift</t>
        </is>
      </c>
      <c r="G332" t="inlineStr">
        <is>
          <t>EuoONh6PVzdtTD2qgQNtVliv7y86</t>
        </is>
      </c>
      <c r="H332" t="inlineStr">
        <is>
          <t>web</t>
        </is>
      </c>
      <c r="I332" t="inlineStr">
        <is>
          <t>es</t>
        </is>
      </c>
      <c r="J332" t="inlineStr">
        <is>
          <t>intl-es</t>
        </is>
      </c>
      <c r="K332" t="b">
        <v>1</v>
      </c>
      <c r="L332" t="inlineStr">
        <is>
          <t>relevant</t>
        </is>
      </c>
      <c r="M332" t="inlineStr">
        <is>
          <t>relevant</t>
        </is>
      </c>
      <c r="N332" t="inlineStr">
        <is>
          <t>relevant</t>
        </is>
      </c>
      <c r="O332" t="inlineStr">
        <is>
          <t>relevant</t>
        </is>
      </c>
      <c r="P332" t="b">
        <v>1</v>
      </c>
    </row>
    <row r="333">
      <c r="A333" t="inlineStr">
        <is>
          <t>bluey</t>
        </is>
      </c>
      <c r="B333" t="inlineStr">
        <is>
          <t>bluey</t>
        </is>
      </c>
      <c r="C333" t="n">
        <v>1721876082</v>
      </c>
      <c r="D333">
        <f>HYPERLINK("https://www.etsy.com/listing/1721876082", "link")</f>
        <v/>
      </c>
      <c r="E333">
        <f>HYPERLINK("https://atlas.etsycorp.com/listing/1721876082/lookup", "link")</f>
        <v/>
      </c>
      <c r="F333" t="inlineStr">
        <is>
          <t>230 Bluee-y Premium Png-Svg Mega Bundle design Font Ble-ey Birthday Png Blu-ey Font Cut Files for Cricut Silhouette Sublimation Designs</t>
        </is>
      </c>
      <c r="G333" t="inlineStr">
        <is>
          <t>EuweB36J3VvIzljdwUCLvot6Jte2</t>
        </is>
      </c>
      <c r="H333" t="inlineStr">
        <is>
          <t>web</t>
        </is>
      </c>
      <c r="I333" t="inlineStr">
        <is>
          <t>es</t>
        </is>
      </c>
      <c r="J333" t="inlineStr">
        <is>
          <t>intl-es</t>
        </is>
      </c>
      <c r="K333" t="b">
        <v>1</v>
      </c>
      <c r="L333" t="inlineStr">
        <is>
          <t>relevant</t>
        </is>
      </c>
      <c r="M333" t="inlineStr">
        <is>
          <t>relevant</t>
        </is>
      </c>
      <c r="N333" t="inlineStr">
        <is>
          <t>relevant</t>
        </is>
      </c>
      <c r="O333" t="inlineStr">
        <is>
          <t>relevant</t>
        </is>
      </c>
      <c r="P333" t="b">
        <v>1</v>
      </c>
    </row>
    <row r="334">
      <c r="A334" t="inlineStr">
        <is>
          <t>mtg yu gi oh</t>
        </is>
      </c>
      <c r="B334" t="inlineStr">
        <is>
          <t>mtg yu gi oh</t>
        </is>
      </c>
      <c r="C334" t="n">
        <v>1707542416</v>
      </c>
      <c r="D334">
        <f>HYPERLINK("https://www.etsy.com/listing/1707542416", "link")</f>
        <v/>
      </c>
      <c r="E334">
        <f>HYPERLINK("https://atlas.etsycorp.com/listing/1707542416/lookup", "link")</f>
        <v/>
      </c>
      <c r="F334" t="inlineStr">
        <is>
          <t>Yu-Gi-Oh Card Uria Toon Lord Searing Flames Holographic V ANG</t>
        </is>
      </c>
      <c r="G334" t="inlineStr">
        <is>
          <t>EuiqnSTTEPB9xDQUKj6tcI_XZj9d</t>
        </is>
      </c>
      <c r="H334" t="inlineStr">
        <is>
          <t>web</t>
        </is>
      </c>
      <c r="I334" t="inlineStr">
        <is>
          <t>fr</t>
        </is>
      </c>
      <c r="J334" t="inlineStr">
        <is>
          <t>intl-fr</t>
        </is>
      </c>
      <c r="K334" t="b">
        <v>1</v>
      </c>
      <c r="L334" t="inlineStr">
        <is>
          <t>relevant</t>
        </is>
      </c>
      <c r="M334" t="inlineStr">
        <is>
          <t>relevant</t>
        </is>
      </c>
      <c r="N334" t="inlineStr">
        <is>
          <t>relevant</t>
        </is>
      </c>
      <c r="O334" t="inlineStr">
        <is>
          <t>relevant</t>
        </is>
      </c>
      <c r="P334" t="b">
        <v>1</v>
      </c>
    </row>
    <row r="335">
      <c r="A335" t="inlineStr">
        <is>
          <t>broek</t>
        </is>
      </c>
      <c r="B335" t="inlineStr">
        <is>
          <t>pants</t>
        </is>
      </c>
      <c r="C335" t="n">
        <v>719306038</v>
      </c>
      <c r="D335">
        <f>HYPERLINK("https://www.etsy.com/listing/719306038", "link")</f>
        <v/>
      </c>
      <c r="E335">
        <f>HYPERLINK("https://atlas.etsycorp.com/listing/719306038/lookup", "link")</f>
        <v/>
      </c>
      <c r="F335" t="inlineStr">
        <is>
          <t>Natural Cotton Yoga Pants | Flexible Waistband | Natural Fabric | Lightweight and Perfect for Warm Days and Cool Fall Nights</t>
        </is>
      </c>
      <c r="G335" t="inlineStr">
        <is>
          <t>EumQ3uRyqbuZ5DgeJPQjZ8hyUS19</t>
        </is>
      </c>
      <c r="H335" t="inlineStr">
        <is>
          <t>web</t>
        </is>
      </c>
      <c r="I335" t="inlineStr">
        <is>
          <t>nl</t>
        </is>
      </c>
      <c r="J335" t="inlineStr">
        <is>
          <t>intl-nl</t>
        </is>
      </c>
      <c r="K335" t="b">
        <v>1</v>
      </c>
      <c r="L335" t="inlineStr">
        <is>
          <t>relevant</t>
        </is>
      </c>
      <c r="M335" t="inlineStr">
        <is>
          <t>relevant</t>
        </is>
      </c>
      <c r="N335" t="inlineStr">
        <is>
          <t>relevant</t>
        </is>
      </c>
      <c r="O335" t="inlineStr">
        <is>
          <t>relevant</t>
        </is>
      </c>
      <c r="P335" t="b">
        <v>1</v>
      </c>
    </row>
    <row r="336">
      <c r="A336" t="inlineStr">
        <is>
          <t>orecchini in titanio</t>
        </is>
      </c>
      <c r="B336" t="inlineStr">
        <is>
          <t>titanium earrings</t>
        </is>
      </c>
      <c r="C336" t="n">
        <v>1310431849</v>
      </c>
      <c r="D336">
        <f>HYPERLINK("https://www.etsy.com/listing/1310431849", "link")</f>
        <v/>
      </c>
      <c r="E336">
        <f>HYPERLINK("https://atlas.etsycorp.com/listing/1310431849/lookup", "link")</f>
        <v/>
      </c>
      <c r="F336" t="inlineStr">
        <is>
          <t>16G Titanium CZ Internally Threaded Studs/Monroe/Tragus Stud/Labret Stud/Cartilage Earring/Stud Earrings/Nose Stud/Conch Stud/Lobe Studs</t>
        </is>
      </c>
      <c r="G336" t="inlineStr">
        <is>
          <t>EupflULKTBG1_-3tIgHglcjiCoc9</t>
        </is>
      </c>
      <c r="H336" t="inlineStr">
        <is>
          <t>boe</t>
        </is>
      </c>
      <c r="I336" t="inlineStr">
        <is>
          <t>it</t>
        </is>
      </c>
      <c r="J336" t="inlineStr">
        <is>
          <t>intl-it</t>
        </is>
      </c>
      <c r="K336" t="b">
        <v>1</v>
      </c>
      <c r="L336" t="inlineStr">
        <is>
          <t>relevant</t>
        </is>
      </c>
      <c r="M336" t="inlineStr">
        <is>
          <t>relevant</t>
        </is>
      </c>
      <c r="N336" t="inlineStr">
        <is>
          <t>relevant</t>
        </is>
      </c>
      <c r="O336" t="inlineStr">
        <is>
          <t>relevant</t>
        </is>
      </c>
      <c r="P336" t="b">
        <v>1</v>
      </c>
    </row>
    <row r="337">
      <c r="A337" t="inlineStr">
        <is>
          <t>pampas grasses</t>
        </is>
      </c>
      <c r="B337" t="inlineStr"/>
      <c r="C337" t="n">
        <v>1592089124</v>
      </c>
      <c r="D337">
        <f>HYPERLINK("https://www.etsy.com/listing/1592089124", "link")</f>
        <v/>
      </c>
      <c r="E337">
        <f>HYPERLINK("https://atlas.etsycorp.com/listing/1592089124/lookup", "link")</f>
        <v/>
      </c>
      <c r="F337" t="inlineStr">
        <is>
          <t>Espresso Martini Candle</t>
        </is>
      </c>
      <c r="G337" t="inlineStr">
        <is>
          <t>EuRGml2CNWkocjrU6uYcv8-yI-3c</t>
        </is>
      </c>
      <c r="H337" t="inlineStr">
        <is>
          <t>boe</t>
        </is>
      </c>
      <c r="I337" t="inlineStr">
        <is>
          <t>en-US</t>
        </is>
      </c>
      <c r="J337" t="inlineStr">
        <is>
          <t>us_v2-direct_unspecified</t>
        </is>
      </c>
      <c r="K337" t="b">
        <v>1</v>
      </c>
      <c r="L337" t="inlineStr">
        <is>
          <t>not_relevant</t>
        </is>
      </c>
      <c r="M337" t="inlineStr">
        <is>
          <t>not_relevant</t>
        </is>
      </c>
      <c r="N337" t="inlineStr">
        <is>
          <t>not_relevant</t>
        </is>
      </c>
      <c r="O337" t="inlineStr">
        <is>
          <t>not_relevant</t>
        </is>
      </c>
      <c r="P337" t="b">
        <v>1</v>
      </c>
    </row>
    <row r="338">
      <c r="A338" t="inlineStr">
        <is>
          <t>wedding bra</t>
        </is>
      </c>
      <c r="B338" t="inlineStr"/>
      <c r="C338" t="n">
        <v>1608427770</v>
      </c>
      <c r="D338">
        <f>HYPERLINK("https://www.etsy.com/listing/1608427770", "link")</f>
        <v/>
      </c>
      <c r="E338">
        <f>HYPERLINK("https://atlas.etsycorp.com/listing/1608427770/lookup", "link")</f>
        <v/>
      </c>
      <c r="F338" t="inlineStr">
        <is>
          <t>Jogger Honeymoon Set, Mrs. Quarter Zip, Mr. Quarter Zip, Newly Married Set, Honeymoon Outfit, Mr. and Mrs. Joggers. Bridal Gift.</t>
        </is>
      </c>
      <c r="G338" t="inlineStr">
        <is>
          <t>Eu_jaxxY4ZTIQq7_56gienmS_Cbb</t>
        </is>
      </c>
      <c r="H338" t="inlineStr">
        <is>
          <t>boe</t>
        </is>
      </c>
      <c r="I338" t="inlineStr">
        <is>
          <t>en-US</t>
        </is>
      </c>
      <c r="J338" t="inlineStr">
        <is>
          <t>us_v2-direct_unspecified</t>
        </is>
      </c>
      <c r="K338" t="b">
        <v>1</v>
      </c>
      <c r="L338" t="inlineStr">
        <is>
          <t>not_relevant</t>
        </is>
      </c>
      <c r="M338" t="inlineStr">
        <is>
          <t>not_relevant</t>
        </is>
      </c>
      <c r="N338" t="inlineStr">
        <is>
          <t>not_relevant</t>
        </is>
      </c>
      <c r="O338" t="inlineStr">
        <is>
          <t>not_relevant</t>
        </is>
      </c>
      <c r="P338" t="b">
        <v>1</v>
      </c>
    </row>
    <row r="339">
      <c r="A339" t="inlineStr">
        <is>
          <t>gold filled lira</t>
        </is>
      </c>
      <c r="B339" t="inlineStr"/>
      <c r="C339" t="n">
        <v>1656470545</v>
      </c>
      <c r="D339">
        <f>HYPERLINK("https://www.etsy.com/listing/1656470545", "link")</f>
        <v/>
      </c>
      <c r="E339">
        <f>HYPERLINK("https://atlas.etsycorp.com/listing/1656470545/lookup", "link")</f>
        <v/>
      </c>
      <c r="F339" t="inlineStr">
        <is>
          <t>Hanging Earrings, 24k Dubai Gold Filled Coin Earrings, Coin Earrings, Arab Jewelry Earrings, Earrings</t>
        </is>
      </c>
      <c r="G339" t="inlineStr">
        <is>
          <t>EuKOsBHQjMqwrQBIb0VpWI4q7C34</t>
        </is>
      </c>
      <c r="H339" t="inlineStr">
        <is>
          <t>web</t>
        </is>
      </c>
      <c r="I339" t="inlineStr">
        <is>
          <t>en-US</t>
        </is>
      </c>
      <c r="J339" t="inlineStr">
        <is>
          <t>us_v2-broad</t>
        </is>
      </c>
      <c r="K339" t="b">
        <v>1</v>
      </c>
      <c r="L339" t="inlineStr">
        <is>
          <t>partial</t>
        </is>
      </c>
      <c r="M339" t="inlineStr">
        <is>
          <t>relevant</t>
        </is>
      </c>
      <c r="N339" t="inlineStr">
        <is>
          <t>partial</t>
        </is>
      </c>
      <c r="O339" t="inlineStr">
        <is>
          <t>partial</t>
        </is>
      </c>
      <c r="P339" t="b">
        <v>1</v>
      </c>
    </row>
    <row r="340">
      <c r="A340" t="inlineStr">
        <is>
          <t>personalized party decor</t>
        </is>
      </c>
      <c r="B340" t="inlineStr">
        <is>
          <t>personalized party decor</t>
        </is>
      </c>
      <c r="C340" t="n">
        <v>1170699070</v>
      </c>
      <c r="D340">
        <f>HYPERLINK("https://www.etsy.com/listing/1170699070", "link")</f>
        <v/>
      </c>
      <c r="E340">
        <f>HYPERLINK("https://atlas.etsycorp.com/listing/1170699070/lookup", "link")</f>
        <v/>
      </c>
      <c r="F340" t="inlineStr">
        <is>
          <t>Wooden Cupcake Topper For Weddings Or Engagements - Cake Topper - Party Decoration - Wedding Favours - Engagement Rings Cupcake Topper</t>
        </is>
      </c>
      <c r="G340" t="inlineStr">
        <is>
          <t>EuZKgVbH5a0pznIh08mNVAB4AZ5c</t>
        </is>
      </c>
      <c r="H340" t="inlineStr">
        <is>
          <t>boe</t>
        </is>
      </c>
      <c r="I340" t="inlineStr">
        <is>
          <t>nl</t>
        </is>
      </c>
      <c r="J340" t="inlineStr">
        <is>
          <t>intl-nl</t>
        </is>
      </c>
      <c r="K340" t="b">
        <v>1</v>
      </c>
      <c r="L340" t="inlineStr">
        <is>
          <t>partial</t>
        </is>
      </c>
      <c r="M340" t="inlineStr">
        <is>
          <t>partial</t>
        </is>
      </c>
      <c r="N340" t="inlineStr">
        <is>
          <t>partial</t>
        </is>
      </c>
      <c r="O340" t="inlineStr">
        <is>
          <t>partial</t>
        </is>
      </c>
      <c r="P340" t="b">
        <v>1</v>
      </c>
    </row>
    <row r="341">
      <c r="A341" t="inlineStr">
        <is>
          <t>be curious not judgemental print</t>
        </is>
      </c>
      <c r="B341" t="inlineStr"/>
      <c r="C341" t="n">
        <v>1422872844</v>
      </c>
      <c r="D341">
        <f>HYPERLINK("https://www.etsy.com/listing/1422872844", "link")</f>
        <v/>
      </c>
      <c r="E341">
        <f>HYPERLINK("https://atlas.etsycorp.com/listing/1422872844/lookup", "link")</f>
        <v/>
      </c>
      <c r="F341" t="inlineStr">
        <is>
          <t>Keely Jones and Rebecca Welton Sticker</t>
        </is>
      </c>
      <c r="G341" t="inlineStr">
        <is>
          <t>EujHxdH1EBfr0iunfLijEAmmHEe9</t>
        </is>
      </c>
      <c r="H341" t="inlineStr">
        <is>
          <t>boe</t>
        </is>
      </c>
      <c r="I341" t="inlineStr">
        <is>
          <t>en-US</t>
        </is>
      </c>
      <c r="J341" t="inlineStr">
        <is>
          <t>us_v2-direct_specified</t>
        </is>
      </c>
      <c r="K341" t="b">
        <v>1</v>
      </c>
      <c r="L341" t="inlineStr">
        <is>
          <t>not_relevant</t>
        </is>
      </c>
      <c r="M341" t="inlineStr">
        <is>
          <t>not_relevant</t>
        </is>
      </c>
      <c r="N341" t="inlineStr">
        <is>
          <t>not_relevant</t>
        </is>
      </c>
      <c r="O341" t="inlineStr">
        <is>
          <t>not_relevant</t>
        </is>
      </c>
      <c r="P341" t="b">
        <v>1</v>
      </c>
    </row>
    <row r="342">
      <c r="A342" t="inlineStr">
        <is>
          <t>lisboa rosarios 4</t>
        </is>
      </c>
      <c r="B342" t="inlineStr">
        <is>
          <t>lisboa rosarios 4</t>
        </is>
      </c>
      <c r="C342" t="n">
        <v>1653009130</v>
      </c>
      <c r="D342">
        <f>HYPERLINK("https://www.etsy.com/listing/1653009130", "link")</f>
        <v/>
      </c>
      <c r="E342">
        <f>HYPERLINK("https://atlas.etsycorp.com/listing/1653009130/lookup", "link")</f>
        <v/>
      </c>
      <c r="F342" t="inlineStr">
        <is>
          <t>Lisbon Watercolor Digital Stickers for Goodnotes, Lisbon Digital clipart, Lisbon Diary, Portugal Digital Planning, Lisbon Journal Stickers</t>
        </is>
      </c>
      <c r="G342" t="inlineStr">
        <is>
          <t>EuQQYoFPkVTQIh86Kb68U-3tKIa7</t>
        </is>
      </c>
      <c r="H342" t="inlineStr">
        <is>
          <t>boe</t>
        </is>
      </c>
      <c r="I342" t="inlineStr">
        <is>
          <t>nl</t>
        </is>
      </c>
      <c r="J342" t="inlineStr">
        <is>
          <t>intl-nl</t>
        </is>
      </c>
      <c r="K342" t="b">
        <v>1</v>
      </c>
      <c r="L342" t="inlineStr">
        <is>
          <t>not_relevant</t>
        </is>
      </c>
      <c r="M342" t="inlineStr">
        <is>
          <t>not_relevant</t>
        </is>
      </c>
      <c r="N342" t="inlineStr">
        <is>
          <t>not_relevant</t>
        </is>
      </c>
      <c r="O342" t="inlineStr">
        <is>
          <t>not_relevant</t>
        </is>
      </c>
      <c r="P342" t="b">
        <v>1</v>
      </c>
    </row>
    <row r="343">
      <c r="A343" t="inlineStr">
        <is>
          <t>cat scratcher uk</t>
        </is>
      </c>
      <c r="B343" t="inlineStr"/>
      <c r="C343" t="n">
        <v>1545005368</v>
      </c>
      <c r="D343">
        <f>HYPERLINK("https://www.etsy.com/listing/1545005368", "link")</f>
        <v/>
      </c>
      <c r="E343">
        <f>HYPERLINK("https://atlas.etsycorp.com/listing/1545005368/lookup", "link")</f>
        <v/>
      </c>
      <c r="F343" t="inlineStr">
        <is>
          <t>Cat Basket Wall Mounted Cat Bed, Cat Bed Cave, Cat Wall Furniture, Cat Wall Play Furniture, Cat Perch, Cat Owner Gift New Home Gift CatsMode</t>
        </is>
      </c>
      <c r="G343" t="inlineStr">
        <is>
          <t>EuJA2j0YFH4EZ8Plv4hS-Z6Gwva3</t>
        </is>
      </c>
      <c r="H343" t="inlineStr">
        <is>
          <t>boe</t>
        </is>
      </c>
      <c r="I343" t="inlineStr">
        <is>
          <t>en-GB</t>
        </is>
      </c>
      <c r="J343" t="inlineStr">
        <is>
          <t>us_v2-direct_unspecified</t>
        </is>
      </c>
      <c r="K343" t="b">
        <v>1</v>
      </c>
      <c r="L343" t="inlineStr">
        <is>
          <t>partial</t>
        </is>
      </c>
      <c r="M343" t="inlineStr">
        <is>
          <t>relevant</t>
        </is>
      </c>
      <c r="N343" t="inlineStr">
        <is>
          <t>partial</t>
        </is>
      </c>
      <c r="O343" t="inlineStr">
        <is>
          <t>partial</t>
        </is>
      </c>
      <c r="P343" t="b">
        <v>1</v>
      </c>
    </row>
    <row r="344">
      <c r="A344" t="inlineStr">
        <is>
          <t>stray kids album</t>
        </is>
      </c>
      <c r="B344" t="inlineStr"/>
      <c r="C344" t="n">
        <v>1434737575</v>
      </c>
      <c r="D344">
        <f>HYPERLINK("https://www.etsy.com/listing/1434737575", "link")</f>
        <v/>
      </c>
      <c r="E344">
        <f>HYPERLINK("https://atlas.etsycorp.com/listing/1434737575/lookup", "link")</f>
        <v/>
      </c>
      <c r="F344" t="inlineStr">
        <is>
          <t>Stray Kids Bias Hoodie</t>
        </is>
      </c>
      <c r="G344" t="inlineStr">
        <is>
          <t>Eui2E2lQ1T6Nvu4B0upRhg8VmF93</t>
        </is>
      </c>
      <c r="H344" t="inlineStr">
        <is>
          <t>boe</t>
        </is>
      </c>
      <c r="I344" t="inlineStr">
        <is>
          <t>en-US</t>
        </is>
      </c>
      <c r="J344" t="inlineStr">
        <is>
          <t>us_v2-direct_unspecified</t>
        </is>
      </c>
      <c r="K344" t="b">
        <v>1</v>
      </c>
      <c r="L344" t="inlineStr">
        <is>
          <t>not_relevant</t>
        </is>
      </c>
      <c r="M344" t="inlineStr">
        <is>
          <t>partial</t>
        </is>
      </c>
      <c r="N344" t="inlineStr">
        <is>
          <t>not_relevant</t>
        </is>
      </c>
      <c r="O344" t="inlineStr">
        <is>
          <t>not_relevant</t>
        </is>
      </c>
      <c r="P344" t="b">
        <v>1</v>
      </c>
    </row>
    <row r="345">
      <c r="A345" t="inlineStr">
        <is>
          <t>dänemark</t>
        </is>
      </c>
      <c r="B345" t="inlineStr">
        <is>
          <t>Denmark</t>
        </is>
      </c>
      <c r="C345" t="n">
        <v>1516482296</v>
      </c>
      <c r="D345">
        <f>HYPERLINK("https://www.etsy.com/listing/1516482296", "link")</f>
        <v/>
      </c>
      <c r="E345">
        <f>HYPERLINK("https://atlas.etsycorp.com/listing/1516482296/lookup", "link")</f>
        <v/>
      </c>
      <c r="F345" t="inlineStr">
        <is>
          <t>Toiletry bag, cosmetic bag, Denmark, anchor, maritime</t>
        </is>
      </c>
      <c r="G345" t="inlineStr">
        <is>
          <t>Eu5gjSNysm1c9qKgzxRL9-PxxH6f</t>
        </is>
      </c>
      <c r="H345" t="inlineStr">
        <is>
          <t>web</t>
        </is>
      </c>
      <c r="I345" t="inlineStr">
        <is>
          <t>de</t>
        </is>
      </c>
      <c r="J345" t="inlineStr">
        <is>
          <t>intl-de</t>
        </is>
      </c>
      <c r="K345" t="b">
        <v>1</v>
      </c>
      <c r="L345" t="inlineStr">
        <is>
          <t>relevant</t>
        </is>
      </c>
      <c r="M345" t="inlineStr">
        <is>
          <t>relevant</t>
        </is>
      </c>
      <c r="N345" t="inlineStr">
        <is>
          <t>relevant</t>
        </is>
      </c>
      <c r="O345" t="inlineStr">
        <is>
          <t>relevant</t>
        </is>
      </c>
      <c r="P345" t="b">
        <v>1</v>
      </c>
    </row>
    <row r="346">
      <c r="A346" t="inlineStr">
        <is>
          <t>ventaglio bambu uomo</t>
        </is>
      </c>
      <c r="B346" t="inlineStr">
        <is>
          <t>man's bamboo fan</t>
        </is>
      </c>
      <c r="C346" t="n">
        <v>1424145121</v>
      </c>
      <c r="D346">
        <f>HYPERLINK("https://www.etsy.com/listing/1424145121", "link")</f>
        <v/>
      </c>
      <c r="E346">
        <f>HYPERLINK("https://atlas.etsycorp.com/listing/1424145121/lookup", "link")</f>
        <v/>
      </c>
      <c r="F346" t="inlineStr">
        <is>
          <t>Personalised Lucky Basketball Socks - Personalised with Your Name for a Winning look - Perfect Gift for Basketball Fans and Players - NBA</t>
        </is>
      </c>
      <c r="G346" t="inlineStr">
        <is>
          <t>Eu6BS8CdQxPdrtTADPwYWuQarF5e</t>
        </is>
      </c>
      <c r="H346" t="inlineStr">
        <is>
          <t>boe</t>
        </is>
      </c>
      <c r="I346" t="inlineStr">
        <is>
          <t>it</t>
        </is>
      </c>
      <c r="J346" t="inlineStr">
        <is>
          <t>intl-it</t>
        </is>
      </c>
      <c r="K346" t="b">
        <v>1</v>
      </c>
      <c r="L346" t="inlineStr">
        <is>
          <t>not_relevant</t>
        </is>
      </c>
      <c r="M346" t="inlineStr">
        <is>
          <t>not_relevant</t>
        </is>
      </c>
      <c r="N346" t="inlineStr">
        <is>
          <t>not_relevant</t>
        </is>
      </c>
      <c r="O346" t="inlineStr">
        <is>
          <t>not_relevant</t>
        </is>
      </c>
      <c r="P346" t="b">
        <v>1</v>
      </c>
    </row>
    <row r="347">
      <c r="A347" t="inlineStr">
        <is>
          <t>sugar amethyst</t>
        </is>
      </c>
      <c r="B347" t="inlineStr"/>
      <c r="C347" t="n">
        <v>1508017097</v>
      </c>
      <c r="D347">
        <f>HYPERLINK("https://www.etsy.com/listing/1508017097", "link")</f>
        <v/>
      </c>
      <c r="E347">
        <f>HYPERLINK("https://atlas.etsycorp.com/listing/1508017097/lookup", "link")</f>
        <v/>
      </c>
      <c r="F347" t="inlineStr">
        <is>
          <t>Sparkly Pink Amethyst Sphere (extra rich and sparkly)</t>
        </is>
      </c>
      <c r="G347" t="inlineStr">
        <is>
          <t>Eu7_FCAvDmhS7phWJtMVVkOh9gf8</t>
        </is>
      </c>
      <c r="H347" t="inlineStr">
        <is>
          <t>web</t>
        </is>
      </c>
      <c r="I347" t="inlineStr">
        <is>
          <t>en-GB</t>
        </is>
      </c>
      <c r="J347" t="inlineStr">
        <is>
          <t>us_v2-broad</t>
        </is>
      </c>
      <c r="K347" t="b">
        <v>1</v>
      </c>
      <c r="L347" t="inlineStr">
        <is>
          <t>partial</t>
        </is>
      </c>
      <c r="M347" t="inlineStr">
        <is>
          <t>partial</t>
        </is>
      </c>
      <c r="N347" t="inlineStr">
        <is>
          <t>partial</t>
        </is>
      </c>
      <c r="O347" t="inlineStr">
        <is>
          <t>partial</t>
        </is>
      </c>
      <c r="P347" t="b">
        <v>1</v>
      </c>
    </row>
    <row r="348">
      <c r="A348" t="inlineStr">
        <is>
          <t>botão de volume de teclado</t>
        </is>
      </c>
      <c r="B348" t="inlineStr">
        <is>
          <t>keyboard volume button</t>
        </is>
      </c>
      <c r="C348" t="n">
        <v>1675127029</v>
      </c>
      <c r="D348">
        <f>HYPERLINK("https://www.etsy.com/listing/1675127029", "link")</f>
        <v/>
      </c>
      <c r="E348">
        <f>HYPERLINK("https://atlas.etsycorp.com/listing/1675127029/lookup", "link")</f>
        <v/>
      </c>
      <c r="F348" t="inlineStr">
        <is>
          <t>Uniqlo x Ines De La Fressange Jacket</t>
        </is>
      </c>
      <c r="G348" t="inlineStr">
        <is>
          <t>Eu343zkq6rVPjoRi5MONK6xwoCa1</t>
        </is>
      </c>
      <c r="H348" t="inlineStr">
        <is>
          <t>web</t>
        </is>
      </c>
      <c r="I348" t="inlineStr">
        <is>
          <t>pt</t>
        </is>
      </c>
      <c r="J348" t="inlineStr">
        <is>
          <t>intl-pt</t>
        </is>
      </c>
      <c r="K348" t="b">
        <v>1</v>
      </c>
      <c r="L348" t="inlineStr">
        <is>
          <t>not_relevant</t>
        </is>
      </c>
      <c r="M348" t="inlineStr">
        <is>
          <t>not_relevant</t>
        </is>
      </c>
      <c r="N348" t="inlineStr">
        <is>
          <t>not_relevant</t>
        </is>
      </c>
      <c r="O348" t="inlineStr">
        <is>
          <t>not_relevant</t>
        </is>
      </c>
      <c r="P348" t="b">
        <v>1</v>
      </c>
    </row>
    <row r="349">
      <c r="A349" t="inlineStr">
        <is>
          <t>wall art living room</t>
        </is>
      </c>
      <c r="B349" t="inlineStr"/>
      <c r="C349" t="n">
        <v>1577547978</v>
      </c>
      <c r="D349">
        <f>HYPERLINK("https://www.etsy.com/listing/1577547978", "link")</f>
        <v/>
      </c>
      <c r="E349">
        <f>HYPERLINK("https://atlas.etsycorp.com/listing/1577547978/lookup", "link")</f>
        <v/>
      </c>
      <c r="F349" t="inlineStr">
        <is>
          <t>Large Yarn Wall Art, Modern Macrame Wall Hanging, Fiber Wall Art, Boho Office Decor, Housewarming Gifts, Handmade Gift, Mid Century Home V28</t>
        </is>
      </c>
      <c r="G349" t="inlineStr">
        <is>
          <t>EuIcZtUdYvmk7qFNvqa-tc88kNc6</t>
        </is>
      </c>
      <c r="H349" t="inlineStr">
        <is>
          <t>web</t>
        </is>
      </c>
      <c r="I349" t="inlineStr">
        <is>
          <t>en-US</t>
        </is>
      </c>
      <c r="J349" t="inlineStr">
        <is>
          <t>us_v2-direct_unspecified</t>
        </is>
      </c>
      <c r="K349" t="b">
        <v>1</v>
      </c>
      <c r="L349" t="inlineStr">
        <is>
          <t>relevant</t>
        </is>
      </c>
      <c r="M349" t="inlineStr">
        <is>
          <t>relevant</t>
        </is>
      </c>
      <c r="N349" t="inlineStr">
        <is>
          <t>relevant</t>
        </is>
      </c>
      <c r="O349" t="inlineStr">
        <is>
          <t>relevant</t>
        </is>
      </c>
      <c r="P349" t="b">
        <v>1</v>
      </c>
    </row>
    <row r="350">
      <c r="A350" t="inlineStr">
        <is>
          <t>flipper zero</t>
        </is>
      </c>
      <c r="B350" t="inlineStr"/>
      <c r="C350" t="n">
        <v>753339823</v>
      </c>
      <c r="D350">
        <f>HYPERLINK("https://www.etsy.com/listing/753339823", "link")</f>
        <v/>
      </c>
      <c r="E350">
        <f>HYPERLINK("https://atlas.etsycorp.com/listing/753339823/lookup", "link")</f>
        <v/>
      </c>
      <c r="F350" t="inlineStr">
        <is>
          <t>Computer hacker. Cut files for Cricut. Clip Art silhouettes (eps, svg, pdf, png, dxf, jpeg).</t>
        </is>
      </c>
      <c r="G350" t="inlineStr">
        <is>
          <t>EucFveYGRwtpzFlJATznm3rz19da</t>
        </is>
      </c>
      <c r="H350" t="inlineStr">
        <is>
          <t>web</t>
        </is>
      </c>
      <c r="I350" t="inlineStr">
        <is>
          <t>en-US</t>
        </is>
      </c>
      <c r="J350" t="inlineStr">
        <is>
          <t>us_v2-broad</t>
        </is>
      </c>
      <c r="K350" t="b">
        <v>1</v>
      </c>
      <c r="L350" t="inlineStr">
        <is>
          <t>not_relevant</t>
        </is>
      </c>
      <c r="M350" t="inlineStr">
        <is>
          <t>not_relevant</t>
        </is>
      </c>
      <c r="N350" t="inlineStr">
        <is>
          <t>not_relevant</t>
        </is>
      </c>
      <c r="O350" t="inlineStr">
        <is>
          <t>not_relevant</t>
        </is>
      </c>
      <c r="P350" t="b">
        <v>1</v>
      </c>
    </row>
    <row r="351">
      <c r="A351" t="inlineStr">
        <is>
          <t>cotton satin pajamas bridesmaid</t>
        </is>
      </c>
      <c r="B351" t="inlineStr"/>
      <c r="C351" t="n">
        <v>1087411274</v>
      </c>
      <c r="D351">
        <f>HYPERLINK("https://www.etsy.com/listing/1087411274", "link")</f>
        <v/>
      </c>
      <c r="E351">
        <f>HYPERLINK("https://atlas.etsycorp.com/listing/1087411274/lookup", "link")</f>
        <v/>
      </c>
      <c r="F351" t="inlineStr">
        <is>
          <t>Bridesmaid Silky Pajamas | Personalized Pajama Short Set | Bridesmaid Proposal | Getting Ready Pajama | Gifts for Mother of Bride</t>
        </is>
      </c>
      <c r="G351" t="inlineStr">
        <is>
          <t>EuJ0CyW-49eE_tZg6emmOX_ykq56</t>
        </is>
      </c>
      <c r="H351" t="inlineStr">
        <is>
          <t>web</t>
        </is>
      </c>
      <c r="I351" t="inlineStr">
        <is>
          <t>en-US</t>
        </is>
      </c>
      <c r="J351" t="inlineStr">
        <is>
          <t>us_v2-direct_specified</t>
        </is>
      </c>
      <c r="K351" t="b">
        <v>1</v>
      </c>
      <c r="L351" t="inlineStr">
        <is>
          <t>relevant</t>
        </is>
      </c>
      <c r="M351" t="inlineStr">
        <is>
          <t>relevant</t>
        </is>
      </c>
      <c r="N351" t="inlineStr">
        <is>
          <t>relevant</t>
        </is>
      </c>
      <c r="O351" t="inlineStr">
        <is>
          <t>relevant</t>
        </is>
      </c>
      <c r="P351" t="b">
        <v>1</v>
      </c>
    </row>
    <row r="352">
      <c r="A352" t="inlineStr">
        <is>
          <t>scp</t>
        </is>
      </c>
      <c r="B352" t="inlineStr"/>
      <c r="C352" t="n">
        <v>1566619414</v>
      </c>
      <c r="D352">
        <f>HYPERLINK("https://www.etsy.com/listing/1566619414", "link")</f>
        <v/>
      </c>
      <c r="E352">
        <f>HYPERLINK("https://atlas.etsycorp.com/listing/1566619414/lookup", "link")</f>
        <v/>
      </c>
      <c r="F352" t="inlineStr">
        <is>
          <t>SCP-096 17&amp;quot; Shy Guy Large toy Monster Plush Toy Protection Amulet</t>
        </is>
      </c>
      <c r="G352" t="inlineStr">
        <is>
          <t>EuD0NoJiRPbLPt1k0JuOIKWEqe23</t>
        </is>
      </c>
      <c r="H352" t="inlineStr">
        <is>
          <t>web</t>
        </is>
      </c>
      <c r="I352" t="inlineStr">
        <is>
          <t>en-GB</t>
        </is>
      </c>
      <c r="J352" t="inlineStr">
        <is>
          <t>us_v2-broad</t>
        </is>
      </c>
      <c r="K352" t="b">
        <v>1</v>
      </c>
      <c r="L352" t="inlineStr">
        <is>
          <t>relevant</t>
        </is>
      </c>
      <c r="M352" t="inlineStr">
        <is>
          <t>relevant</t>
        </is>
      </c>
      <c r="N352" t="inlineStr">
        <is>
          <t>relevant</t>
        </is>
      </c>
      <c r="O352" t="inlineStr">
        <is>
          <t>relevant</t>
        </is>
      </c>
      <c r="P352" t="b">
        <v>1</v>
      </c>
    </row>
    <row r="353">
      <c r="A353" t="inlineStr">
        <is>
          <t>boar school</t>
        </is>
      </c>
      <c r="B353" t="inlineStr">
        <is>
          <t>boar school</t>
        </is>
      </c>
      <c r="C353" t="n">
        <v>1172547339</v>
      </c>
      <c r="D353">
        <f>HYPERLINK("https://www.etsy.com/listing/1172547339", "link")</f>
        <v/>
      </c>
      <c r="E353">
        <f>HYPERLINK("https://atlas.etsycorp.com/listing/1172547339/lookup", "link")</f>
        <v/>
      </c>
      <c r="F353" t="inlineStr">
        <is>
          <t>Wild Boar Pewter Keyring with Gift Pouch</t>
        </is>
      </c>
      <c r="G353" t="inlineStr">
        <is>
          <t>EuluJOXgNOx23CJeI5KIxr9iIi72</t>
        </is>
      </c>
      <c r="H353" t="inlineStr">
        <is>
          <t>boe</t>
        </is>
      </c>
      <c r="I353" t="inlineStr">
        <is>
          <t>pl</t>
        </is>
      </c>
      <c r="J353" t="inlineStr">
        <is>
          <t>intl-pl</t>
        </is>
      </c>
      <c r="K353" t="b">
        <v>1</v>
      </c>
      <c r="L353" t="inlineStr">
        <is>
          <t>partial</t>
        </is>
      </c>
      <c r="M353" t="inlineStr">
        <is>
          <t>partial</t>
        </is>
      </c>
      <c r="N353" t="inlineStr">
        <is>
          <t>relevant</t>
        </is>
      </c>
      <c r="O353" t="inlineStr">
        <is>
          <t>partial</t>
        </is>
      </c>
      <c r="P353" t="b">
        <v>1</v>
      </c>
    </row>
    <row r="354">
      <c r="A354" t="inlineStr">
        <is>
          <t>pennsylvania railroad locomotive sticker</t>
        </is>
      </c>
      <c r="B354" t="inlineStr"/>
      <c r="C354" t="n">
        <v>211764299</v>
      </c>
      <c r="D354">
        <f>HYPERLINK("https://www.etsy.com/listing/211764299", "link")</f>
        <v/>
      </c>
      <c r="E354">
        <f>HYPERLINK("https://atlas.etsycorp.com/listing/211764299/lookup", "link")</f>
        <v/>
      </c>
      <c r="F354" t="inlineStr">
        <is>
          <t>Pennsylvania Railroad Logo Wood Plaque / Sign</t>
        </is>
      </c>
      <c r="G354" t="inlineStr">
        <is>
          <t>Eu1tduBl4XKI3oPGWHf5PGO1xi5e</t>
        </is>
      </c>
      <c r="H354" t="inlineStr">
        <is>
          <t>web</t>
        </is>
      </c>
      <c r="I354" t="inlineStr">
        <is>
          <t>en-US</t>
        </is>
      </c>
      <c r="J354" t="inlineStr">
        <is>
          <t>us_v2-direct_specified</t>
        </is>
      </c>
      <c r="K354" t="b">
        <v>1</v>
      </c>
      <c r="L354" t="inlineStr">
        <is>
          <t>partial</t>
        </is>
      </c>
      <c r="M354" t="inlineStr">
        <is>
          <t>partial</t>
        </is>
      </c>
      <c r="N354" t="inlineStr">
        <is>
          <t>partial</t>
        </is>
      </c>
      <c r="O354" t="inlineStr">
        <is>
          <t>partial</t>
        </is>
      </c>
      <c r="P354" t="b">
        <v>1</v>
      </c>
    </row>
    <row r="355">
      <c r="A355" t="inlineStr">
        <is>
          <t>herramientas carpinteria</t>
        </is>
      </c>
      <c r="B355" t="inlineStr">
        <is>
          <t>carpentry tools</t>
        </is>
      </c>
      <c r="C355" t="n">
        <v>1067936030</v>
      </c>
      <c r="D355">
        <f>HYPERLINK("https://www.etsy.com/listing/1067936030", "link")</f>
        <v/>
      </c>
      <c r="E355">
        <f>HYPERLINK("https://atlas.etsycorp.com/listing/1067936030/lookup", "link")</f>
        <v/>
      </c>
      <c r="F355" t="inlineStr">
        <is>
          <t>HEXAGONAL RULER 2.0 | Redefine Your Sketch Tool |Black Ruler | stationery |Drawing Draft | Craft Tool |metal</t>
        </is>
      </c>
      <c r="G355" t="inlineStr">
        <is>
          <t>Eu-HmoHqKL-LoBQZsnoBmS4-Md37</t>
        </is>
      </c>
      <c r="H355" t="inlineStr">
        <is>
          <t>web</t>
        </is>
      </c>
      <c r="I355" t="inlineStr">
        <is>
          <t>es</t>
        </is>
      </c>
      <c r="J355" t="inlineStr">
        <is>
          <t>intl-es</t>
        </is>
      </c>
      <c r="K355" t="b">
        <v>1</v>
      </c>
      <c r="L355" t="inlineStr">
        <is>
          <t>not_relevant</t>
        </is>
      </c>
      <c r="M355" t="inlineStr">
        <is>
          <t>not_relevant</t>
        </is>
      </c>
      <c r="N355" t="inlineStr">
        <is>
          <t>partial</t>
        </is>
      </c>
      <c r="O355" t="inlineStr">
        <is>
          <t>not_relevant</t>
        </is>
      </c>
      <c r="P355" t="b">
        <v>1</v>
      </c>
    </row>
    <row r="356">
      <c r="A356" t="inlineStr">
        <is>
          <t>abendtasche blau glitzer</t>
        </is>
      </c>
      <c r="B356" t="inlineStr">
        <is>
          <t>evening bag blue glitter</t>
        </is>
      </c>
      <c r="C356" t="n">
        <v>1739810335</v>
      </c>
      <c r="D356">
        <f>HYPERLINK("https://www.etsy.com/listing/1739810335", "link")</f>
        <v/>
      </c>
      <c r="E356">
        <f>HYPERLINK("https://atlas.etsycorp.com/listing/1739810335/lookup", "link")</f>
        <v/>
      </c>
      <c r="F356" t="inlineStr">
        <is>
          <t>Silver Sparkly Crystal Diamond Top Handle Embellished Evening Clutch Bag</t>
        </is>
      </c>
      <c r="G356" t="inlineStr">
        <is>
          <t>Eu1VSvfajn6XfZC280O0s0VF7hf9</t>
        </is>
      </c>
      <c r="H356" t="inlineStr">
        <is>
          <t>boe</t>
        </is>
      </c>
      <c r="I356" t="inlineStr">
        <is>
          <t>de</t>
        </is>
      </c>
      <c r="J356" t="inlineStr">
        <is>
          <t>intl-de</t>
        </is>
      </c>
      <c r="K356" t="b">
        <v>1</v>
      </c>
      <c r="L356" t="inlineStr">
        <is>
          <t>partial</t>
        </is>
      </c>
      <c r="M356" t="inlineStr">
        <is>
          <t>partial</t>
        </is>
      </c>
      <c r="N356" t="inlineStr">
        <is>
          <t>partial</t>
        </is>
      </c>
      <c r="O356" t="inlineStr">
        <is>
          <t>partial</t>
        </is>
      </c>
      <c r="P356" t="b">
        <v>1</v>
      </c>
    </row>
    <row r="357">
      <c r="A357" t="inlineStr">
        <is>
          <t>college school supplies</t>
        </is>
      </c>
      <c r="B357" t="inlineStr">
        <is>
          <t>college school supplies</t>
        </is>
      </c>
      <c r="C357" t="n">
        <v>1623536505</v>
      </c>
      <c r="D357">
        <f>HYPERLINK("https://www.etsy.com/listing/1623536505", "link")</f>
        <v/>
      </c>
      <c r="E357">
        <f>HYPERLINK("https://atlas.etsycorp.com/listing/1623536505/lookup", "link")</f>
        <v/>
      </c>
      <c r="F357" t="inlineStr">
        <is>
          <t>Personalized Vinyl Record with Photo - Acrylic Song Plaque - Anniversary Gift for Friends - Birthday Gift for Her Him - Christmas Gifts</t>
        </is>
      </c>
      <c r="G357" t="inlineStr">
        <is>
          <t>Eu1ciETe9ixV56B5zrlrmZZ2sZ35</t>
        </is>
      </c>
      <c r="H357" t="inlineStr">
        <is>
          <t>boe</t>
        </is>
      </c>
      <c r="I357" t="inlineStr">
        <is>
          <t>fr</t>
        </is>
      </c>
      <c r="J357" t="inlineStr">
        <is>
          <t>intl-fr</t>
        </is>
      </c>
      <c r="K357" t="b">
        <v>1</v>
      </c>
      <c r="L357" t="inlineStr">
        <is>
          <t>not_relevant</t>
        </is>
      </c>
      <c r="M357" t="inlineStr">
        <is>
          <t>not_relevant</t>
        </is>
      </c>
      <c r="N357" t="inlineStr">
        <is>
          <t>not_relevant</t>
        </is>
      </c>
      <c r="O357" t="inlineStr">
        <is>
          <t>not_relevant</t>
        </is>
      </c>
      <c r="P357" t="b">
        <v>1</v>
      </c>
    </row>
    <row r="358">
      <c r="A358" t="inlineStr">
        <is>
          <t>bonburtonsupply</t>
        </is>
      </c>
      <c r="B358" t="inlineStr"/>
      <c r="C358" t="n">
        <v>1274382512</v>
      </c>
      <c r="D358">
        <f>HYPERLINK("https://www.etsy.com/listing/1274382512", "link")</f>
        <v/>
      </c>
      <c r="E358">
        <f>HYPERLINK("https://atlas.etsycorp.com/listing/1274382512/lookup", "link")</f>
        <v/>
      </c>
      <c r="F358" t="inlineStr">
        <is>
          <t>Pack of 100ml Cardboard Cosmetic Shaker Tubes - Biodegradable Eco-Friendly Tubes</t>
        </is>
      </c>
      <c r="G358" t="inlineStr">
        <is>
          <t>Euf9aKEHaIlwekdH3485yYOoFx17</t>
        </is>
      </c>
      <c r="H358" t="inlineStr">
        <is>
          <t>web</t>
        </is>
      </c>
      <c r="I358" t="inlineStr">
        <is>
          <t>en-US</t>
        </is>
      </c>
      <c r="J358" t="inlineStr">
        <is>
          <t>us_v2-broad</t>
        </is>
      </c>
      <c r="K358" t="b">
        <v>1</v>
      </c>
      <c r="L358" t="inlineStr">
        <is>
          <t>not_relevant</t>
        </is>
      </c>
      <c r="M358" t="inlineStr">
        <is>
          <t>not_relevant</t>
        </is>
      </c>
      <c r="N358" t="inlineStr">
        <is>
          <t>not_relevant</t>
        </is>
      </c>
      <c r="O358" t="inlineStr">
        <is>
          <t>not_relevant</t>
        </is>
      </c>
      <c r="P358" t="b">
        <v>1</v>
      </c>
    </row>
    <row r="359">
      <c r="A359" t="inlineStr">
        <is>
          <t>bridesmaid engraved robe</t>
        </is>
      </c>
      <c r="B359" t="inlineStr">
        <is>
          <t>engraved bridesmaid dress</t>
        </is>
      </c>
      <c r="C359" t="n">
        <v>450543992</v>
      </c>
      <c r="D359">
        <f>HYPERLINK("https://www.etsy.com/listing/450543992", "link")</f>
        <v/>
      </c>
      <c r="E359">
        <f>HYPERLINK("https://atlas.etsycorp.com/listing/450543992/lookup", "link")</f>
        <v/>
      </c>
      <c r="F359" t="inlineStr">
        <is>
          <t>Personalised Bridal Wedding Hanger in Wood or White - Hanger Engraved Wedding Gift Bride, Bridesmaids and more</t>
        </is>
      </c>
      <c r="G359" t="inlineStr">
        <is>
          <t>EuLh_b1sVwYwIM5OnPCRSAeyNOe2</t>
        </is>
      </c>
      <c r="H359" t="inlineStr">
        <is>
          <t>web</t>
        </is>
      </c>
      <c r="I359" t="inlineStr">
        <is>
          <t>fr</t>
        </is>
      </c>
      <c r="J359" t="inlineStr">
        <is>
          <t>intl-fr</t>
        </is>
      </c>
      <c r="K359" t="b">
        <v>1</v>
      </c>
      <c r="L359" t="inlineStr">
        <is>
          <t>partial</t>
        </is>
      </c>
      <c r="M359" t="inlineStr">
        <is>
          <t>partial</t>
        </is>
      </c>
      <c r="N359" t="inlineStr">
        <is>
          <t>not_relevant</t>
        </is>
      </c>
      <c r="O359" t="inlineStr">
        <is>
          <t>partial</t>
        </is>
      </c>
      <c r="P359" t="b">
        <v>1</v>
      </c>
    </row>
    <row r="360">
      <c r="A360" t="inlineStr">
        <is>
          <t>damiana seeds</t>
        </is>
      </c>
      <c r="B360" t="inlineStr"/>
      <c r="C360" t="n">
        <v>1534320180</v>
      </c>
      <c r="D360">
        <f>HYPERLINK("https://www.etsy.com/listing/1534320180", "link")</f>
        <v/>
      </c>
      <c r="E360">
        <f>HYPERLINK("https://atlas.etsycorp.com/listing/1534320180/lookup", "link")</f>
        <v/>
      </c>
      <c r="F360" t="inlineStr">
        <is>
          <t>Damiana Dried</t>
        </is>
      </c>
      <c r="G360" t="inlineStr">
        <is>
          <t>EuF45kzXGPTHUVym7_1WKyrTcv72</t>
        </is>
      </c>
      <c r="H360" t="inlineStr">
        <is>
          <t>boe</t>
        </is>
      </c>
      <c r="I360" t="inlineStr">
        <is>
          <t>en-GB</t>
        </is>
      </c>
      <c r="J360" t="inlineStr">
        <is>
          <t>us_v2-broad</t>
        </is>
      </c>
      <c r="K360" t="b">
        <v>1</v>
      </c>
      <c r="L360" t="inlineStr">
        <is>
          <t>partial</t>
        </is>
      </c>
      <c r="M360" t="inlineStr">
        <is>
          <t>partial</t>
        </is>
      </c>
      <c r="N360" t="inlineStr">
        <is>
          <t>partial</t>
        </is>
      </c>
      <c r="O360" t="inlineStr">
        <is>
          <t>partial</t>
        </is>
      </c>
      <c r="P360" t="b">
        <v>1</v>
      </c>
    </row>
    <row r="361">
      <c r="A361" t="inlineStr">
        <is>
          <t>inkmakers</t>
        </is>
      </c>
      <c r="B361" t="inlineStr"/>
      <c r="C361" t="n">
        <v>1472853453</v>
      </c>
      <c r="D361">
        <f>HYPERLINK("https://www.etsy.com/listing/1472853453", "link")</f>
        <v/>
      </c>
      <c r="E361">
        <f>HYPERLINK("https://atlas.etsycorp.com/listing/1472853453/lookup", "link")</f>
        <v/>
      </c>
      <c r="F361" t="inlineStr">
        <is>
          <t>Framed Canvas Wall Art Set of 3 Birds in Tree Silhouette Rustic Landscape Prints Minimalist Vintage Art Modern Farmhouse Wall Decor</t>
        </is>
      </c>
      <c r="G361" t="inlineStr">
        <is>
          <t>Eu_yzKwsHI7dhkb-V7R-aAwhLpa1</t>
        </is>
      </c>
      <c r="H361" t="inlineStr">
        <is>
          <t>boe</t>
        </is>
      </c>
      <c r="I361" t="inlineStr">
        <is>
          <t>en-US</t>
        </is>
      </c>
      <c r="J361" t="inlineStr">
        <is>
          <t>us_v2-direct_unspecified</t>
        </is>
      </c>
      <c r="K361" t="b">
        <v>1</v>
      </c>
      <c r="L361" t="inlineStr">
        <is>
          <t>not_relevant</t>
        </is>
      </c>
      <c r="M361" t="inlineStr">
        <is>
          <t>not_relevant</t>
        </is>
      </c>
      <c r="N361" t="inlineStr">
        <is>
          <t>not_relevant</t>
        </is>
      </c>
      <c r="O361" t="inlineStr">
        <is>
          <t>relevant</t>
        </is>
      </c>
      <c r="P361" t="b">
        <v>1</v>
      </c>
    </row>
    <row r="362">
      <c r="A362" t="inlineStr">
        <is>
          <t>royal box</t>
        </is>
      </c>
      <c r="B362" t="inlineStr"/>
      <c r="C362" t="n">
        <v>1529103284</v>
      </c>
      <c r="D362">
        <f>HYPERLINK("https://www.etsy.com/listing/1529103284", "link")</f>
        <v/>
      </c>
      <c r="E362">
        <f>HYPERLINK("https://atlas.etsycorp.com/listing/1529103284/lookup", "link")</f>
        <v/>
      </c>
      <c r="F362" t="inlineStr">
        <is>
          <t>Sky Diamond Spoon Pendant, pendant, spoon, glow-in-the-dark pendant</t>
        </is>
      </c>
      <c r="G362" t="inlineStr">
        <is>
          <t>EutwMZDozqTbUGe-KAy4DtwDdBab</t>
        </is>
      </c>
      <c r="H362" t="inlineStr">
        <is>
          <t>web</t>
        </is>
      </c>
      <c r="I362" t="inlineStr">
        <is>
          <t>en-US</t>
        </is>
      </c>
      <c r="J362" t="inlineStr">
        <is>
          <t>us_v2-direct_unspecified</t>
        </is>
      </c>
      <c r="K362" t="b">
        <v>1</v>
      </c>
      <c r="L362" t="inlineStr">
        <is>
          <t>not_relevant</t>
        </is>
      </c>
      <c r="M362" t="inlineStr">
        <is>
          <t>not_relevant</t>
        </is>
      </c>
      <c r="N362" t="inlineStr">
        <is>
          <t>not_relevant</t>
        </is>
      </c>
      <c r="O362" t="inlineStr">
        <is>
          <t>not_relevant</t>
        </is>
      </c>
      <c r="P362" t="b">
        <v>1</v>
      </c>
    </row>
    <row r="363">
      <c r="A363" t="inlineStr">
        <is>
          <t>dogpool marvel</t>
        </is>
      </c>
      <c r="B363" t="inlineStr">
        <is>
          <t>dogpool marvel</t>
        </is>
      </c>
      <c r="C363" t="n">
        <v>1654866233</v>
      </c>
      <c r="D363">
        <f>HYPERLINK("https://www.etsy.com/listing/1654866233", "link")</f>
        <v/>
      </c>
      <c r="E363">
        <f>HYPERLINK("https://atlas.etsycorp.com/listing/1654866233/lookup", "link")</f>
        <v/>
      </c>
      <c r="F363" t="inlineStr">
        <is>
          <t>SkelePool warning Tumbler Wrap Seamless 20oz/30oz, Skinny Tumbler Sublimation Design Digital Download PNG, Deadpool inspired geek comics art</t>
        </is>
      </c>
      <c r="G363" t="inlineStr">
        <is>
          <t>Eu7XvVYD4dIpAplhePvWrjR9ql8d</t>
        </is>
      </c>
      <c r="H363" t="inlineStr">
        <is>
          <t>boe</t>
        </is>
      </c>
      <c r="I363" t="inlineStr">
        <is>
          <t>fr</t>
        </is>
      </c>
      <c r="J363" t="inlineStr">
        <is>
          <t>intl-fr</t>
        </is>
      </c>
      <c r="K363" t="b">
        <v>1</v>
      </c>
      <c r="L363" t="inlineStr">
        <is>
          <t>partial</t>
        </is>
      </c>
      <c r="M363" t="inlineStr">
        <is>
          <t>partial</t>
        </is>
      </c>
      <c r="N363" t="inlineStr">
        <is>
          <t>partial</t>
        </is>
      </c>
      <c r="O363" t="inlineStr">
        <is>
          <t>partial</t>
        </is>
      </c>
      <c r="P363" t="b">
        <v>1</v>
      </c>
    </row>
    <row r="364">
      <c r="A364" t="inlineStr">
        <is>
          <t>art deco opal wall lights</t>
        </is>
      </c>
      <c r="B364" t="inlineStr"/>
      <c r="C364" t="n">
        <v>1316084844</v>
      </c>
      <c r="D364">
        <f>HYPERLINK("https://www.etsy.com/listing/1316084844", "link")</f>
        <v/>
      </c>
      <c r="E364">
        <f>HYPERLINK("https://atlas.etsycorp.com/listing/1316084844/lookup", "link")</f>
        <v/>
      </c>
      <c r="F364" t="inlineStr">
        <is>
          <t>Vintage 1920s style brass wall light fitting with etched glass fringed shade</t>
        </is>
      </c>
      <c r="G364" t="inlineStr">
        <is>
          <t>EuJIlIrWVCxIxp-VZBs2ATUuqu9d</t>
        </is>
      </c>
      <c r="H364" t="inlineStr">
        <is>
          <t>web</t>
        </is>
      </c>
      <c r="I364" t="inlineStr">
        <is>
          <t>en-GB</t>
        </is>
      </c>
      <c r="J364" t="inlineStr">
        <is>
          <t>us_v2-direct_specified</t>
        </is>
      </c>
      <c r="K364" t="b">
        <v>1</v>
      </c>
      <c r="L364" t="inlineStr">
        <is>
          <t>partial</t>
        </is>
      </c>
      <c r="M364" t="inlineStr">
        <is>
          <t>partial</t>
        </is>
      </c>
      <c r="N364" t="inlineStr">
        <is>
          <t>partial</t>
        </is>
      </c>
      <c r="O364" t="inlineStr">
        <is>
          <t>partial</t>
        </is>
      </c>
      <c r="P364" t="b">
        <v>1</v>
      </c>
    </row>
    <row r="365">
      <c r="A365" t="inlineStr">
        <is>
          <t>Nail care tools</t>
        </is>
      </c>
      <c r="B365" t="inlineStr"/>
      <c r="C365" t="n">
        <v>1204654949</v>
      </c>
      <c r="D365">
        <f>HYPERLINK("https://www.etsy.com/listing/1204654949", "link")</f>
        <v/>
      </c>
      <c r="E365">
        <f>HYPERLINK("https://atlas.etsycorp.com/listing/1204654949/lookup", "link")</f>
        <v/>
      </c>
      <c r="F365" t="inlineStr">
        <is>
          <t>2pcs Dead Skin Nail Push Cuticle Remover/ Nails Cuticle Pusher Manicure Fork Care Tool</t>
        </is>
      </c>
      <c r="G365" t="inlineStr">
        <is>
          <t>EuZ_WRaMKbblVCvmKDMlJ1E8L90e</t>
        </is>
      </c>
      <c r="H365" t="inlineStr">
        <is>
          <t>boe</t>
        </is>
      </c>
      <c r="I365" t="inlineStr">
        <is>
          <t>en-US</t>
        </is>
      </c>
      <c r="J365" t="inlineStr">
        <is>
          <t>us_v2-direct_unspecified</t>
        </is>
      </c>
      <c r="K365" t="b">
        <v>1</v>
      </c>
      <c r="L365" t="inlineStr">
        <is>
          <t>relevant</t>
        </is>
      </c>
      <c r="M365" t="inlineStr">
        <is>
          <t>relevant</t>
        </is>
      </c>
      <c r="N365" t="inlineStr">
        <is>
          <t>relevant</t>
        </is>
      </c>
      <c r="O365" t="inlineStr">
        <is>
          <t>relevant</t>
        </is>
      </c>
      <c r="P365" t="b">
        <v>1</v>
      </c>
    </row>
    <row r="366">
      <c r="A366" t="inlineStr">
        <is>
          <t>wall decor office</t>
        </is>
      </c>
      <c r="B366" t="inlineStr"/>
      <c r="C366" t="n">
        <v>886169890</v>
      </c>
      <c r="D366">
        <f>HYPERLINK("https://www.etsy.com/listing/886169890", "link")</f>
        <v/>
      </c>
      <c r="E366">
        <f>HYPERLINK("https://atlas.etsycorp.com/listing/886169890/lookup", "link")</f>
        <v/>
      </c>
      <c r="F366" t="inlineStr">
        <is>
          <t>Office Wall Decal,Office Decal, Office Wall Art,Office Decor,Typography Wall Decal, Office Wall Decor, Office Decals,Motivational Art TM0075</t>
        </is>
      </c>
      <c r="G366" t="inlineStr">
        <is>
          <t>Eu30VQne089lnhQzeN6ZdWqipX42</t>
        </is>
      </c>
      <c r="H366" t="inlineStr">
        <is>
          <t>web</t>
        </is>
      </c>
      <c r="I366" t="inlineStr">
        <is>
          <t>en-US</t>
        </is>
      </c>
      <c r="J366" t="inlineStr">
        <is>
          <t>us_v2-direct_unspecified</t>
        </is>
      </c>
      <c r="K366" t="b">
        <v>1</v>
      </c>
      <c r="L366" t="inlineStr">
        <is>
          <t>relevant</t>
        </is>
      </c>
      <c r="M366" t="inlineStr">
        <is>
          <t>relevant</t>
        </is>
      </c>
      <c r="N366" t="inlineStr">
        <is>
          <t>relevant</t>
        </is>
      </c>
      <c r="O366" t="inlineStr">
        <is>
          <t>relevant</t>
        </is>
      </c>
      <c r="P366" t="b">
        <v>1</v>
      </c>
    </row>
    <row r="367">
      <c r="A367" t="inlineStr">
        <is>
          <t>bioli</t>
        </is>
      </c>
      <c r="B367" t="inlineStr">
        <is>
          <t>bioli</t>
        </is>
      </c>
      <c r="C367" t="n">
        <v>1467940554</v>
      </c>
      <c r="D367">
        <f>HYPERLINK("https://www.etsy.com/listing/1467940554", "link")</f>
        <v/>
      </c>
      <c r="E367">
        <f>HYPERLINK("https://atlas.etsycorp.com/listing/1467940554/lookup", "link")</f>
        <v/>
      </c>
      <c r="F367" t="inlineStr">
        <is>
          <t>Bifilar Coli, Radionic Coli Scalar Coli Energy Disc DNS Spirit Coli Infinity Coli Harmonizer Coli Energy Coli Bifilar coil Tesla technology</t>
        </is>
      </c>
      <c r="G367" t="inlineStr">
        <is>
          <t>Eub-Og2GHhxmBkOUCas0P15HSL94</t>
        </is>
      </c>
      <c r="H367" t="inlineStr">
        <is>
          <t>boe</t>
        </is>
      </c>
      <c r="I367" t="inlineStr">
        <is>
          <t>it</t>
        </is>
      </c>
      <c r="J367" t="inlineStr">
        <is>
          <t>intl-it</t>
        </is>
      </c>
      <c r="K367" t="b">
        <v>1</v>
      </c>
      <c r="L367" t="inlineStr">
        <is>
          <t>not_relevant</t>
        </is>
      </c>
      <c r="M367" t="inlineStr">
        <is>
          <t>not_relevant</t>
        </is>
      </c>
      <c r="N367" t="inlineStr">
        <is>
          <t>not_relevant</t>
        </is>
      </c>
      <c r="O367" t="inlineStr">
        <is>
          <t>not_relevant</t>
        </is>
      </c>
      <c r="P367" t="b">
        <v>1</v>
      </c>
    </row>
    <row r="368">
      <c r="A368" t="inlineStr">
        <is>
          <t>basketball mousepad nome</t>
        </is>
      </c>
      <c r="B368" t="inlineStr">
        <is>
          <t>basketball mousepad name</t>
        </is>
      </c>
      <c r="C368" t="n">
        <v>487217357</v>
      </c>
      <c r="D368">
        <f>HYPERLINK("https://www.etsy.com/listing/487217357", "link")</f>
        <v/>
      </c>
      <c r="E368">
        <f>HYPERLINK("https://atlas.etsycorp.com/listing/487217357/lookup", "link")</f>
        <v/>
      </c>
      <c r="F368" t="inlineStr">
        <is>
          <t>Personalized Mouse Pad Custom Name Basketball Team Chicago License Plate Square</t>
        </is>
      </c>
      <c r="G368" t="inlineStr">
        <is>
          <t>EuhfKewGnq5uIkuwiMz7jZJiIS22</t>
        </is>
      </c>
      <c r="H368" t="inlineStr">
        <is>
          <t>web</t>
        </is>
      </c>
      <c r="I368" t="inlineStr">
        <is>
          <t>it</t>
        </is>
      </c>
      <c r="J368" t="inlineStr">
        <is>
          <t>intl-it</t>
        </is>
      </c>
      <c r="K368" t="b">
        <v>1</v>
      </c>
      <c r="L368" t="inlineStr">
        <is>
          <t>relevant</t>
        </is>
      </c>
      <c r="M368" t="inlineStr">
        <is>
          <t>relevant</t>
        </is>
      </c>
      <c r="N368" t="inlineStr">
        <is>
          <t>relevant</t>
        </is>
      </c>
      <c r="O368" t="inlineStr">
        <is>
          <t>relevant</t>
        </is>
      </c>
      <c r="P368" t="b">
        <v>1</v>
      </c>
    </row>
    <row r="369">
      <c r="A369" t="inlineStr">
        <is>
          <t>orecchini in titanio</t>
        </is>
      </c>
      <c r="B369" t="inlineStr">
        <is>
          <t>titanium earrings</t>
        </is>
      </c>
      <c r="C369" t="n">
        <v>1293044175</v>
      </c>
      <c r="D369">
        <f>HYPERLINK("https://www.etsy.com/listing/1293044175", "link")</f>
        <v/>
      </c>
      <c r="E369">
        <f>HYPERLINK("https://atlas.etsycorp.com/listing/1293044175/lookup", "link")</f>
        <v/>
      </c>
      <c r="F369" t="inlineStr">
        <is>
          <t>Implant Titanium CZ Cluster Push Fit Threadless flatback Piercing· Cartilage/Helix/Conch/Pinna · 20g/18g/16g/14g Flatback Stud</t>
        </is>
      </c>
      <c r="G369" t="inlineStr">
        <is>
          <t>EupflULKTBG1_-3tIgHglcjiCoc9</t>
        </is>
      </c>
      <c r="H369" t="inlineStr">
        <is>
          <t>boe</t>
        </is>
      </c>
      <c r="I369" t="inlineStr">
        <is>
          <t>it</t>
        </is>
      </c>
      <c r="J369" t="inlineStr">
        <is>
          <t>intl-it</t>
        </is>
      </c>
      <c r="K369" t="b">
        <v>1</v>
      </c>
      <c r="L369" t="inlineStr">
        <is>
          <t>relevant</t>
        </is>
      </c>
      <c r="M369" t="inlineStr">
        <is>
          <t>relevant</t>
        </is>
      </c>
      <c r="N369" t="inlineStr">
        <is>
          <t>relevant</t>
        </is>
      </c>
      <c r="O369" t="inlineStr">
        <is>
          <t>relevant</t>
        </is>
      </c>
      <c r="P369" t="b">
        <v>1</v>
      </c>
    </row>
    <row r="370">
      <c r="A370" t="inlineStr">
        <is>
          <t>womens beanie montana</t>
        </is>
      </c>
      <c r="B370" t="inlineStr"/>
      <c r="C370" t="n">
        <v>1349182413</v>
      </c>
      <c r="D370">
        <f>HYPERLINK("https://www.etsy.com/listing/1349182413", "link")</f>
        <v/>
      </c>
      <c r="E370">
        <f>HYPERLINK("https://atlas.etsycorp.com/listing/1349182413/lookup", "link")</f>
        <v/>
      </c>
      <c r="F370" t="inlineStr">
        <is>
          <t>Montana Sweatshirt | Montana Hoodie | Montana State Souvenir Sweatshirt | Montana Vacation Crewneck | Montana Gifts - 5713p</t>
        </is>
      </c>
      <c r="G370" t="inlineStr">
        <is>
          <t>EuTfcg1C1P6TaSJq6Dx2JSZLp76e</t>
        </is>
      </c>
      <c r="H370" t="inlineStr">
        <is>
          <t>web</t>
        </is>
      </c>
      <c r="I370" t="inlineStr">
        <is>
          <t>en-US</t>
        </is>
      </c>
      <c r="J370" t="inlineStr">
        <is>
          <t>us_v2-direct_specified</t>
        </is>
      </c>
      <c r="K370" t="b">
        <v>1</v>
      </c>
      <c r="L370" t="inlineStr">
        <is>
          <t>partial</t>
        </is>
      </c>
      <c r="M370" t="inlineStr">
        <is>
          <t>partial</t>
        </is>
      </c>
      <c r="N370" t="inlineStr">
        <is>
          <t>partial</t>
        </is>
      </c>
      <c r="O370" t="inlineStr">
        <is>
          <t>partial</t>
        </is>
      </c>
      <c r="P370" t="b">
        <v>1</v>
      </c>
    </row>
    <row r="371">
      <c r="A371" t="inlineStr">
        <is>
          <t>personalized school supplies</t>
        </is>
      </c>
      <c r="B371" t="inlineStr">
        <is>
          <t>personalized school supplies</t>
        </is>
      </c>
      <c r="C371" t="n">
        <v>1697800640</v>
      </c>
      <c r="D371">
        <f>HYPERLINK("https://www.etsy.com/listing/1697800640", "link")</f>
        <v/>
      </c>
      <c r="E371">
        <f>HYPERLINK("https://atlas.etsycorp.com/listing/1697800640/lookup", "link")</f>
        <v/>
      </c>
      <c r="F371" t="inlineStr">
        <is>
          <t>Pink Graduation Invitation Template, DIY Editable Class of 2024 Grad Party Invite, Modern Digital Printable Graduation Announcement, GP10</t>
        </is>
      </c>
      <c r="G371" t="inlineStr">
        <is>
          <t>Eu0lhp7J2hDJqbDALyJM8gp20u97</t>
        </is>
      </c>
      <c r="H371" t="inlineStr">
        <is>
          <t>boe</t>
        </is>
      </c>
      <c r="I371" t="inlineStr">
        <is>
          <t>es</t>
        </is>
      </c>
      <c r="J371" t="inlineStr">
        <is>
          <t>intl-es</t>
        </is>
      </c>
      <c r="K371" t="b">
        <v>1</v>
      </c>
      <c r="L371" t="inlineStr">
        <is>
          <t>not_relevant</t>
        </is>
      </c>
      <c r="M371" t="inlineStr">
        <is>
          <t>not_relevant</t>
        </is>
      </c>
      <c r="N371" t="inlineStr">
        <is>
          <t>not_relevant</t>
        </is>
      </c>
      <c r="O371" t="inlineStr">
        <is>
          <t>not_relevant</t>
        </is>
      </c>
      <c r="P371" t="b">
        <v>1</v>
      </c>
    </row>
    <row r="372">
      <c r="A372" t="inlineStr">
        <is>
          <t>rowan knitting pattern</t>
        </is>
      </c>
      <c r="B372" t="inlineStr"/>
      <c r="C372" t="n">
        <v>1115893606</v>
      </c>
      <c r="D372">
        <f>HYPERLINK("https://www.etsy.com/listing/1115893606", "link")</f>
        <v/>
      </c>
      <c r="E372">
        <f>HYPERLINK("https://atlas.etsycorp.com/listing/1115893606/lookup", "link")</f>
        <v/>
      </c>
      <c r="F372" t="inlineStr">
        <is>
          <t>The Rowan tree</t>
        </is>
      </c>
      <c r="G372" t="inlineStr">
        <is>
          <t>EuuLR24ht88XFxjSbkqt8bWdpQ20</t>
        </is>
      </c>
      <c r="H372" t="inlineStr">
        <is>
          <t>web</t>
        </is>
      </c>
      <c r="I372" t="inlineStr">
        <is>
          <t>en-GB</t>
        </is>
      </c>
      <c r="J372" t="inlineStr">
        <is>
          <t>us_v2-direct_specified</t>
        </is>
      </c>
      <c r="K372" t="b">
        <v>1</v>
      </c>
      <c r="L372" t="inlineStr">
        <is>
          <t>not_relevant</t>
        </is>
      </c>
      <c r="M372" t="inlineStr">
        <is>
          <t>not_relevant</t>
        </is>
      </c>
      <c r="N372" t="inlineStr">
        <is>
          <t>not_relevant</t>
        </is>
      </c>
      <c r="O372" t="inlineStr">
        <is>
          <t>not_relevant</t>
        </is>
      </c>
      <c r="P372" t="b">
        <v>1</v>
      </c>
    </row>
    <row r="373">
      <c r="A373" t="inlineStr">
        <is>
          <t>vintage style</t>
        </is>
      </c>
      <c r="B373" t="inlineStr">
        <is>
          <t>vintage-style</t>
        </is>
      </c>
      <c r="C373" t="n">
        <v>1690804640</v>
      </c>
      <c r="D373">
        <f>HYPERLINK("https://www.etsy.com/listing/1690804640", "link")</f>
        <v/>
      </c>
      <c r="E373">
        <f>HYPERLINK("https://atlas.etsycorp.com/listing/1690804640/lookup", "link")</f>
        <v/>
      </c>
      <c r="F373" t="inlineStr">
        <is>
          <t>French vintage bridal gown, 1960s wedding dress with train</t>
        </is>
      </c>
      <c r="G373" t="inlineStr">
        <is>
          <t>EuKbeKItjG0sb8u9Egf_zZG4d-ba</t>
        </is>
      </c>
      <c r="H373" t="inlineStr">
        <is>
          <t>web</t>
        </is>
      </c>
      <c r="I373" t="inlineStr">
        <is>
          <t>de</t>
        </is>
      </c>
      <c r="J373" t="inlineStr">
        <is>
          <t>intl-de</t>
        </is>
      </c>
      <c r="K373" t="b">
        <v>1</v>
      </c>
      <c r="L373" t="inlineStr">
        <is>
          <t>relevant</t>
        </is>
      </c>
      <c r="M373" t="inlineStr">
        <is>
          <t>relevant</t>
        </is>
      </c>
      <c r="N373" t="inlineStr">
        <is>
          <t>relevant</t>
        </is>
      </c>
      <c r="O373" t="inlineStr">
        <is>
          <t>relevant</t>
        </is>
      </c>
      <c r="P373" t="b">
        <v>1</v>
      </c>
    </row>
    <row r="374">
      <c r="A374" t="inlineStr">
        <is>
          <t>Custom womens clothing</t>
        </is>
      </c>
      <c r="B374" t="inlineStr">
        <is>
          <t>Custom womens clothing</t>
        </is>
      </c>
      <c r="C374" t="n">
        <v>1601633065</v>
      </c>
      <c r="D374">
        <f>HYPERLINK("https://www.etsy.com/listing/1601633065", "link")</f>
        <v/>
      </c>
      <c r="E374">
        <f>HYPERLINK("https://atlas.etsycorp.com/listing/1601633065/lookup", "link")</f>
        <v/>
      </c>
      <c r="F374" t="inlineStr">
        <is>
          <t>Personalized Wooden Guitar Picks Box,Custom Engraved Guitar Pick Holder Storage,Guitar Plectrum Case Organizer,Gift for Guitarist Musician</t>
        </is>
      </c>
      <c r="G374" t="inlineStr">
        <is>
          <t>EuvUXgaGi24sKXZabBDuxufKPV5f</t>
        </is>
      </c>
      <c r="H374" t="inlineStr">
        <is>
          <t>boe</t>
        </is>
      </c>
      <c r="I374" t="inlineStr">
        <is>
          <t>fr</t>
        </is>
      </c>
      <c r="J374" t="inlineStr">
        <is>
          <t>intl-fr</t>
        </is>
      </c>
      <c r="K374" t="b">
        <v>1</v>
      </c>
      <c r="L374" t="inlineStr">
        <is>
          <t>not_relevant</t>
        </is>
      </c>
      <c r="M374" t="inlineStr">
        <is>
          <t>not_relevant</t>
        </is>
      </c>
      <c r="N374" t="inlineStr">
        <is>
          <t>not_relevant</t>
        </is>
      </c>
      <c r="O374" t="inlineStr">
        <is>
          <t>not_relevant</t>
        </is>
      </c>
      <c r="P374" t="b">
        <v>1</v>
      </c>
    </row>
    <row r="375">
      <c r="A375" t="inlineStr">
        <is>
          <t>frame clay cutter</t>
        </is>
      </c>
      <c r="B375" t="inlineStr"/>
      <c r="C375" t="n">
        <v>1544892236</v>
      </c>
      <c r="D375">
        <f>HYPERLINK("https://www.etsy.com/listing/1544892236", "link")</f>
        <v/>
      </c>
      <c r="E375">
        <f>HYPERLINK("https://atlas.etsycorp.com/listing/1544892236/lookup", "link")</f>
        <v/>
      </c>
      <c r="F375" t="inlineStr">
        <is>
          <t>Grounded Teapot Template // Slab Pottery Template // pottery tools</t>
        </is>
      </c>
      <c r="G375" t="inlineStr">
        <is>
          <t>EuvrYqOECbPrWJgOYSR-WdJfXva4</t>
        </is>
      </c>
      <c r="H375" t="inlineStr">
        <is>
          <t>web</t>
        </is>
      </c>
      <c r="I375" t="inlineStr">
        <is>
          <t>en-US</t>
        </is>
      </c>
      <c r="J375" t="inlineStr">
        <is>
          <t>us_v2-direct_unspecified</t>
        </is>
      </c>
      <c r="K375" t="b">
        <v>1</v>
      </c>
      <c r="L375" t="inlineStr">
        <is>
          <t>not_relevant</t>
        </is>
      </c>
      <c r="M375" t="inlineStr">
        <is>
          <t>not_relevant</t>
        </is>
      </c>
      <c r="N375" t="inlineStr">
        <is>
          <t>not_relevant</t>
        </is>
      </c>
      <c r="O375" t="inlineStr">
        <is>
          <t>not_relevant</t>
        </is>
      </c>
      <c r="P375" t="b">
        <v>1</v>
      </c>
    </row>
    <row r="376">
      <c r="A376" t="inlineStr">
        <is>
          <t>coffee table base</t>
        </is>
      </c>
      <c r="B376" t="inlineStr"/>
      <c r="C376" t="n">
        <v>787371049</v>
      </c>
      <c r="D376">
        <f>HYPERLINK("https://www.etsy.com/listing/787371049", "link")</f>
        <v/>
      </c>
      <c r="E376">
        <f>HYPERLINK("https://atlas.etsycorp.com/listing/787371049/lookup", "link")</f>
        <v/>
      </c>
      <c r="F376" t="inlineStr">
        <is>
          <t>Bespoke concrete coffee table with live edge timber and powder coated steel base.  Concrete lounge furniture.</t>
        </is>
      </c>
      <c r="G376" t="inlineStr">
        <is>
          <t>EuylRWMMgdNmoOew7-q_daSBaC75</t>
        </is>
      </c>
      <c r="H376" t="inlineStr">
        <is>
          <t>boe</t>
        </is>
      </c>
      <c r="I376" t="inlineStr">
        <is>
          <t>en-GB</t>
        </is>
      </c>
      <c r="J376" t="inlineStr">
        <is>
          <t>us_v2-direct_unspecified</t>
        </is>
      </c>
      <c r="K376" t="b">
        <v>1</v>
      </c>
      <c r="L376" t="inlineStr">
        <is>
          <t>relevant</t>
        </is>
      </c>
      <c r="M376" t="inlineStr">
        <is>
          <t>relevant</t>
        </is>
      </c>
      <c r="N376" t="inlineStr">
        <is>
          <t>relevant</t>
        </is>
      </c>
      <c r="O376" t="inlineStr">
        <is>
          <t>relevant</t>
        </is>
      </c>
      <c r="P376" t="b">
        <v>1</v>
      </c>
    </row>
    <row r="377">
      <c r="A377" t="inlineStr">
        <is>
          <t>people one star</t>
        </is>
      </c>
      <c r="B377" t="inlineStr"/>
      <c r="C377" t="n">
        <v>1507822206</v>
      </c>
      <c r="D377">
        <f>HYPERLINK("https://www.etsy.com/listing/1507822206", "link")</f>
        <v/>
      </c>
      <c r="E377">
        <f>HYPERLINK("https://atlas.etsycorp.com/listing/1507822206/lookup", "link")</f>
        <v/>
      </c>
      <c r="F377" t="inlineStr">
        <is>
          <t>Little People Unisex Tee (featuring the classic and iconic toys from the 1980s)</t>
        </is>
      </c>
      <c r="G377" t="inlineStr">
        <is>
          <t>Eu2Go42PztTM1VzYbWfhur-PFx6b</t>
        </is>
      </c>
      <c r="H377" t="inlineStr">
        <is>
          <t>web</t>
        </is>
      </c>
      <c r="I377" t="inlineStr">
        <is>
          <t>en-US</t>
        </is>
      </c>
      <c r="J377" t="inlineStr">
        <is>
          <t>us_v2-broad</t>
        </is>
      </c>
      <c r="K377" t="b">
        <v>1</v>
      </c>
      <c r="L377" t="inlineStr">
        <is>
          <t>partial</t>
        </is>
      </c>
      <c r="M377" t="inlineStr">
        <is>
          <t>partial</t>
        </is>
      </c>
      <c r="N377" t="inlineStr">
        <is>
          <t>partial</t>
        </is>
      </c>
      <c r="O377" t="inlineStr">
        <is>
          <t>partial</t>
        </is>
      </c>
      <c r="P377" t="b">
        <v>1</v>
      </c>
    </row>
    <row r="378">
      <c r="A378" t="inlineStr">
        <is>
          <t>Find shirts</t>
        </is>
      </c>
      <c r="B378" t="inlineStr">
        <is>
          <t>Find shirts</t>
        </is>
      </c>
      <c r="C378" t="n">
        <v>1321944671</v>
      </c>
      <c r="D378">
        <f>HYPERLINK("https://www.etsy.com/listing/1321944671", "link")</f>
        <v/>
      </c>
      <c r="E378">
        <f>HYPERLINK("https://atlas.etsycorp.com/listing/1321944671/lookup", "link")</f>
        <v/>
      </c>
      <c r="F378" t="inlineStr">
        <is>
          <t>Fuck Around and Find Out Mug| Funny Math Coffee Mug | Graph Chart Humor Gift</t>
        </is>
      </c>
      <c r="G378" t="inlineStr">
        <is>
          <t>EukjWzaa8TF7k-r8hsHrgYeexN20</t>
        </is>
      </c>
      <c r="H378" t="inlineStr">
        <is>
          <t>web</t>
        </is>
      </c>
      <c r="I378" t="inlineStr">
        <is>
          <t>es</t>
        </is>
      </c>
      <c r="J378" t="inlineStr">
        <is>
          <t>intl-es</t>
        </is>
      </c>
      <c r="K378" t="b">
        <v>1</v>
      </c>
      <c r="L378" t="inlineStr">
        <is>
          <t>partial</t>
        </is>
      </c>
      <c r="M378" t="inlineStr">
        <is>
          <t>partial</t>
        </is>
      </c>
      <c r="N378" t="inlineStr">
        <is>
          <t>not_relevant</t>
        </is>
      </c>
      <c r="O378" t="inlineStr">
        <is>
          <t>partial</t>
        </is>
      </c>
      <c r="P378" t="b">
        <v>1</v>
      </c>
    </row>
    <row r="379">
      <c r="A379" t="inlineStr">
        <is>
          <t>Custom womens clothing</t>
        </is>
      </c>
      <c r="B379" t="inlineStr">
        <is>
          <t>Custom womens clothing</t>
        </is>
      </c>
      <c r="C379" t="n">
        <v>1643771466</v>
      </c>
      <c r="D379">
        <f>HYPERLINK("https://www.etsy.com/listing/1643771466", "link")</f>
        <v/>
      </c>
      <c r="E379">
        <f>HYPERLINK("https://atlas.etsycorp.com/listing/1643771466/lookup", "link")</f>
        <v/>
      </c>
      <c r="F379" t="inlineStr">
        <is>
          <t>Women&amp;#39;s linen sleepwear Linen pajama Sleepwear set Linen tank and shorts Flax home wear Organic pajama women Bride nightgown White pajama</t>
        </is>
      </c>
      <c r="G379" t="inlineStr">
        <is>
          <t>EuiGXlIxRDdUZ-wiuGJfI5Qyj-5a</t>
        </is>
      </c>
      <c r="H379" t="inlineStr">
        <is>
          <t>boe</t>
        </is>
      </c>
      <c r="I379" t="inlineStr">
        <is>
          <t>pt</t>
        </is>
      </c>
      <c r="J379" t="inlineStr">
        <is>
          <t>intl-pt</t>
        </is>
      </c>
      <c r="K379" t="b">
        <v>1</v>
      </c>
      <c r="L379" t="inlineStr">
        <is>
          <t>partial</t>
        </is>
      </c>
      <c r="M379" t="inlineStr">
        <is>
          <t>partial</t>
        </is>
      </c>
      <c r="N379" t="inlineStr">
        <is>
          <t>partial</t>
        </is>
      </c>
      <c r="O379" t="inlineStr">
        <is>
          <t>partial</t>
        </is>
      </c>
      <c r="P379" t="b">
        <v>1</v>
      </c>
    </row>
    <row r="380">
      <c r="A380" t="inlineStr">
        <is>
          <t>easter cookies</t>
        </is>
      </c>
      <c r="B380" t="inlineStr"/>
      <c r="C380" t="n">
        <v>1171488216</v>
      </c>
      <c r="D380">
        <f>HYPERLINK("https://www.etsy.com/listing/1171488216", "link")</f>
        <v/>
      </c>
      <c r="E380">
        <f>HYPERLINK("https://atlas.etsycorp.com/listing/1171488216/lookup", "link")</f>
        <v/>
      </c>
      <c r="F380" t="inlineStr">
        <is>
          <t>Easter Sugar Cookies (1 dozen) Bunny Peeps, Carrots, Eggs</t>
        </is>
      </c>
      <c r="G380" t="inlineStr">
        <is>
          <t>Eu6CxpEzqaRR0Uh_lGXTTyWztPe0</t>
        </is>
      </c>
      <c r="H380" t="inlineStr">
        <is>
          <t>web</t>
        </is>
      </c>
      <c r="I380" t="inlineStr">
        <is>
          <t>en-US</t>
        </is>
      </c>
      <c r="J380" t="inlineStr">
        <is>
          <t>us_v2-direct_unspecified</t>
        </is>
      </c>
      <c r="K380" t="b">
        <v>1</v>
      </c>
      <c r="L380" t="inlineStr">
        <is>
          <t>relevant</t>
        </is>
      </c>
      <c r="M380" t="inlineStr">
        <is>
          <t>relevant</t>
        </is>
      </c>
      <c r="N380" t="inlineStr">
        <is>
          <t>relevant</t>
        </is>
      </c>
      <c r="O380" t="inlineStr">
        <is>
          <t>relevant</t>
        </is>
      </c>
      <c r="P380" t="b">
        <v>1</v>
      </c>
    </row>
    <row r="381">
      <c r="A381" t="inlineStr">
        <is>
          <t>hanging driftwood succulents</t>
        </is>
      </c>
      <c r="B381" t="inlineStr"/>
      <c r="C381" t="n">
        <v>964723545</v>
      </c>
      <c r="D381">
        <f>HYPERLINK("https://www.etsy.com/listing/964723545", "link")</f>
        <v/>
      </c>
      <c r="E381">
        <f>HYPERLINK("https://atlas.etsycorp.com/listing/964723545/lookup", "link")</f>
        <v/>
      </c>
      <c r="F381" t="inlineStr">
        <is>
          <t>Artificial Succulent Wall Garden ~ FREE SHIPPING!</t>
        </is>
      </c>
      <c r="G381" t="inlineStr">
        <is>
          <t>EuhvX1y2Bj8lc5lYhIwzJH4xacc6</t>
        </is>
      </c>
      <c r="H381" t="inlineStr">
        <is>
          <t>web</t>
        </is>
      </c>
      <c r="I381" t="inlineStr">
        <is>
          <t>en-US</t>
        </is>
      </c>
      <c r="J381" t="inlineStr">
        <is>
          <t>us_v2-broad</t>
        </is>
      </c>
      <c r="K381" t="b">
        <v>1</v>
      </c>
      <c r="L381" t="inlineStr">
        <is>
          <t>relevant</t>
        </is>
      </c>
      <c r="M381" t="inlineStr">
        <is>
          <t>relevant</t>
        </is>
      </c>
      <c r="N381" t="inlineStr">
        <is>
          <t>relevant</t>
        </is>
      </c>
      <c r="O381" t="inlineStr">
        <is>
          <t>relevant</t>
        </is>
      </c>
      <c r="P381" t="b">
        <v>1</v>
      </c>
    </row>
    <row r="382">
      <c r="A382" t="inlineStr">
        <is>
          <t>cadre bijoux enfant</t>
        </is>
      </c>
      <c r="B382" t="inlineStr">
        <is>
          <t>child jewelry frame</t>
        </is>
      </c>
      <c r="C382" t="n">
        <v>1482590187</v>
      </c>
      <c r="D382">
        <f>HYPERLINK("https://www.etsy.com/listing/1482590187", "link")</f>
        <v/>
      </c>
      <c r="E382">
        <f>HYPERLINK("https://atlas.etsycorp.com/listing/1482590187/lookup", "link")</f>
        <v/>
      </c>
      <c r="F382" t="inlineStr">
        <is>
          <t>Pendant mother with child, valuable real gemstone gem in modern photo medallion setting in silver or gold-plated as a pendant</t>
        </is>
      </c>
      <c r="G382" t="inlineStr">
        <is>
          <t>EuYle9LxJ0ElWF6E4iXNELhNFv76</t>
        </is>
      </c>
      <c r="H382" t="inlineStr">
        <is>
          <t>web</t>
        </is>
      </c>
      <c r="I382" t="inlineStr">
        <is>
          <t>fr</t>
        </is>
      </c>
      <c r="J382" t="inlineStr">
        <is>
          <t>intl-fr</t>
        </is>
      </c>
      <c r="K382" t="b">
        <v>1</v>
      </c>
      <c r="L382" t="inlineStr">
        <is>
          <t>not_relevant</t>
        </is>
      </c>
      <c r="M382" t="inlineStr">
        <is>
          <t>not_relevant</t>
        </is>
      </c>
      <c r="N382" t="inlineStr">
        <is>
          <t>relevant</t>
        </is>
      </c>
      <c r="O382" t="inlineStr">
        <is>
          <t>not_relevant</t>
        </is>
      </c>
      <c r="P382" t="b">
        <v>1</v>
      </c>
    </row>
    <row r="383">
      <c r="A383" t="inlineStr">
        <is>
          <t>car air freshener</t>
        </is>
      </c>
      <c r="B383" t="inlineStr"/>
      <c r="C383" t="n">
        <v>1473279445</v>
      </c>
      <c r="D383">
        <f>HYPERLINK("https://www.etsy.com/listing/1473279445", "link")</f>
        <v/>
      </c>
      <c r="E383">
        <f>HYPERLINK("https://atlas.etsycorp.com/listing/1473279445/lookup", "link")</f>
        <v/>
      </c>
      <c r="F383" t="inlineStr">
        <is>
          <t>Getaway Car | Car Sticker | Car Mirror Decal | Passenger Mirror | Vinyl Decal | Mirror Decal | Mirror Sticker | Car Decoration | Aesthetic</t>
        </is>
      </c>
      <c r="G383" t="inlineStr">
        <is>
          <t>Eua_ZDEO6n-CaEfcgkUgcR8UL3f0</t>
        </is>
      </c>
      <c r="H383" t="inlineStr">
        <is>
          <t>boe</t>
        </is>
      </c>
      <c r="I383" t="inlineStr">
        <is>
          <t>en-GB</t>
        </is>
      </c>
      <c r="J383" t="inlineStr">
        <is>
          <t>us_v2-direct_unspecified</t>
        </is>
      </c>
      <c r="K383" t="b">
        <v>1</v>
      </c>
      <c r="L383" t="inlineStr">
        <is>
          <t>not_relevant</t>
        </is>
      </c>
      <c r="M383" t="inlineStr">
        <is>
          <t>partial</t>
        </is>
      </c>
      <c r="N383" t="inlineStr">
        <is>
          <t>not_relevant</t>
        </is>
      </c>
      <c r="O383" t="inlineStr">
        <is>
          <t>not_relevant</t>
        </is>
      </c>
      <c r="P383" t="b">
        <v>1</v>
      </c>
    </row>
    <row r="384">
      <c r="A384" t="inlineStr">
        <is>
          <t>Pendientes de aro</t>
        </is>
      </c>
      <c r="B384" t="inlineStr">
        <is>
          <t>Hoop Earrings</t>
        </is>
      </c>
      <c r="C384" t="n">
        <v>1489546190</v>
      </c>
      <c r="D384">
        <f>HYPERLINK("https://www.etsy.com/listing/1489546190", "link")</f>
        <v/>
      </c>
      <c r="E384">
        <f>HYPERLINK("https://atlas.etsycorp.com/listing/1489546190/lookup", "link")</f>
        <v/>
      </c>
      <c r="F384" t="inlineStr">
        <is>
          <t>SPIRAL HOOP EARRINGS in Silver Rose Yellow Gold Trending Boho Tribal Greek Festival Large Hoop Statement Jewelry Birthday Gift Her</t>
        </is>
      </c>
      <c r="G384" t="inlineStr">
        <is>
          <t>Eu6yx8v1pmeaRx8iBohf5mQZV_c0</t>
        </is>
      </c>
      <c r="H384" t="inlineStr">
        <is>
          <t>boe</t>
        </is>
      </c>
      <c r="I384" t="inlineStr">
        <is>
          <t>es</t>
        </is>
      </c>
      <c r="J384" t="inlineStr">
        <is>
          <t>intl-es</t>
        </is>
      </c>
      <c r="K384" t="b">
        <v>1</v>
      </c>
      <c r="L384" t="inlineStr">
        <is>
          <t>relevant</t>
        </is>
      </c>
      <c r="M384" t="inlineStr">
        <is>
          <t>relevant</t>
        </is>
      </c>
      <c r="N384" t="inlineStr">
        <is>
          <t>relevant</t>
        </is>
      </c>
      <c r="O384" t="inlineStr">
        <is>
          <t>relevant</t>
        </is>
      </c>
      <c r="P384" t="b">
        <v>1</v>
      </c>
    </row>
    <row r="385">
      <c r="A385" t="inlineStr">
        <is>
          <t>ww1</t>
        </is>
      </c>
      <c r="B385" t="inlineStr">
        <is>
          <t>ww1</t>
        </is>
      </c>
      <c r="C385" t="n">
        <v>1624874477</v>
      </c>
      <c r="D385">
        <f>HYPERLINK("https://www.etsy.com/listing/1624874477", "link")</f>
        <v/>
      </c>
      <c r="E385">
        <f>HYPERLINK("https://atlas.etsycorp.com/listing/1624874477/lookup", "link")</f>
        <v/>
      </c>
      <c r="F385" t="inlineStr">
        <is>
          <t>WW1 British War &amp; Victory Medal Pair 359039 PTE S. G. Turner</t>
        </is>
      </c>
      <c r="G385" t="inlineStr">
        <is>
          <t>EugCMg1XlWyAIXvwaEVJ7QzIiXdd</t>
        </is>
      </c>
      <c r="H385" t="inlineStr">
        <is>
          <t>boe</t>
        </is>
      </c>
      <c r="I385" t="inlineStr">
        <is>
          <t>es</t>
        </is>
      </c>
      <c r="J385" t="inlineStr">
        <is>
          <t>intl-es</t>
        </is>
      </c>
      <c r="K385" t="b">
        <v>1</v>
      </c>
      <c r="L385" t="inlineStr">
        <is>
          <t>not_relevant</t>
        </is>
      </c>
      <c r="M385" t="inlineStr">
        <is>
          <t>not_relevant</t>
        </is>
      </c>
      <c r="N385" t="inlineStr">
        <is>
          <t>not_relevant</t>
        </is>
      </c>
      <c r="O385" t="inlineStr">
        <is>
          <t>not_relevant</t>
        </is>
      </c>
      <c r="P385" t="b">
        <v>1</v>
      </c>
    </row>
    <row r="386">
      <c r="A386" t="inlineStr">
        <is>
          <t>acuity revamp</t>
        </is>
      </c>
      <c r="B386" t="inlineStr">
        <is>
          <t>acuity rev</t>
        </is>
      </c>
      <c r="C386" t="n">
        <v>1536563277</v>
      </c>
      <c r="D386">
        <f>HYPERLINK("https://www.etsy.com/listing/1536563277", "link")</f>
        <v/>
      </c>
      <c r="E386">
        <f>HYPERLINK("https://atlas.etsycorp.com/listing/1536563277/lookup", "link")</f>
        <v/>
      </c>
      <c r="F386" t="inlineStr">
        <is>
          <t>Acuity Scheduling Site Template, Editable DIY Booking Site Template, PMU Artist Booking Site Template, Brow Artist Acuity Template, Canva</t>
        </is>
      </c>
      <c r="G386" t="inlineStr">
        <is>
          <t>EuPPz-JLD5wFgz9UNVV2k86xsY0c</t>
        </is>
      </c>
      <c r="H386" t="inlineStr">
        <is>
          <t>web</t>
        </is>
      </c>
      <c r="I386" t="inlineStr">
        <is>
          <t>nl</t>
        </is>
      </c>
      <c r="J386" t="inlineStr">
        <is>
          <t>intl-nl</t>
        </is>
      </c>
      <c r="K386" t="b">
        <v>1</v>
      </c>
      <c r="L386" t="inlineStr">
        <is>
          <t>not_relevant</t>
        </is>
      </c>
      <c r="M386" t="inlineStr">
        <is>
          <t>not_relevant</t>
        </is>
      </c>
      <c r="N386" t="inlineStr">
        <is>
          <t>not_relevant</t>
        </is>
      </c>
      <c r="O386" t="inlineStr">
        <is>
          <t>not_relevant</t>
        </is>
      </c>
      <c r="P386" t="b">
        <v>1</v>
      </c>
    </row>
    <row r="387">
      <c r="A387" t="inlineStr">
        <is>
          <t>container</t>
        </is>
      </c>
      <c r="B387" t="inlineStr">
        <is>
          <t>container</t>
        </is>
      </c>
      <c r="C387" t="n">
        <v>1537640105</v>
      </c>
      <c r="D387">
        <f>HYPERLINK("https://www.etsy.com/listing/1537640105", "link")</f>
        <v/>
      </c>
      <c r="E387">
        <f>HYPERLINK("https://atlas.etsycorp.com/listing/1537640105/lookup", "link")</f>
        <v/>
      </c>
      <c r="F387" t="inlineStr">
        <is>
          <t>3D Print Hexagonal Dice Container (Hexagon Compartments)</t>
        </is>
      </c>
      <c r="G387" t="inlineStr">
        <is>
          <t>Eu-IuHYlIctHkhp4IPa_quZWSXfa</t>
        </is>
      </c>
      <c r="H387" t="inlineStr">
        <is>
          <t>boe</t>
        </is>
      </c>
      <c r="I387" t="inlineStr">
        <is>
          <t>es</t>
        </is>
      </c>
      <c r="J387" t="inlineStr">
        <is>
          <t>intl-es</t>
        </is>
      </c>
      <c r="K387" t="b">
        <v>1</v>
      </c>
      <c r="L387" t="inlineStr">
        <is>
          <t>relevant</t>
        </is>
      </c>
      <c r="M387" t="inlineStr">
        <is>
          <t>relevant</t>
        </is>
      </c>
      <c r="N387" t="inlineStr">
        <is>
          <t>relevant</t>
        </is>
      </c>
      <c r="O387" t="inlineStr">
        <is>
          <t>relevant</t>
        </is>
      </c>
      <c r="P387" t="b">
        <v>1</v>
      </c>
    </row>
    <row r="388">
      <c r="A388" t="inlineStr">
        <is>
          <t>vegetarian cookbook</t>
        </is>
      </c>
      <c r="B388" t="inlineStr"/>
      <c r="C388" t="n">
        <v>1506031359</v>
      </c>
      <c r="D388">
        <f>HYPERLINK("https://www.etsy.com/listing/1506031359", "link")</f>
        <v/>
      </c>
      <c r="E388">
        <f>HYPERLINK("https://atlas.etsycorp.com/listing/1506031359/lookup", "link")</f>
        <v/>
      </c>
      <c r="F388" t="inlineStr">
        <is>
          <t>Vintage 80s 1980s Holly Hobbie Photo Album</t>
        </is>
      </c>
      <c r="G388" t="inlineStr">
        <is>
          <t>EufgpmRLIEn4YDAhLSUEqkB_YM29</t>
        </is>
      </c>
      <c r="H388" t="inlineStr">
        <is>
          <t>web</t>
        </is>
      </c>
      <c r="I388" t="inlineStr">
        <is>
          <t>en-US</t>
        </is>
      </c>
      <c r="J388" t="inlineStr">
        <is>
          <t>us_v2-direct_unspecified</t>
        </is>
      </c>
      <c r="K388" t="b">
        <v>1</v>
      </c>
      <c r="L388" t="inlineStr">
        <is>
          <t>not_relevant</t>
        </is>
      </c>
      <c r="M388" t="inlineStr">
        <is>
          <t>not_relevant</t>
        </is>
      </c>
      <c r="N388" t="inlineStr">
        <is>
          <t>not_relevant</t>
        </is>
      </c>
      <c r="O388" t="inlineStr">
        <is>
          <t>not_relevant</t>
        </is>
      </c>
      <c r="P388" t="b">
        <v>1</v>
      </c>
    </row>
    <row r="389">
      <c r="A389" t="inlineStr">
        <is>
          <t>glamrock bonnie</t>
        </is>
      </c>
      <c r="B389" t="inlineStr">
        <is>
          <t>glam rock bonnie</t>
        </is>
      </c>
      <c r="C389" t="n">
        <v>1568701469</v>
      </c>
      <c r="D389">
        <f>HYPERLINK("https://www.etsy.com/listing/1568701469", "link")</f>
        <v/>
      </c>
      <c r="E389">
        <f>HYPERLINK("https://atlas.etsycorp.com/listing/1568701469/lookup", "link")</f>
        <v/>
      </c>
      <c r="F389" t="inlineStr">
        <is>
          <t>Cosplay Foxy FNAF 5 Nights with Freddy Costume</t>
        </is>
      </c>
      <c r="G389" t="inlineStr">
        <is>
          <t>EudEoBi0FjVQgR1xx9HQvSEsQL1f</t>
        </is>
      </c>
      <c r="H389" t="inlineStr">
        <is>
          <t>boe</t>
        </is>
      </c>
      <c r="I389" t="inlineStr">
        <is>
          <t>pl</t>
        </is>
      </c>
      <c r="J389" t="inlineStr">
        <is>
          <t>intl-pl</t>
        </is>
      </c>
      <c r="K389" t="b">
        <v>1</v>
      </c>
      <c r="L389" t="inlineStr">
        <is>
          <t>not_relevant</t>
        </is>
      </c>
      <c r="M389" t="inlineStr">
        <is>
          <t>not_relevant</t>
        </is>
      </c>
      <c r="N389" t="inlineStr">
        <is>
          <t>not_relevant</t>
        </is>
      </c>
      <c r="O389" t="inlineStr">
        <is>
          <t>relevant</t>
        </is>
      </c>
      <c r="P389" t="b">
        <v>1</v>
      </c>
    </row>
    <row r="390">
      <c r="A390" t="inlineStr">
        <is>
          <t>state police retirement gifts</t>
        </is>
      </c>
      <c r="B390" t="inlineStr"/>
      <c r="C390" t="n">
        <v>1003163461</v>
      </c>
      <c r="D390">
        <f>HYPERLINK("https://www.etsy.com/listing/1003163461", "link")</f>
        <v/>
      </c>
      <c r="E390">
        <f>HYPERLINK("https://atlas.etsycorp.com/listing/1003163461/lookup", "link")</f>
        <v/>
      </c>
      <c r="F390" t="inlineStr">
        <is>
          <t>3d file CNC model - Circle 7 point star badge with Texas Seal- Digital file download - not a physical item</t>
        </is>
      </c>
      <c r="G390" t="inlineStr">
        <is>
          <t>EuewfLsVXYE59GVuJasu7mbu7ua8</t>
        </is>
      </c>
      <c r="H390" t="inlineStr">
        <is>
          <t>web</t>
        </is>
      </c>
      <c r="I390" t="inlineStr">
        <is>
          <t>en-US</t>
        </is>
      </c>
      <c r="J390" t="inlineStr">
        <is>
          <t>us_v2-gift</t>
        </is>
      </c>
      <c r="K390" t="b">
        <v>1</v>
      </c>
      <c r="L390" t="inlineStr">
        <is>
          <t>not_relevant</t>
        </is>
      </c>
      <c r="M390" t="inlineStr">
        <is>
          <t>not_relevant</t>
        </is>
      </c>
      <c r="N390" t="inlineStr">
        <is>
          <t>not_relevant</t>
        </is>
      </c>
      <c r="O390" t="inlineStr">
        <is>
          <t>not_relevant</t>
        </is>
      </c>
      <c r="P390" t="b">
        <v>1</v>
      </c>
    </row>
    <row r="391">
      <c r="A391" t="inlineStr">
        <is>
          <t>best gifts for him</t>
        </is>
      </c>
      <c r="B391" t="inlineStr"/>
      <c r="C391" t="n">
        <v>1317733254</v>
      </c>
      <c r="D391">
        <f>HYPERLINK("https://www.etsy.com/listing/1317733254", "link")</f>
        <v/>
      </c>
      <c r="E391">
        <f>HYPERLINK("https://atlas.etsycorp.com/listing/1317733254/lookup", "link")</f>
        <v/>
      </c>
      <c r="F391" t="inlineStr">
        <is>
          <t>Christmas gift for her gift for Mum gift for Girlfriend Christmas gift ideas gift for wife gift for sister gift for woman Custom Jewelry box</t>
        </is>
      </c>
      <c r="G391" t="inlineStr">
        <is>
          <t>EuQ-mk4LA_Ucd02bmIH0GCNxlF08</t>
        </is>
      </c>
      <c r="H391" t="inlineStr">
        <is>
          <t>boe</t>
        </is>
      </c>
      <c r="I391" t="inlineStr">
        <is>
          <t>en-US</t>
        </is>
      </c>
      <c r="J391" t="inlineStr">
        <is>
          <t>us_v2-gift</t>
        </is>
      </c>
      <c r="K391" t="b">
        <v>1</v>
      </c>
      <c r="L391" t="inlineStr">
        <is>
          <t>not_relevant</t>
        </is>
      </c>
      <c r="M391" t="inlineStr">
        <is>
          <t>not_relevant</t>
        </is>
      </c>
      <c r="N391" t="inlineStr">
        <is>
          <t>not_relevant</t>
        </is>
      </c>
      <c r="O391" t="inlineStr">
        <is>
          <t>not_relevant</t>
        </is>
      </c>
      <c r="P391" t="b">
        <v>1</v>
      </c>
    </row>
    <row r="392">
      <c r="A392" t="inlineStr">
        <is>
          <t>fun facts 1974 belgie</t>
        </is>
      </c>
      <c r="B392" t="inlineStr">
        <is>
          <t>fun facts 1974 belgium</t>
        </is>
      </c>
      <c r="C392" t="n">
        <v>1298463147</v>
      </c>
      <c r="D392">
        <f>HYPERLINK("https://www.etsy.com/listing/1298463147", "link")</f>
        <v/>
      </c>
      <c r="E392">
        <f>HYPERLINK("https://atlas.etsycorp.com/listing/1298463147/lookup", "link")</f>
        <v/>
      </c>
      <c r="F392" t="inlineStr">
        <is>
          <t>German Birthday Poster 1973 | 50th Anniversary Gift | Birthday Gift 50 years | Born in 1973 | Printable Newspaper / Sign | Instant Download</t>
        </is>
      </c>
      <c r="G392" t="inlineStr">
        <is>
          <t>EuU7unOBSnmN8Vylz8ttIxlL96c9</t>
        </is>
      </c>
      <c r="H392" t="inlineStr">
        <is>
          <t>web</t>
        </is>
      </c>
      <c r="I392" t="inlineStr">
        <is>
          <t>nl</t>
        </is>
      </c>
      <c r="J392" t="inlineStr">
        <is>
          <t>intl-nl</t>
        </is>
      </c>
      <c r="K392" t="b">
        <v>1</v>
      </c>
      <c r="L392" t="inlineStr">
        <is>
          <t>partial</t>
        </is>
      </c>
      <c r="M392" t="inlineStr">
        <is>
          <t>not_relevant</t>
        </is>
      </c>
      <c r="N392" t="inlineStr">
        <is>
          <t>partial</t>
        </is>
      </c>
      <c r="O392" t="inlineStr">
        <is>
          <t>partial</t>
        </is>
      </c>
      <c r="P392" t="b">
        <v>1</v>
      </c>
    </row>
    <row r="393">
      <c r="A393" t="inlineStr">
        <is>
          <t>gifts for book club</t>
        </is>
      </c>
      <c r="B393" t="inlineStr"/>
      <c r="C393" t="n">
        <v>1504064824</v>
      </c>
      <c r="D393">
        <f>HYPERLINK("https://www.etsy.com/listing/1504064824", "link")</f>
        <v/>
      </c>
      <c r="E393">
        <f>HYPERLINK("https://atlas.etsycorp.com/listing/1504064824/lookup", "link")</f>
        <v/>
      </c>
      <c r="F393" t="inlineStr">
        <is>
          <t>Hello I&amp;#39;m mentally at the bookstore Sticker, bookish Sticker, book lover gift, bookish Merch, Tablet Sticker, Smut Reader, reading lover</t>
        </is>
      </c>
      <c r="G393" t="inlineStr">
        <is>
          <t>Euw05GCpoBsbpb2IN-UF64id4V6c</t>
        </is>
      </c>
      <c r="H393" t="inlineStr">
        <is>
          <t>web</t>
        </is>
      </c>
      <c r="I393" t="inlineStr">
        <is>
          <t>en-GB</t>
        </is>
      </c>
      <c r="J393" t="inlineStr">
        <is>
          <t>us_v2-gift</t>
        </is>
      </c>
      <c r="K393" t="b">
        <v>1</v>
      </c>
      <c r="L393" t="inlineStr">
        <is>
          <t>partial</t>
        </is>
      </c>
      <c r="M393" t="inlineStr">
        <is>
          <t>partial</t>
        </is>
      </c>
      <c r="N393" t="inlineStr">
        <is>
          <t>relevant</t>
        </is>
      </c>
      <c r="O393" t="inlineStr">
        <is>
          <t>partial</t>
        </is>
      </c>
      <c r="P393" t="b">
        <v>1</v>
      </c>
    </row>
    <row r="394">
      <c r="A394" t="inlineStr">
        <is>
          <t>sauna wall decor</t>
        </is>
      </c>
      <c r="B394" t="inlineStr"/>
      <c r="C394" t="n">
        <v>840988058</v>
      </c>
      <c r="D394">
        <f>HYPERLINK("https://www.etsy.com/listing/840988058", "link")</f>
        <v/>
      </c>
      <c r="E394">
        <f>HYPERLINK("https://atlas.etsycorp.com/listing/840988058/lookup", "link")</f>
        <v/>
      </c>
      <c r="F394" t="inlineStr">
        <is>
          <t>Pool and Hot Tub Sign, Pool Décor Signs, Hot Tub Signs, Sauna Signs, Whirlpool Custom Signs, Flamingo House Sign</t>
        </is>
      </c>
      <c r="G394" t="inlineStr">
        <is>
          <t>EubvtrArlqogZhVD4k2FiCUxQx0e</t>
        </is>
      </c>
      <c r="H394" t="inlineStr">
        <is>
          <t>boe</t>
        </is>
      </c>
      <c r="I394" t="inlineStr">
        <is>
          <t>en-US</t>
        </is>
      </c>
      <c r="J394" t="inlineStr">
        <is>
          <t>us_v2-direct_unspecified</t>
        </is>
      </c>
      <c r="K394" t="b">
        <v>1</v>
      </c>
      <c r="L394" t="inlineStr">
        <is>
          <t>partial</t>
        </is>
      </c>
      <c r="M394" t="inlineStr">
        <is>
          <t>partial</t>
        </is>
      </c>
      <c r="N394" t="inlineStr">
        <is>
          <t>partial</t>
        </is>
      </c>
      <c r="O394" t="inlineStr">
        <is>
          <t>relevant</t>
        </is>
      </c>
      <c r="P394" t="b">
        <v>1</v>
      </c>
    </row>
    <row r="395">
      <c r="A395" t="inlineStr">
        <is>
          <t>noodle and pals</t>
        </is>
      </c>
      <c r="B395" t="inlineStr"/>
      <c r="C395" t="n">
        <v>533616909</v>
      </c>
      <c r="D395">
        <f>HYPERLINK("https://www.etsy.com/listing/533616909", "link")</f>
        <v/>
      </c>
      <c r="E395">
        <f>HYPERLINK("https://atlas.etsycorp.com/listing/533616909/lookup", "link")</f>
        <v/>
      </c>
      <c r="F395" t="inlineStr">
        <is>
          <t>8&amp;quot; Handmade Doll With 6 Outfit, Handmade Rag Doll With Outfit,  Doll Princess Dress, Handmade Gift For Her, Birthday Gift</t>
        </is>
      </c>
      <c r="G395" t="inlineStr">
        <is>
          <t>EuNZDMP9GLA-qmrl0LQPDClnH-7a</t>
        </is>
      </c>
      <c r="H395" t="inlineStr">
        <is>
          <t>boe</t>
        </is>
      </c>
      <c r="I395" t="inlineStr">
        <is>
          <t>en-US</t>
        </is>
      </c>
      <c r="J395" t="inlineStr">
        <is>
          <t>us_v2-direct_unspecified</t>
        </is>
      </c>
      <c r="K395" t="b">
        <v>1</v>
      </c>
      <c r="L395" t="inlineStr">
        <is>
          <t>not_relevant</t>
        </is>
      </c>
      <c r="M395" t="inlineStr">
        <is>
          <t>not_relevant</t>
        </is>
      </c>
      <c r="N395" t="inlineStr">
        <is>
          <t>not_relevant</t>
        </is>
      </c>
      <c r="O395" t="inlineStr">
        <is>
          <t>partial</t>
        </is>
      </c>
      <c r="P395" t="b">
        <v>1</v>
      </c>
    </row>
    <row r="396">
      <c r="A396" t="inlineStr">
        <is>
          <t>Find shirts</t>
        </is>
      </c>
      <c r="B396" t="inlineStr">
        <is>
          <t>Find shirts</t>
        </is>
      </c>
      <c r="C396" t="n">
        <v>1485839680</v>
      </c>
      <c r="D396">
        <f>HYPERLINK("https://www.etsy.com/listing/1485839680", "link")</f>
        <v/>
      </c>
      <c r="E396">
        <f>HYPERLINK("https://atlas.etsycorp.com/listing/1485839680/lookup", "link")</f>
        <v/>
      </c>
      <c r="F396" t="inlineStr">
        <is>
          <t>Fuck Around Find Out Groovy T-Shirt, Funny Quote Shirt, Funny Shirt, Sarcastic Shirt, Shirt For Women, Girlfriend Gift, Adult Humor Shirt</t>
        </is>
      </c>
      <c r="G396" t="inlineStr">
        <is>
          <t>EuPzoxc-qcpCkb-qtVa8WkctNofe</t>
        </is>
      </c>
      <c r="H396" t="inlineStr">
        <is>
          <t>web</t>
        </is>
      </c>
      <c r="I396" t="inlineStr">
        <is>
          <t>es</t>
        </is>
      </c>
      <c r="J396" t="inlineStr">
        <is>
          <t>intl-es</t>
        </is>
      </c>
      <c r="K396" t="b">
        <v>1</v>
      </c>
      <c r="L396" t="inlineStr">
        <is>
          <t>relevant</t>
        </is>
      </c>
      <c r="M396" t="inlineStr">
        <is>
          <t>relevant</t>
        </is>
      </c>
      <c r="N396" t="inlineStr">
        <is>
          <t>relevant</t>
        </is>
      </c>
      <c r="O396" t="inlineStr">
        <is>
          <t>relevant</t>
        </is>
      </c>
      <c r="P396" t="b">
        <v>1</v>
      </c>
    </row>
    <row r="397">
      <c r="A397" t="inlineStr">
        <is>
          <t>keto donuts</t>
        </is>
      </c>
      <c r="B397" t="inlineStr"/>
      <c r="C397" t="n">
        <v>1587359986</v>
      </c>
      <c r="D397">
        <f>HYPERLINK("https://www.etsy.com/listing/1587359986", "link")</f>
        <v/>
      </c>
      <c r="E397">
        <f>HYPERLINK("https://atlas.etsycorp.com/listing/1587359986/lookup", "link")</f>
        <v/>
      </c>
      <c r="F397" t="inlineStr">
        <is>
          <t>Keto, Hot Cocoa Peppermint, Donut Stick, Vegan Collagen, Gluten Free, No Erythritol, Egg Free, Dairy Free, Almond Free, Sugar Free, Low Carb</t>
        </is>
      </c>
      <c r="G397" t="inlineStr">
        <is>
          <t>EubymAAmBYuZ8Ck_3yLb44D95Q92</t>
        </is>
      </c>
      <c r="H397" t="inlineStr">
        <is>
          <t>boe</t>
        </is>
      </c>
      <c r="I397" t="inlineStr">
        <is>
          <t>en-US</t>
        </is>
      </c>
      <c r="J397" t="inlineStr">
        <is>
          <t>us_v2-direct_unspecified</t>
        </is>
      </c>
      <c r="K397" t="b">
        <v>1</v>
      </c>
      <c r="L397" t="inlineStr">
        <is>
          <t>relevant</t>
        </is>
      </c>
      <c r="M397" t="inlineStr">
        <is>
          <t>relevant</t>
        </is>
      </c>
      <c r="N397" t="inlineStr">
        <is>
          <t>relevant</t>
        </is>
      </c>
      <c r="O397" t="inlineStr">
        <is>
          <t>relevant</t>
        </is>
      </c>
      <c r="P397" t="b">
        <v>1</v>
      </c>
    </row>
    <row r="398">
      <c r="A398" t="inlineStr">
        <is>
          <t>Акрил</t>
        </is>
      </c>
      <c r="B398" t="inlineStr">
        <is>
          <t>Acrylic</t>
        </is>
      </c>
      <c r="C398" t="n">
        <v>1114150086</v>
      </c>
      <c r="D398">
        <f>HYPERLINK("https://www.etsy.com/listing/1114150086", "link")</f>
        <v/>
      </c>
      <c r="E398">
        <f>HYPERLINK("https://atlas.etsycorp.com/listing/1114150086/lookup", "link")</f>
        <v/>
      </c>
      <c r="F398" t="inlineStr">
        <is>
          <t>Acrylic Painting Palm Tree Island Seascape</t>
        </is>
      </c>
      <c r="G398" t="inlineStr">
        <is>
          <t>EuvgMU_zURiXMwqmVVH6eF41qVe3</t>
        </is>
      </c>
      <c r="H398" t="inlineStr">
        <is>
          <t>boe</t>
        </is>
      </c>
      <c r="I398" t="inlineStr">
        <is>
          <t>ru</t>
        </is>
      </c>
      <c r="J398" t="inlineStr">
        <is>
          <t>intl-ru</t>
        </is>
      </c>
      <c r="K398" t="b">
        <v>1</v>
      </c>
      <c r="L398" t="inlineStr">
        <is>
          <t>relevant</t>
        </is>
      </c>
      <c r="M398" t="inlineStr">
        <is>
          <t>relevant</t>
        </is>
      </c>
      <c r="N398" t="inlineStr">
        <is>
          <t>partial</t>
        </is>
      </c>
      <c r="O398" t="inlineStr">
        <is>
          <t>relevant</t>
        </is>
      </c>
      <c r="P398" t="b">
        <v>1</v>
      </c>
    </row>
    <row r="399">
      <c r="A399" t="inlineStr">
        <is>
          <t>CUERDA fujifilm xt5</t>
        </is>
      </c>
      <c r="B399" t="inlineStr">
        <is>
          <t>fujifilm xt5 ROPE</t>
        </is>
      </c>
      <c r="C399" t="n">
        <v>1365939666</v>
      </c>
      <c r="D399">
        <f>HYPERLINK("https://www.etsy.com/listing/1365939666", "link")</f>
        <v/>
      </c>
      <c r="E399">
        <f>HYPERLINK("https://atlas.etsycorp.com/listing/1365939666/lookup", "link")</f>
        <v/>
      </c>
      <c r="F399" t="inlineStr">
        <is>
          <t>Leather Camera Bag for Fujifilm XT5, Personailized Caemra Case for Fujifilm, Leather Camera Holder</t>
        </is>
      </c>
      <c r="G399" t="inlineStr">
        <is>
          <t>Eu_p5W6OpHYoP7bEeTYnq_kfMxdf</t>
        </is>
      </c>
      <c r="H399" t="inlineStr">
        <is>
          <t>web</t>
        </is>
      </c>
      <c r="I399" t="inlineStr">
        <is>
          <t>es</t>
        </is>
      </c>
      <c r="J399" t="inlineStr">
        <is>
          <t>intl-es</t>
        </is>
      </c>
      <c r="K399" t="b">
        <v>1</v>
      </c>
      <c r="L399" t="inlineStr">
        <is>
          <t>not_relevant</t>
        </is>
      </c>
      <c r="M399" t="inlineStr">
        <is>
          <t>not_relevant</t>
        </is>
      </c>
      <c r="N399" t="inlineStr">
        <is>
          <t>not_relevant</t>
        </is>
      </c>
      <c r="O399" t="inlineStr">
        <is>
          <t>partial</t>
        </is>
      </c>
      <c r="P399" t="b">
        <v>1</v>
      </c>
    </row>
    <row r="400">
      <c r="A400" t="inlineStr">
        <is>
          <t>lacrosse mom DTF transfers</t>
        </is>
      </c>
      <c r="B400" t="inlineStr"/>
      <c r="C400" t="n">
        <v>1456615269</v>
      </c>
      <c r="D400">
        <f>HYPERLINK("https://www.etsy.com/listing/1456615269", "link")</f>
        <v/>
      </c>
      <c r="E400">
        <f>HYPERLINK("https://atlas.etsycorp.com/listing/1456615269/lookup", "link")</f>
        <v/>
      </c>
      <c r="F400" t="inlineStr">
        <is>
          <t>Baseball Mom DTF TRANSFER Direct To Film Ready To Press Cold Peel Transfer 4281</t>
        </is>
      </c>
      <c r="G400" t="inlineStr">
        <is>
          <t>EuqSIT6Zt0Yvv8m6li61EcmlnT80</t>
        </is>
      </c>
      <c r="H400" t="inlineStr">
        <is>
          <t>web</t>
        </is>
      </c>
      <c r="I400" t="inlineStr">
        <is>
          <t>en-US</t>
        </is>
      </c>
      <c r="J400" t="inlineStr">
        <is>
          <t>us_v2-direct_unspecified</t>
        </is>
      </c>
      <c r="K400" t="b">
        <v>1</v>
      </c>
      <c r="L400" t="inlineStr">
        <is>
          <t>partial</t>
        </is>
      </c>
      <c r="M400" t="inlineStr">
        <is>
          <t>partial</t>
        </is>
      </c>
      <c r="N400" t="inlineStr">
        <is>
          <t>partial</t>
        </is>
      </c>
      <c r="O400" t="inlineStr">
        <is>
          <t>partial</t>
        </is>
      </c>
      <c r="P400" t="b">
        <v>1</v>
      </c>
    </row>
    <row r="401">
      <c r="A401" t="inlineStr">
        <is>
          <t>glamrock bonnie</t>
        </is>
      </c>
      <c r="B401" t="inlineStr">
        <is>
          <t>glam rock bonnie</t>
        </is>
      </c>
      <c r="C401" t="n">
        <v>1603381074</v>
      </c>
      <c r="D401">
        <f>HYPERLINK("https://www.etsy.com/listing/1603381074", "link")</f>
        <v/>
      </c>
      <c r="E401">
        <f>HYPERLINK("https://atlas.etsycorp.com/listing/1603381074/lookup", "link")</f>
        <v/>
      </c>
      <c r="F401" t="inlineStr">
        <is>
          <t>Glamrock Undies</t>
        </is>
      </c>
      <c r="G401" t="inlineStr">
        <is>
          <t>EudEoBi0FjVQgR1xx9HQvSEsQL1f</t>
        </is>
      </c>
      <c r="H401" t="inlineStr">
        <is>
          <t>boe</t>
        </is>
      </c>
      <c r="I401" t="inlineStr">
        <is>
          <t>pl</t>
        </is>
      </c>
      <c r="J401" t="inlineStr">
        <is>
          <t>intl-pl</t>
        </is>
      </c>
      <c r="K401" t="b">
        <v>1</v>
      </c>
      <c r="L401" t="inlineStr">
        <is>
          <t>partial</t>
        </is>
      </c>
      <c r="M401" t="inlineStr">
        <is>
          <t>partial</t>
        </is>
      </c>
      <c r="N401" t="inlineStr">
        <is>
          <t>relevant</t>
        </is>
      </c>
      <c r="O401" t="inlineStr">
        <is>
          <t>partial</t>
        </is>
      </c>
      <c r="P401" t="b">
        <v>1</v>
      </c>
    </row>
    <row r="402">
      <c r="A402" t="inlineStr">
        <is>
          <t>jungle gift box</t>
        </is>
      </c>
      <c r="B402" t="inlineStr">
        <is>
          <t>jungle gift box</t>
        </is>
      </c>
      <c r="C402" t="n">
        <v>1343812045</v>
      </c>
      <c r="D402">
        <f>HYPERLINK("https://www.etsy.com/listing/1343812045", "link")</f>
        <v/>
      </c>
      <c r="E402">
        <f>HYPERLINK("https://atlas.etsycorp.com/listing/1343812045/lookup", "link")</f>
        <v/>
      </c>
      <c r="F402" t="inlineStr">
        <is>
          <t>Watercolour jungle pink animals Personalised Children’s Party Box Gift Bag Favour</t>
        </is>
      </c>
      <c r="G402" t="inlineStr">
        <is>
          <t>EuxzMa7wam04ZRoO6i5BHfgFZac2</t>
        </is>
      </c>
      <c r="H402" t="inlineStr">
        <is>
          <t>web</t>
        </is>
      </c>
      <c r="I402" t="inlineStr">
        <is>
          <t>nl</t>
        </is>
      </c>
      <c r="J402" t="inlineStr">
        <is>
          <t>intl-nl</t>
        </is>
      </c>
      <c r="K402" t="b">
        <v>1</v>
      </c>
      <c r="L402" t="inlineStr">
        <is>
          <t>relevant</t>
        </is>
      </c>
      <c r="M402" t="inlineStr">
        <is>
          <t>relevant</t>
        </is>
      </c>
      <c r="N402" t="inlineStr">
        <is>
          <t>relevant</t>
        </is>
      </c>
      <c r="O402" t="inlineStr">
        <is>
          <t>relevant</t>
        </is>
      </c>
      <c r="P402" t="b">
        <v>1</v>
      </c>
    </row>
    <row r="403">
      <c r="A403" t="inlineStr">
        <is>
          <t>thong mesh</t>
        </is>
      </c>
      <c r="B403" t="inlineStr"/>
      <c r="C403" t="n">
        <v>1662429015</v>
      </c>
      <c r="D403">
        <f>HYPERLINK("https://www.etsy.com/listing/1662429015", "link")</f>
        <v/>
      </c>
      <c r="E403">
        <f>HYPERLINK("https://atlas.etsycorp.com/listing/1662429015/lookup", "link")</f>
        <v/>
      </c>
      <c r="F403" t="inlineStr">
        <is>
          <t>Embroidery and Mesh  thongs</t>
        </is>
      </c>
      <c r="G403" t="inlineStr">
        <is>
          <t>Eu7bFh09tQexTzxDYmbPDJilEY20</t>
        </is>
      </c>
      <c r="H403" t="inlineStr">
        <is>
          <t>boe</t>
        </is>
      </c>
      <c r="I403" t="inlineStr">
        <is>
          <t>en-GB</t>
        </is>
      </c>
      <c r="J403" t="inlineStr">
        <is>
          <t>us_v2-direct_unspecified</t>
        </is>
      </c>
      <c r="K403" t="b">
        <v>1</v>
      </c>
      <c r="L403" t="inlineStr">
        <is>
          <t>relevant</t>
        </is>
      </c>
      <c r="M403" t="inlineStr">
        <is>
          <t>relevant</t>
        </is>
      </c>
      <c r="N403" t="inlineStr">
        <is>
          <t>relevant</t>
        </is>
      </c>
      <c r="O403" t="inlineStr">
        <is>
          <t>relevant</t>
        </is>
      </c>
      <c r="P403" t="b">
        <v>1</v>
      </c>
    </row>
    <row r="404">
      <c r="A404" t="inlineStr">
        <is>
          <t>personalized gift for mum</t>
        </is>
      </c>
      <c r="B404" t="inlineStr"/>
      <c r="C404" t="n">
        <v>1675261111</v>
      </c>
      <c r="D404">
        <f>HYPERLINK("https://www.etsy.com/listing/1675261111", "link")</f>
        <v/>
      </c>
      <c r="E404">
        <f>HYPERLINK("https://atlas.etsycorp.com/listing/1675261111/lookup", "link")</f>
        <v/>
      </c>
      <c r="F404" t="inlineStr">
        <is>
          <t>Personalised Birth Flower Jug|Ceramic Floral Vase|Grandparent Mothers Day Birthday Gift Idea for Her|Two Sizes|Limited Product</t>
        </is>
      </c>
      <c r="G404" t="inlineStr">
        <is>
          <t>EuWlBLu6_c1UkQPVJ7A4TpzoY207</t>
        </is>
      </c>
      <c r="H404" t="inlineStr">
        <is>
          <t>boe</t>
        </is>
      </c>
      <c r="I404" t="inlineStr">
        <is>
          <t>en-GB</t>
        </is>
      </c>
      <c r="J404" t="inlineStr">
        <is>
          <t>us_v2-broad</t>
        </is>
      </c>
      <c r="K404" t="b">
        <v>1</v>
      </c>
      <c r="L404" t="inlineStr">
        <is>
          <t>relevant</t>
        </is>
      </c>
      <c r="M404" t="inlineStr">
        <is>
          <t>relevant</t>
        </is>
      </c>
      <c r="N404" t="inlineStr">
        <is>
          <t>relevant</t>
        </is>
      </c>
      <c r="O404" t="inlineStr">
        <is>
          <t>relevant</t>
        </is>
      </c>
      <c r="P404" t="b">
        <v>1</v>
      </c>
    </row>
    <row r="405">
      <c r="A405" t="inlineStr">
        <is>
          <t>Heidi Lace Bridal Set</t>
        </is>
      </c>
      <c r="B405" t="inlineStr"/>
      <c r="C405" t="n">
        <v>1505353505</v>
      </c>
      <c r="D405">
        <f>HYPERLINK("https://www.etsy.com/listing/1505353505", "link")</f>
        <v/>
      </c>
      <c r="E405">
        <f>HYPERLINK("https://atlas.etsycorp.com/listing/1505353505/lookup", "link")</f>
        <v/>
      </c>
      <c r="F405" t="inlineStr">
        <is>
          <t>Premium Quality bridal set comes with all accessories/ Indian bridal jewelry/ high quality kundan and Polki jewellery</t>
        </is>
      </c>
      <c r="G405" t="inlineStr">
        <is>
          <t>EuPJqHl38YHu_AHGXyrMc4yCos7f</t>
        </is>
      </c>
      <c r="H405" t="inlineStr">
        <is>
          <t>web</t>
        </is>
      </c>
      <c r="I405" t="inlineStr">
        <is>
          <t>en-US</t>
        </is>
      </c>
      <c r="J405" t="inlineStr">
        <is>
          <t>us_v2-direct_specified</t>
        </is>
      </c>
      <c r="K405" t="b">
        <v>1</v>
      </c>
      <c r="L405" t="inlineStr">
        <is>
          <t>partial</t>
        </is>
      </c>
      <c r="M405" t="inlineStr">
        <is>
          <t>partial</t>
        </is>
      </c>
      <c r="N405" t="inlineStr">
        <is>
          <t>partial</t>
        </is>
      </c>
      <c r="O405" t="inlineStr">
        <is>
          <t>partial</t>
        </is>
      </c>
      <c r="P405" t="b">
        <v>1</v>
      </c>
    </row>
    <row r="406">
      <c r="A406" t="inlineStr">
        <is>
          <t>piracetam</t>
        </is>
      </c>
      <c r="B406" t="inlineStr"/>
      <c r="C406" t="n">
        <v>1563647521</v>
      </c>
      <c r="D406">
        <f>HYPERLINK("https://www.etsy.com/listing/1563647521", "link")</f>
        <v/>
      </c>
      <c r="E406">
        <f>HYPERLINK("https://atlas.etsycorp.com/listing/1563647521/lookup", "link")</f>
        <v/>
      </c>
      <c r="F406" t="inlineStr">
        <is>
          <t>100% Pure Grade &amp;quot;A&amp;quot; Himalayan Shilajit Soft Resin - Sourced at 16,000+ feet in Himalayan Mountains</t>
        </is>
      </c>
      <c r="G406" t="inlineStr">
        <is>
          <t>EuqF6RbRK08CLIiBnl8AV-PDZEf7</t>
        </is>
      </c>
      <c r="H406" t="inlineStr">
        <is>
          <t>web</t>
        </is>
      </c>
      <c r="I406" t="inlineStr">
        <is>
          <t>en-GB</t>
        </is>
      </c>
      <c r="J406" t="inlineStr">
        <is>
          <t>us_v2-broad</t>
        </is>
      </c>
      <c r="K406" t="b">
        <v>1</v>
      </c>
      <c r="L406" t="inlineStr">
        <is>
          <t>not_relevant</t>
        </is>
      </c>
      <c r="M406" t="inlineStr">
        <is>
          <t>not_relevant</t>
        </is>
      </c>
      <c r="N406" t="inlineStr">
        <is>
          <t>not_relevant</t>
        </is>
      </c>
      <c r="O406" t="inlineStr">
        <is>
          <t>not_relevant</t>
        </is>
      </c>
      <c r="P406" t="b">
        <v>1</v>
      </c>
    </row>
    <row r="407">
      <c r="A407" t="inlineStr">
        <is>
          <t>10 euro cent</t>
        </is>
      </c>
      <c r="B407" t="inlineStr">
        <is>
          <t>10 euro cents</t>
        </is>
      </c>
      <c r="C407" t="n">
        <v>1760928851</v>
      </c>
      <c r="D407">
        <f>HYPERLINK("https://www.etsy.com/listing/1760928851", "link")</f>
        <v/>
      </c>
      <c r="E407">
        <f>HYPERLINK("https://atlas.etsycorp.com/listing/1760928851/lookup", "link")</f>
        <v/>
      </c>
      <c r="F407" t="inlineStr">
        <is>
          <t>2 Euro Coin 2001 France Liberte Egalite Fraternite Rare Error - Mint Error -</t>
        </is>
      </c>
      <c r="G407" t="inlineStr">
        <is>
          <t>EuowA--1Z8EAm_C6hp9R-HS0fId3</t>
        </is>
      </c>
      <c r="H407" t="inlineStr">
        <is>
          <t>web</t>
        </is>
      </c>
      <c r="I407" t="inlineStr">
        <is>
          <t>nl</t>
        </is>
      </c>
      <c r="J407" t="inlineStr">
        <is>
          <t>intl-nl</t>
        </is>
      </c>
      <c r="K407" t="b">
        <v>1</v>
      </c>
      <c r="L407" t="inlineStr">
        <is>
          <t>partial</t>
        </is>
      </c>
      <c r="M407" t="inlineStr">
        <is>
          <t>partial</t>
        </is>
      </c>
      <c r="N407" t="inlineStr">
        <is>
          <t>partial</t>
        </is>
      </c>
      <c r="O407" t="inlineStr">
        <is>
          <t>partial</t>
        </is>
      </c>
      <c r="P407" t="b">
        <v>1</v>
      </c>
    </row>
    <row r="408">
      <c r="A408" t="inlineStr">
        <is>
          <t>bluey</t>
        </is>
      </c>
      <c r="B408" t="inlineStr">
        <is>
          <t>bluey</t>
        </is>
      </c>
      <c r="C408" t="n">
        <v>1750162869</v>
      </c>
      <c r="D408">
        <f>HYPERLINK("https://www.etsy.com/listing/1750162869", "link")</f>
        <v/>
      </c>
      <c r="E408">
        <f>HYPERLINK("https://atlas.etsycorp.com/listing/1750162869/lookup", "link")</f>
        <v/>
      </c>
      <c r="F408" t="inlineStr">
        <is>
          <t>25 Party Favors Deluxe, Party Bundle, Blue inspired Themed, Kids Party Favors, Keepy Uppy, Sticky Gecko, Magic Asparagus, Granny Glasses</t>
        </is>
      </c>
      <c r="G408" t="inlineStr">
        <is>
          <t>EuweB36J3VvIzljdwUCLvot6Jte2</t>
        </is>
      </c>
      <c r="H408" t="inlineStr">
        <is>
          <t>web</t>
        </is>
      </c>
      <c r="I408" t="inlineStr">
        <is>
          <t>es</t>
        </is>
      </c>
      <c r="J408" t="inlineStr">
        <is>
          <t>intl-es</t>
        </is>
      </c>
      <c r="K408" t="b">
        <v>1</v>
      </c>
      <c r="L408" t="inlineStr">
        <is>
          <t>relevant</t>
        </is>
      </c>
      <c r="M408" t="inlineStr">
        <is>
          <t>relevant</t>
        </is>
      </c>
      <c r="N408" t="inlineStr">
        <is>
          <t>relevant</t>
        </is>
      </c>
      <c r="O408" t="inlineStr">
        <is>
          <t>relevant</t>
        </is>
      </c>
      <c r="P408" t="b">
        <v>1</v>
      </c>
    </row>
    <row r="409">
      <c r="A409" t="inlineStr">
        <is>
          <t>st patrick&amp;#39;s tier tray decor uk</t>
        </is>
      </c>
      <c r="B409" t="inlineStr"/>
      <c r="C409" t="n">
        <v>1159487321</v>
      </c>
      <c r="D409">
        <f>HYPERLINK("https://www.etsy.com/listing/1159487321", "link")</f>
        <v/>
      </c>
      <c r="E409">
        <f>HYPERLINK("https://atlas.etsycorp.com/listing/1159487321/lookup", "link")</f>
        <v/>
      </c>
      <c r="F409" t="inlineStr">
        <is>
          <t>St Patricks Day Tiered Tray Decor Bundle, St Patricks Day Decor, St Patricks Day Mini Sign, March 17 Sign, Kiss Me Im Irish, Tiered Tray Set</t>
        </is>
      </c>
      <c r="G409" t="inlineStr">
        <is>
          <t>EuDTVBLydLYDWAnsQ7CR_PsiD2fc</t>
        </is>
      </c>
      <c r="H409" t="inlineStr">
        <is>
          <t>web</t>
        </is>
      </c>
      <c r="I409" t="inlineStr">
        <is>
          <t>en-GB</t>
        </is>
      </c>
      <c r="J409" t="inlineStr">
        <is>
          <t>us_v2-direct_specified</t>
        </is>
      </c>
      <c r="K409" t="b">
        <v>1</v>
      </c>
      <c r="L409" t="inlineStr">
        <is>
          <t>relevant</t>
        </is>
      </c>
      <c r="M409" t="inlineStr">
        <is>
          <t>relevant</t>
        </is>
      </c>
      <c r="N409" t="inlineStr">
        <is>
          <t>relevant</t>
        </is>
      </c>
      <c r="O409" t="inlineStr">
        <is>
          <t>relevant</t>
        </is>
      </c>
      <c r="P409" t="b">
        <v>1</v>
      </c>
    </row>
    <row r="410">
      <c r="A410" t="inlineStr">
        <is>
          <t>wool bag</t>
        </is>
      </c>
      <c r="B410" t="inlineStr"/>
      <c r="C410" t="n">
        <v>1393802787</v>
      </c>
      <c r="D410">
        <f>HYPERLINK("https://www.etsy.com/listing/1393802787", "link")</f>
        <v/>
      </c>
      <c r="E410">
        <f>HYPERLINK("https://atlas.etsycorp.com/listing/1393802787/lookup", "link")</f>
        <v/>
      </c>
      <c r="F410" t="inlineStr">
        <is>
          <t>Sock Love Stories! Knitting Project Bag, Crochet Zippered Pouch, Yarn Sock Tote</t>
        </is>
      </c>
      <c r="G410" t="inlineStr">
        <is>
          <t>EuxgIC6P1cz5FsWU7oWJMe__lk3f</t>
        </is>
      </c>
      <c r="H410" t="inlineStr">
        <is>
          <t>web</t>
        </is>
      </c>
      <c r="I410" t="inlineStr">
        <is>
          <t>en-US</t>
        </is>
      </c>
      <c r="J410" t="inlineStr">
        <is>
          <t>us_v2-direct_specified</t>
        </is>
      </c>
      <c r="K410" t="b">
        <v>1</v>
      </c>
      <c r="L410" t="inlineStr">
        <is>
          <t>partial</t>
        </is>
      </c>
      <c r="M410" t="inlineStr">
        <is>
          <t>partial</t>
        </is>
      </c>
      <c r="N410" t="inlineStr">
        <is>
          <t>partial</t>
        </is>
      </c>
      <c r="O410" t="inlineStr">
        <is>
          <t>partial</t>
        </is>
      </c>
      <c r="P410" t="b">
        <v>1</v>
      </c>
    </row>
    <row r="411">
      <c r="A411" t="inlineStr">
        <is>
          <t>linen</t>
        </is>
      </c>
      <c r="B411" t="inlineStr">
        <is>
          <t>linen</t>
        </is>
      </c>
      <c r="C411" t="n">
        <v>973727839</v>
      </c>
      <c r="D411">
        <f>HYPERLINK("https://www.etsy.com/listing/973727839", "link")</f>
        <v/>
      </c>
      <c r="E411">
        <f>HYPERLINK("https://atlas.etsycorp.com/listing/973727839/lookup", "link")</f>
        <v/>
      </c>
      <c r="F411" t="inlineStr">
        <is>
          <t>Burnt orange linen table runner, Washed linen table runner, Rust orange table runner, Handmade table runner, Natural linen table decor.</t>
        </is>
      </c>
      <c r="G411" t="inlineStr">
        <is>
          <t>EubH71ei_zs_W8U7X_ZA8hHGDK67</t>
        </is>
      </c>
      <c r="H411" t="inlineStr">
        <is>
          <t>boe</t>
        </is>
      </c>
      <c r="I411" t="inlineStr">
        <is>
          <t>fr</t>
        </is>
      </c>
      <c r="J411" t="inlineStr">
        <is>
          <t>intl-fr</t>
        </is>
      </c>
      <c r="K411" t="b">
        <v>1</v>
      </c>
      <c r="L411" t="inlineStr">
        <is>
          <t>relevant</t>
        </is>
      </c>
      <c r="M411" t="inlineStr">
        <is>
          <t>relevant</t>
        </is>
      </c>
      <c r="N411" t="inlineStr">
        <is>
          <t>relevant</t>
        </is>
      </c>
      <c r="O411" t="inlineStr">
        <is>
          <t>relevant</t>
        </is>
      </c>
      <c r="P411" t="b">
        <v>1</v>
      </c>
    </row>
    <row r="412">
      <c r="A412" t="inlineStr">
        <is>
          <t>piel de cocodrilo</t>
        </is>
      </c>
      <c r="B412" t="inlineStr">
        <is>
          <t>crocodile skin</t>
        </is>
      </c>
      <c r="C412" t="n">
        <v>685364086</v>
      </c>
      <c r="D412">
        <f>HYPERLINK("https://www.etsy.com/listing/685364086", "link")</f>
        <v/>
      </c>
      <c r="E412">
        <f>HYPERLINK("https://atlas.etsycorp.com/listing/685364086/lookup", "link")</f>
        <v/>
      </c>
      <c r="F412" t="inlineStr">
        <is>
          <t>Genuine Shark Wallet, Men&amp;#39;s Leather Wallet., Personalized Leather Wallet, Perfect gift for him, custom alligator wallet, bifold wallet</t>
        </is>
      </c>
      <c r="G412" t="inlineStr">
        <is>
          <t>EuuzJODFax-m9gCSTIyQ6CpQtT55</t>
        </is>
      </c>
      <c r="H412" t="inlineStr">
        <is>
          <t>boe</t>
        </is>
      </c>
      <c r="I412" t="inlineStr">
        <is>
          <t>es</t>
        </is>
      </c>
      <c r="J412" t="inlineStr">
        <is>
          <t>intl-es</t>
        </is>
      </c>
      <c r="K412" t="b">
        <v>1</v>
      </c>
      <c r="L412" t="inlineStr">
        <is>
          <t>relevant</t>
        </is>
      </c>
      <c r="M412" t="inlineStr">
        <is>
          <t>not_relevant</t>
        </is>
      </c>
      <c r="N412" t="inlineStr">
        <is>
          <t>relevant</t>
        </is>
      </c>
      <c r="O412" t="inlineStr">
        <is>
          <t>relevant</t>
        </is>
      </c>
      <c r="P412" t="b">
        <v>1</v>
      </c>
    </row>
    <row r="413">
      <c r="A413" t="inlineStr">
        <is>
          <t>giant paper flowers wedding</t>
        </is>
      </c>
      <c r="B413" t="inlineStr"/>
      <c r="C413" t="n">
        <v>616064953</v>
      </c>
      <c r="D413">
        <f>HYPERLINK("https://www.etsy.com/listing/616064953", "link")</f>
        <v/>
      </c>
      <c r="E413">
        <f>HYPERLINK("https://atlas.etsycorp.com/listing/616064953/lookup", "link")</f>
        <v/>
      </c>
      <c r="F413" t="inlineStr">
        <is>
          <t>50 PDF PRINTABLE Paper Flower PETAL Templates, diy large Paper Flower Templates, molde de flores de papel / print-cut-trace flower templates</t>
        </is>
      </c>
      <c r="G413" t="inlineStr">
        <is>
          <t>EuOxx3gVX-LNo9p8XnAYqWwfmM45</t>
        </is>
      </c>
      <c r="H413" t="inlineStr">
        <is>
          <t>web</t>
        </is>
      </c>
      <c r="I413" t="inlineStr">
        <is>
          <t>en-US</t>
        </is>
      </c>
      <c r="J413" t="inlineStr">
        <is>
          <t>us_v2-direct_specified</t>
        </is>
      </c>
      <c r="K413" t="b">
        <v>1</v>
      </c>
      <c r="L413" t="inlineStr">
        <is>
          <t>partial</t>
        </is>
      </c>
      <c r="M413" t="inlineStr">
        <is>
          <t>partial</t>
        </is>
      </c>
      <c r="N413" t="inlineStr">
        <is>
          <t>relevant</t>
        </is>
      </c>
      <c r="O413" t="inlineStr">
        <is>
          <t>partial</t>
        </is>
      </c>
      <c r="P413" t="b">
        <v>1</v>
      </c>
    </row>
    <row r="414">
      <c r="A414" t="inlineStr">
        <is>
          <t>groomsmen gifts</t>
        </is>
      </c>
      <c r="B414" t="inlineStr"/>
      <c r="C414" t="n">
        <v>747442446</v>
      </c>
      <c r="D414">
        <f>HYPERLINK("https://www.etsy.com/listing/747442446", "link")</f>
        <v/>
      </c>
      <c r="E414">
        <f>HYPERLINK("https://atlas.etsycorp.com/listing/747442446/lookup", "link")</f>
        <v/>
      </c>
      <c r="F414" t="inlineStr">
        <is>
          <t>Personalized Leather Duffle Bag Travel Carry on Luggage Overnight Gym Weekender Handmade Duffel Bag Groomsmen Gift smallsized Christmas Gift</t>
        </is>
      </c>
      <c r="G414" t="inlineStr">
        <is>
          <t>EuSfM0CcbfFNp5GamxSmy7E-jx38</t>
        </is>
      </c>
      <c r="H414" t="inlineStr">
        <is>
          <t>boe</t>
        </is>
      </c>
      <c r="I414" t="inlineStr">
        <is>
          <t>en-US</t>
        </is>
      </c>
      <c r="J414" t="inlineStr">
        <is>
          <t>us_v2-gift</t>
        </is>
      </c>
      <c r="K414" t="b">
        <v>1</v>
      </c>
      <c r="L414" t="inlineStr">
        <is>
          <t>relevant</t>
        </is>
      </c>
      <c r="M414" t="inlineStr">
        <is>
          <t>relevant</t>
        </is>
      </c>
      <c r="N414" t="inlineStr">
        <is>
          <t>relevant</t>
        </is>
      </c>
      <c r="O414" t="inlineStr">
        <is>
          <t>relevant</t>
        </is>
      </c>
      <c r="P414" t="b">
        <v>1</v>
      </c>
    </row>
    <row r="415">
      <c r="A415" t="inlineStr">
        <is>
          <t>moissanite rapper pendant</t>
        </is>
      </c>
      <c r="B415" t="inlineStr"/>
      <c r="C415" t="n">
        <v>1242224606</v>
      </c>
      <c r="D415">
        <f>HYPERLINK("https://www.etsy.com/listing/1242224606", "link")</f>
        <v/>
      </c>
      <c r="E415">
        <f>HYPERLINK("https://atlas.etsycorp.com/listing/1242224606/lookup", "link")</f>
        <v/>
      </c>
      <c r="F415" t="inlineStr">
        <is>
          <t>Hip hop Moissanite Diamond face pendant/ Iced out bling Shinny Pendant/ Vendetta Clown Moissanite Face For rapper/ Gift for rapper</t>
        </is>
      </c>
      <c r="G415" t="inlineStr">
        <is>
          <t>EuHO6cYaKFKWb3lBSc1QNkw7kZ5a</t>
        </is>
      </c>
      <c r="H415" t="inlineStr">
        <is>
          <t>boe</t>
        </is>
      </c>
      <c r="I415" t="inlineStr">
        <is>
          <t>en-US</t>
        </is>
      </c>
      <c r="J415" t="inlineStr">
        <is>
          <t>us_v2-direct_specified</t>
        </is>
      </c>
      <c r="K415" t="b">
        <v>1</v>
      </c>
      <c r="L415" t="inlineStr">
        <is>
          <t>relevant</t>
        </is>
      </c>
      <c r="M415" t="inlineStr">
        <is>
          <t>relevant</t>
        </is>
      </c>
      <c r="N415" t="inlineStr">
        <is>
          <t>relevant</t>
        </is>
      </c>
      <c r="O415" t="inlineStr">
        <is>
          <t>relevant</t>
        </is>
      </c>
      <c r="P415" t="b">
        <v>1</v>
      </c>
    </row>
    <row r="416">
      <c r="A416" t="inlineStr">
        <is>
          <t>pacha ibiza</t>
        </is>
      </c>
      <c r="B416" t="inlineStr">
        <is>
          <t>pacha ibiza</t>
        </is>
      </c>
      <c r="C416" t="n">
        <v>1335083072</v>
      </c>
      <c r="D416">
        <f>HYPERLINK("https://www.etsy.com/listing/1335083072", "link")</f>
        <v/>
      </c>
      <c r="E416">
        <f>HYPERLINK("https://atlas.etsycorp.com/listing/1335083072/lookup", "link")</f>
        <v/>
      </c>
      <c r="F416" t="inlineStr">
        <is>
          <t>Manumission at Ku Ibiza 1995 Season Flyer Poster (A2)</t>
        </is>
      </c>
      <c r="G416" t="inlineStr">
        <is>
          <t>EuPyp3lxE2oDHUqYP-HrjZjVPad8</t>
        </is>
      </c>
      <c r="H416" t="inlineStr">
        <is>
          <t>boe</t>
        </is>
      </c>
      <c r="I416" t="inlineStr">
        <is>
          <t>nl</t>
        </is>
      </c>
      <c r="J416" t="inlineStr">
        <is>
          <t>intl-nl</t>
        </is>
      </c>
      <c r="K416" t="b">
        <v>1</v>
      </c>
      <c r="L416" t="inlineStr">
        <is>
          <t>partial</t>
        </is>
      </c>
      <c r="M416" t="inlineStr">
        <is>
          <t>partial</t>
        </is>
      </c>
      <c r="N416" t="inlineStr">
        <is>
          <t>not_relevant</t>
        </is>
      </c>
      <c r="O416" t="inlineStr">
        <is>
          <t>partial</t>
        </is>
      </c>
      <c r="P416" t="b">
        <v>1</v>
      </c>
    </row>
    <row r="417">
      <c r="A417" t="inlineStr">
        <is>
          <t>bonvon</t>
        </is>
      </c>
      <c r="B417" t="inlineStr">
        <is>
          <t>bonbon</t>
        </is>
      </c>
      <c r="C417" t="n">
        <v>1302091497</v>
      </c>
      <c r="D417">
        <f>HYPERLINK("https://www.etsy.com/listing/1302091497", "link")</f>
        <v/>
      </c>
      <c r="E417">
        <f>HYPERLINK("https://atlas.etsycorp.com/listing/1302091497/lookup", "link")</f>
        <v/>
      </c>
      <c r="F417" t="inlineStr">
        <is>
          <t>Amazonite Silver Pendant Necklace, Genuine Amazonite Pendant, Green Stone Pendant, Gift for Women, Natural Amazonite Jewelry, Mint Necklace</t>
        </is>
      </c>
      <c r="G417" t="inlineStr">
        <is>
          <t>EuHkh2tpMYw809P34zqUx1C5cEb4</t>
        </is>
      </c>
      <c r="H417" t="inlineStr">
        <is>
          <t>boe</t>
        </is>
      </c>
      <c r="I417" t="inlineStr">
        <is>
          <t>fr</t>
        </is>
      </c>
      <c r="J417" t="inlineStr">
        <is>
          <t>intl-fr</t>
        </is>
      </c>
      <c r="K417" t="b">
        <v>1</v>
      </c>
      <c r="L417" t="inlineStr">
        <is>
          <t>not_relevant</t>
        </is>
      </c>
      <c r="M417" t="inlineStr">
        <is>
          <t>not_relevant</t>
        </is>
      </c>
      <c r="N417" t="inlineStr">
        <is>
          <t>not_relevant</t>
        </is>
      </c>
      <c r="O417" t="inlineStr">
        <is>
          <t>relevant</t>
        </is>
      </c>
      <c r="P417" t="b">
        <v>1</v>
      </c>
    </row>
    <row r="418">
      <c r="A418" t="inlineStr">
        <is>
          <t>wandschablonen bordüre</t>
        </is>
      </c>
      <c r="B418" t="inlineStr">
        <is>
          <t>wall stencils border</t>
        </is>
      </c>
      <c r="C418" t="n">
        <v>1314919525</v>
      </c>
      <c r="D418">
        <f>HYPERLINK("https://www.etsy.com/listing/1314919525", "link")</f>
        <v/>
      </c>
      <c r="E418">
        <f>HYPERLINK("https://atlas.etsycorp.com/listing/1314919525/lookup", "link")</f>
        <v/>
      </c>
      <c r="F418" t="inlineStr">
        <is>
          <t>Wall Stencils Border Stencil Pattern Reusable Template for DIY wall decor 420_297_0121</t>
        </is>
      </c>
      <c r="G418" t="inlineStr">
        <is>
          <t>EuRSPzKOrN5-HtrUJc7ROHNRPl41</t>
        </is>
      </c>
      <c r="H418" t="inlineStr">
        <is>
          <t>web</t>
        </is>
      </c>
      <c r="I418" t="inlineStr">
        <is>
          <t>de</t>
        </is>
      </c>
      <c r="J418" t="inlineStr">
        <is>
          <t>intl-de</t>
        </is>
      </c>
      <c r="K418" t="b">
        <v>1</v>
      </c>
      <c r="L418" t="inlineStr">
        <is>
          <t>relevant</t>
        </is>
      </c>
      <c r="M418" t="inlineStr">
        <is>
          <t>relevant</t>
        </is>
      </c>
      <c r="N418" t="inlineStr">
        <is>
          <t>relevant</t>
        </is>
      </c>
      <c r="O418" t="inlineStr">
        <is>
          <t>relevant</t>
        </is>
      </c>
      <c r="P418" t="b">
        <v>1</v>
      </c>
    </row>
    <row r="419">
      <c r="A419" t="inlineStr">
        <is>
          <t>CUERDA fujifilm xt5</t>
        </is>
      </c>
      <c r="B419" t="inlineStr">
        <is>
          <t>fujifilm xt5 ROPE</t>
        </is>
      </c>
      <c r="C419" t="n">
        <v>1713099839</v>
      </c>
      <c r="D419">
        <f>HYPERLINK("https://www.etsy.com/listing/1713099839", "link")</f>
        <v/>
      </c>
      <c r="E419">
        <f>HYPERLINK("https://atlas.etsycorp.com/listing/1713099839/lookup", "link")</f>
        <v/>
      </c>
      <c r="F419" t="inlineStr">
        <is>
          <t>Set Mountain and Weaves Hot Shoe Cover, Custom Threaded Shutter Button, Customizable Hotshoe and Shutter, Unique Gift for Photographers</t>
        </is>
      </c>
      <c r="G419" t="inlineStr">
        <is>
          <t>Eu_p5W6OpHYoP7bEeTYnq_kfMxdf</t>
        </is>
      </c>
      <c r="H419" t="inlineStr">
        <is>
          <t>web</t>
        </is>
      </c>
      <c r="I419" t="inlineStr">
        <is>
          <t>es</t>
        </is>
      </c>
      <c r="J419" t="inlineStr">
        <is>
          <t>intl-es</t>
        </is>
      </c>
      <c r="K419" t="b">
        <v>1</v>
      </c>
      <c r="L419" t="inlineStr">
        <is>
          <t>not_relevant</t>
        </is>
      </c>
      <c r="M419" t="inlineStr">
        <is>
          <t>not_relevant</t>
        </is>
      </c>
      <c r="N419" t="inlineStr">
        <is>
          <t>not_relevant</t>
        </is>
      </c>
      <c r="O419" t="inlineStr">
        <is>
          <t>not_relevant</t>
        </is>
      </c>
      <c r="P419" t="b">
        <v>1</v>
      </c>
    </row>
    <row r="420">
      <c r="A420" t="inlineStr">
        <is>
          <t>eagles svg</t>
        </is>
      </c>
      <c r="B420" t="inlineStr"/>
      <c r="C420" t="n">
        <v>1531611191</v>
      </c>
      <c r="D420">
        <f>HYPERLINK("https://www.etsy.com/listing/1531611191", "link")</f>
        <v/>
      </c>
      <c r="E420">
        <f>HYPERLINK("https://atlas.etsycorp.com/listing/1531611191/lookup", "link")</f>
        <v/>
      </c>
      <c r="F420" t="inlineStr">
        <is>
          <t>Preppy Blue Patriot Mascot PNG Star Eyes Great for Team Shirts High School  and College Gifts  Sublimation DTF PNG  Word Text Letters</t>
        </is>
      </c>
      <c r="G420" t="inlineStr">
        <is>
          <t>EuX-X50b2AagI0YNjWYi6QyVv392</t>
        </is>
      </c>
      <c r="H420" t="inlineStr">
        <is>
          <t>boe</t>
        </is>
      </c>
      <c r="I420" t="inlineStr">
        <is>
          <t>en-US</t>
        </is>
      </c>
      <c r="J420" t="inlineStr">
        <is>
          <t>us_v2-direct_specified</t>
        </is>
      </c>
      <c r="K420" t="b">
        <v>1</v>
      </c>
      <c r="L420" t="inlineStr">
        <is>
          <t>not_relevant</t>
        </is>
      </c>
      <c r="M420" t="inlineStr">
        <is>
          <t>partial</t>
        </is>
      </c>
      <c r="N420" t="inlineStr">
        <is>
          <t>not_relevant</t>
        </is>
      </c>
      <c r="O420" t="inlineStr">
        <is>
          <t>not_relevant</t>
        </is>
      </c>
      <c r="P420" t="b">
        <v>1</v>
      </c>
    </row>
    <row r="421">
      <c r="A421" t="inlineStr">
        <is>
          <t>taschen damen</t>
        </is>
      </c>
      <c r="B421" t="inlineStr">
        <is>
          <t>bags ladies</t>
        </is>
      </c>
      <c r="C421" t="n">
        <v>925557262</v>
      </c>
      <c r="D421">
        <f>HYPERLINK("https://www.etsy.com/listing/925557262", "link")</f>
        <v/>
      </c>
      <c r="E421">
        <f>HYPERLINK("https://atlas.etsycorp.com/listing/925557262/lookup", "link")</f>
        <v/>
      </c>
      <c r="F421" t="inlineStr">
        <is>
          <t>Extra Large tote bag, Shopping leather bag, Tote leather bag, Leather tote bag, Woman leather tote, Woman shoulder bag, Travel bag</t>
        </is>
      </c>
      <c r="G421" t="inlineStr">
        <is>
          <t>Eu9i3c6kBsBF0TKzTq_gpqPk6Z9e</t>
        </is>
      </c>
      <c r="H421" t="inlineStr">
        <is>
          <t>boe</t>
        </is>
      </c>
      <c r="I421" t="inlineStr">
        <is>
          <t>de</t>
        </is>
      </c>
      <c r="J421" t="inlineStr">
        <is>
          <t>intl-de</t>
        </is>
      </c>
      <c r="K421" t="b">
        <v>1</v>
      </c>
      <c r="L421" t="inlineStr">
        <is>
          <t>relevant</t>
        </is>
      </c>
      <c r="M421" t="inlineStr">
        <is>
          <t>relevant</t>
        </is>
      </c>
      <c r="N421" t="inlineStr">
        <is>
          <t>relevant</t>
        </is>
      </c>
      <c r="O421" t="inlineStr">
        <is>
          <t>relevant</t>
        </is>
      </c>
      <c r="P421" t="b">
        <v>1</v>
      </c>
    </row>
    <row r="422">
      <c r="A422" t="inlineStr">
        <is>
          <t>spieltisch Outdoor</t>
        </is>
      </c>
      <c r="B422" t="inlineStr">
        <is>
          <t>outdoor game table</t>
        </is>
      </c>
      <c r="C422" t="n">
        <v>1190361849</v>
      </c>
      <c r="D422">
        <f>HYPERLINK("https://www.etsy.com/listing/1190361849", "link")</f>
        <v/>
      </c>
      <c r="E422">
        <f>HYPERLINK("https://atlas.etsycorp.com/listing/1190361849/lookup", "link")</f>
        <v/>
      </c>
      <c r="F422" t="inlineStr">
        <is>
          <t>Personalized Busy Board - Montessori Board For Toddler - Activity Board For 1 Year Old - Educational Sensory Board - 1st Birthday Gift</t>
        </is>
      </c>
      <c r="G422" t="inlineStr">
        <is>
          <t>Eunrb27CUgcaJ5i5mok1zIkAdU64</t>
        </is>
      </c>
      <c r="H422" t="inlineStr">
        <is>
          <t>web</t>
        </is>
      </c>
      <c r="I422" t="inlineStr">
        <is>
          <t>de</t>
        </is>
      </c>
      <c r="J422" t="inlineStr">
        <is>
          <t>intl-de</t>
        </is>
      </c>
      <c r="K422" t="b">
        <v>1</v>
      </c>
      <c r="L422" t="inlineStr">
        <is>
          <t>not_relevant</t>
        </is>
      </c>
      <c r="M422" t="inlineStr">
        <is>
          <t>not_relevant</t>
        </is>
      </c>
      <c r="N422" t="inlineStr">
        <is>
          <t>not_relevant</t>
        </is>
      </c>
      <c r="O422" t="inlineStr">
        <is>
          <t>not_relevant</t>
        </is>
      </c>
      <c r="P422" t="b">
        <v>1</v>
      </c>
    </row>
    <row r="423">
      <c r="A423" t="inlineStr">
        <is>
          <t>valentines day gift for him sports</t>
        </is>
      </c>
      <c r="B423" t="inlineStr"/>
      <c r="C423" t="n">
        <v>1567424723</v>
      </c>
      <c r="D423">
        <f>HYPERLINK("https://www.etsy.com/listing/1567424723", "link")</f>
        <v/>
      </c>
      <c r="E423">
        <f>HYPERLINK("https://atlas.etsycorp.com/listing/1567424723/lookup", "link")</f>
        <v/>
      </c>
      <c r="F423" t="inlineStr">
        <is>
          <t>Custom Personalized Fishing and Hunting Gift for Him, Pocket Knive with Bass or Elk Etched Blade</t>
        </is>
      </c>
      <c r="G423" t="inlineStr">
        <is>
          <t>EuW21NUgjVUM7_IdDLdd7_hJVV11</t>
        </is>
      </c>
      <c r="H423" t="inlineStr">
        <is>
          <t>web</t>
        </is>
      </c>
      <c r="I423" t="inlineStr">
        <is>
          <t>en-US</t>
        </is>
      </c>
      <c r="J423" t="inlineStr">
        <is>
          <t>us_v2-gift</t>
        </is>
      </c>
      <c r="K423" t="b">
        <v>1</v>
      </c>
      <c r="L423" t="inlineStr">
        <is>
          <t>not_relevant</t>
        </is>
      </c>
      <c r="M423" t="inlineStr">
        <is>
          <t>not_relevant</t>
        </is>
      </c>
      <c r="N423" t="inlineStr">
        <is>
          <t>not_relevant</t>
        </is>
      </c>
      <c r="O423" t="inlineStr">
        <is>
          <t>relevant</t>
        </is>
      </c>
      <c r="P423" t="b">
        <v>1</v>
      </c>
    </row>
    <row r="424">
      <c r="A424" t="inlineStr">
        <is>
          <t>princess wands</t>
        </is>
      </c>
      <c r="B424" t="inlineStr"/>
      <c r="C424" t="n">
        <v>641841226</v>
      </c>
      <c r="D424">
        <f>HYPERLINK("https://www.etsy.com/listing/641841226", "link")</f>
        <v/>
      </c>
      <c r="E424">
        <f>HYPERLINK("https://atlas.etsycorp.com/listing/641841226/lookup", "link")</f>
        <v/>
      </c>
      <c r="F424" t="inlineStr">
        <is>
          <t>Princess Wand, Fairy Wand, Magic Wand, Party Wand, Star Wand in Gold or Silver</t>
        </is>
      </c>
      <c r="G424" t="inlineStr">
        <is>
          <t>EuVYDpE08B3r5MHwkM6DyLa2xV89</t>
        </is>
      </c>
      <c r="H424" t="inlineStr">
        <is>
          <t>web</t>
        </is>
      </c>
      <c r="I424" t="inlineStr">
        <is>
          <t>en-US</t>
        </is>
      </c>
      <c r="J424" t="inlineStr">
        <is>
          <t>us_v2-direct_unspecified</t>
        </is>
      </c>
      <c r="K424" t="b">
        <v>1</v>
      </c>
      <c r="L424" t="inlineStr">
        <is>
          <t>relevant</t>
        </is>
      </c>
      <c r="M424" t="inlineStr">
        <is>
          <t>relevant</t>
        </is>
      </c>
      <c r="N424" t="inlineStr">
        <is>
          <t>relevant</t>
        </is>
      </c>
      <c r="O424" t="inlineStr">
        <is>
          <t>relevant</t>
        </is>
      </c>
      <c r="P424" t="b">
        <v>1</v>
      </c>
    </row>
    <row r="425">
      <c r="A425" t="inlineStr">
        <is>
          <t>vivienne westwood</t>
        </is>
      </c>
      <c r="B425" t="inlineStr">
        <is>
          <t>vivienne westwood</t>
        </is>
      </c>
      <c r="C425" t="n">
        <v>1664978559</v>
      </c>
      <c r="D425">
        <f>HYPERLINK("https://www.etsy.com/listing/1664978559", "link")</f>
        <v/>
      </c>
      <c r="E425">
        <f>HYPERLINK("https://atlas.etsycorp.com/listing/1664978559/lookup", "link")</f>
        <v/>
      </c>
      <c r="F425" t="inlineStr">
        <is>
          <t>Vintage Limited Edition Boudoir (Parfum) by Vivienne Westwood (1998) 20 ml</t>
        </is>
      </c>
      <c r="G425" t="inlineStr">
        <is>
          <t>EuwYHq-emCk0wJREUGyFy6hQiy14</t>
        </is>
      </c>
      <c r="H425" t="inlineStr">
        <is>
          <t>web</t>
        </is>
      </c>
      <c r="I425" t="inlineStr">
        <is>
          <t>de</t>
        </is>
      </c>
      <c r="J425" t="inlineStr">
        <is>
          <t>intl-de</t>
        </is>
      </c>
      <c r="K425" t="b">
        <v>1</v>
      </c>
      <c r="L425" t="inlineStr">
        <is>
          <t>relevant</t>
        </is>
      </c>
      <c r="M425" t="inlineStr">
        <is>
          <t>relevant</t>
        </is>
      </c>
      <c r="N425" t="inlineStr">
        <is>
          <t>relevant</t>
        </is>
      </c>
      <c r="O425" t="inlineStr">
        <is>
          <t>relevant</t>
        </is>
      </c>
      <c r="P425" t="b">
        <v>1</v>
      </c>
    </row>
    <row r="426">
      <c r="A426" t="inlineStr">
        <is>
          <t>tavolo giardino ferro</t>
        </is>
      </c>
      <c r="B426" t="inlineStr">
        <is>
          <t>iron garden table</t>
        </is>
      </c>
      <c r="C426" t="n">
        <v>1416200490</v>
      </c>
      <c r="D426">
        <f>HYPERLINK("https://www.etsy.com/listing/1416200490", "link")</f>
        <v/>
      </c>
      <c r="E426">
        <f>HYPERLINK("https://atlas.etsycorp.com/listing/1416200490/lookup", "link")</f>
        <v/>
      </c>
      <c r="F426" t="inlineStr">
        <is>
          <t>Italian Outdoor Table + Iron Base | Volcanic Table | Lemon Outdoor Table | Hand Painted Table | Italian Patio Table | Lemon Patio Decor</t>
        </is>
      </c>
      <c r="G426" t="inlineStr">
        <is>
          <t>Eu6nZ5W6Aqn23hOkwdGmZRWevhfc</t>
        </is>
      </c>
      <c r="H426" t="inlineStr">
        <is>
          <t>web</t>
        </is>
      </c>
      <c r="I426" t="inlineStr">
        <is>
          <t>it</t>
        </is>
      </c>
      <c r="J426" t="inlineStr">
        <is>
          <t>intl-it</t>
        </is>
      </c>
      <c r="K426" t="b">
        <v>1</v>
      </c>
      <c r="L426" t="inlineStr">
        <is>
          <t>partial</t>
        </is>
      </c>
      <c r="M426" t="inlineStr">
        <is>
          <t>partial</t>
        </is>
      </c>
      <c r="N426" t="inlineStr">
        <is>
          <t>relevant</t>
        </is>
      </c>
      <c r="O426" t="inlineStr">
        <is>
          <t>partial</t>
        </is>
      </c>
      <c r="P426" t="b">
        <v>1</v>
      </c>
    </row>
    <row r="427">
      <c r="A427" t="inlineStr">
        <is>
          <t>kajol</t>
        </is>
      </c>
      <c r="B427" t="inlineStr">
        <is>
          <t>kajol</t>
        </is>
      </c>
      <c r="C427" t="n">
        <v>1420978058</v>
      </c>
      <c r="D427">
        <f>HYPERLINK("https://www.etsy.com/listing/1420978058", "link")</f>
        <v/>
      </c>
      <c r="E427">
        <f>HYPERLINK("https://atlas.etsycorp.com/listing/1420978058/lookup", "link")</f>
        <v/>
      </c>
      <c r="F427" t="inlineStr">
        <is>
          <t>Shahrukh khan shirt, Shahrukh khan vintage t-shirt, bollywood shirt, desi clothing, desi shirt, indian shirt, King of Bollywood</t>
        </is>
      </c>
      <c r="G427" t="inlineStr">
        <is>
          <t>EuWmCFch8_Kyj4yvApEKS9E9_6e4</t>
        </is>
      </c>
      <c r="H427" t="inlineStr">
        <is>
          <t>web</t>
        </is>
      </c>
      <c r="I427" t="inlineStr">
        <is>
          <t>fr</t>
        </is>
      </c>
      <c r="J427" t="inlineStr">
        <is>
          <t>intl-fr</t>
        </is>
      </c>
      <c r="K427" t="b">
        <v>1</v>
      </c>
      <c r="L427" t="inlineStr">
        <is>
          <t>not_relevant</t>
        </is>
      </c>
      <c r="M427" t="inlineStr">
        <is>
          <t>not_relevant</t>
        </is>
      </c>
      <c r="N427" t="inlineStr">
        <is>
          <t>not_relevant</t>
        </is>
      </c>
      <c r="O427" t="inlineStr">
        <is>
          <t>not_relevant</t>
        </is>
      </c>
      <c r="P427" t="b">
        <v>1</v>
      </c>
    </row>
    <row r="428">
      <c r="A428" t="inlineStr">
        <is>
          <t>vestido de novia</t>
        </is>
      </c>
      <c r="B428" t="inlineStr">
        <is>
          <t>wedding dress</t>
        </is>
      </c>
      <c r="C428" t="n">
        <v>1454454151</v>
      </c>
      <c r="D428">
        <f>HYPERLINK("https://www.etsy.com/listing/1454454151", "link")</f>
        <v/>
      </c>
      <c r="E428">
        <f>HYPERLINK("https://atlas.etsycorp.com/listing/1454454151/lookup", "link")</f>
        <v/>
      </c>
      <c r="F428" t="inlineStr">
        <is>
          <t>Maggie Lace boho dress, bohemian Wedding, Maternity boho dress, Maternity lace gown, dress for maternity session/ queen design</t>
        </is>
      </c>
      <c r="G428" t="inlineStr">
        <is>
          <t>EuOD4FdOmJpVC2mljEb7XVOelV5e</t>
        </is>
      </c>
      <c r="H428" t="inlineStr">
        <is>
          <t>web</t>
        </is>
      </c>
      <c r="I428" t="inlineStr">
        <is>
          <t>es</t>
        </is>
      </c>
      <c r="J428" t="inlineStr">
        <is>
          <t>intl-es</t>
        </is>
      </c>
      <c r="K428" t="b">
        <v>1</v>
      </c>
      <c r="L428" t="inlineStr">
        <is>
          <t>relevant</t>
        </is>
      </c>
      <c r="M428" t="inlineStr">
        <is>
          <t>relevant</t>
        </is>
      </c>
      <c r="N428" t="inlineStr">
        <is>
          <t>relevant</t>
        </is>
      </c>
      <c r="O428" t="inlineStr">
        <is>
          <t>relevant</t>
        </is>
      </c>
      <c r="P428" t="b">
        <v>1</v>
      </c>
    </row>
    <row r="429">
      <c r="A429" t="inlineStr">
        <is>
          <t>abendtasche blau glitzer</t>
        </is>
      </c>
      <c r="B429" t="inlineStr">
        <is>
          <t>evening bag blue glitter</t>
        </is>
      </c>
      <c r="C429" t="n">
        <v>642538261</v>
      </c>
      <c r="D429">
        <f>HYPERLINK("https://www.etsy.com/listing/642538261", "link")</f>
        <v/>
      </c>
      <c r="E429">
        <f>HYPERLINK("https://atlas.etsycorp.com/listing/642538261/lookup", "link")</f>
        <v/>
      </c>
      <c r="F429" t="inlineStr">
        <is>
          <t>Navy blue suedette wedding clutch bag, golden sequins / Customizable evening clutch bag with or without chain /  women&amp;#39;s handbag</t>
        </is>
      </c>
      <c r="G429" t="inlineStr">
        <is>
          <t>Eu1VSvfajn6XfZC280O0s0VF7hf9</t>
        </is>
      </c>
      <c r="H429" t="inlineStr">
        <is>
          <t>boe</t>
        </is>
      </c>
      <c r="I429" t="inlineStr">
        <is>
          <t>de</t>
        </is>
      </c>
      <c r="J429" t="inlineStr">
        <is>
          <t>intl-de</t>
        </is>
      </c>
      <c r="K429" t="b">
        <v>1</v>
      </c>
      <c r="L429" t="inlineStr">
        <is>
          <t>partial</t>
        </is>
      </c>
      <c r="M429" t="inlineStr">
        <is>
          <t>partial</t>
        </is>
      </c>
      <c r="N429" t="inlineStr">
        <is>
          <t>partial</t>
        </is>
      </c>
      <c r="O429" t="inlineStr">
        <is>
          <t>partial</t>
        </is>
      </c>
      <c r="P429" t="b">
        <v>1</v>
      </c>
    </row>
    <row r="430">
      <c r="A430" t="inlineStr">
        <is>
          <t>linen</t>
        </is>
      </c>
      <c r="B430" t="inlineStr">
        <is>
          <t>linen</t>
        </is>
      </c>
      <c r="C430" t="n">
        <v>1537131760</v>
      </c>
      <c r="D430">
        <f>HYPERLINK("https://www.etsy.com/listing/1537131760", "link")</f>
        <v/>
      </c>
      <c r="E430">
        <f>HYPERLINK("https://atlas.etsycorp.com/listing/1537131760/lookup", "link")</f>
        <v/>
      </c>
      <c r="F430" t="inlineStr">
        <is>
          <t>Loose Linen Pants Tilda, elastic waist pants, women linen trousers, casual trousers, soft linen pants, linen trousers | Optional Embroidery</t>
        </is>
      </c>
      <c r="G430" t="inlineStr">
        <is>
          <t>EuD2W1icGa_fisQX8dqq9ct9WMd9</t>
        </is>
      </c>
      <c r="H430" t="inlineStr">
        <is>
          <t>boe</t>
        </is>
      </c>
      <c r="I430" t="inlineStr">
        <is>
          <t>ru</t>
        </is>
      </c>
      <c r="J430" t="inlineStr">
        <is>
          <t>intl-ru</t>
        </is>
      </c>
      <c r="K430" t="b">
        <v>1</v>
      </c>
      <c r="L430" t="inlineStr">
        <is>
          <t>relevant</t>
        </is>
      </c>
      <c r="M430" t="inlineStr">
        <is>
          <t>relevant</t>
        </is>
      </c>
      <c r="N430" t="inlineStr">
        <is>
          <t>relevant</t>
        </is>
      </c>
      <c r="O430" t="inlineStr">
        <is>
          <t>relevant</t>
        </is>
      </c>
      <c r="P430" t="b">
        <v>1</v>
      </c>
    </row>
    <row r="431">
      <c r="A431" t="inlineStr">
        <is>
          <t>mitski shoulder bag</t>
        </is>
      </c>
      <c r="B431" t="inlineStr"/>
      <c r="C431" t="n">
        <v>1609621940</v>
      </c>
      <c r="D431">
        <f>HYPERLINK("https://www.etsy.com/listing/1609621940", "link")</f>
        <v/>
      </c>
      <c r="E431">
        <f>HYPERLINK("https://atlas.etsycorp.com/listing/1609621940/lookup", "link")</f>
        <v/>
      </c>
      <c r="F431" t="inlineStr">
        <is>
          <t>Mitski My love mine all mine purple poster aesthetic</t>
        </is>
      </c>
      <c r="G431" t="inlineStr">
        <is>
          <t>Euikbd6paUeZAZUT1ycgqt_usW6a</t>
        </is>
      </c>
      <c r="H431" t="inlineStr">
        <is>
          <t>boe</t>
        </is>
      </c>
      <c r="I431" t="inlineStr">
        <is>
          <t>en-US</t>
        </is>
      </c>
      <c r="J431" t="inlineStr">
        <is>
          <t>us_v2-direct_unspecified</t>
        </is>
      </c>
      <c r="K431" t="b">
        <v>1</v>
      </c>
      <c r="L431" t="inlineStr">
        <is>
          <t>not_relevant</t>
        </is>
      </c>
      <c r="M431" t="inlineStr">
        <is>
          <t>not_relevant</t>
        </is>
      </c>
      <c r="N431" t="inlineStr">
        <is>
          <t>partial</t>
        </is>
      </c>
      <c r="O431" t="inlineStr">
        <is>
          <t>not_relevant</t>
        </is>
      </c>
      <c r="P431" t="b">
        <v>1</v>
      </c>
    </row>
    <row r="432">
      <c r="A432" t="inlineStr">
        <is>
          <t>miraculous ladybug stickers</t>
        </is>
      </c>
      <c r="B432" t="inlineStr">
        <is>
          <t>miraculous ladybug stickers</t>
        </is>
      </c>
      <c r="C432" t="n">
        <v>1298684884</v>
      </c>
      <c r="D432">
        <f>HYPERLINK("https://www.etsy.com/listing/1298684884", "link")</f>
        <v/>
      </c>
      <c r="E432">
        <f>HYPERLINK("https://atlas.etsycorp.com/listing/1298684884/lookup", "link")</f>
        <v/>
      </c>
      <c r="F432" t="inlineStr">
        <is>
          <t>Silver Tiny Ladybug Stud Earrings - Sterling Silver</t>
        </is>
      </c>
      <c r="G432" t="inlineStr">
        <is>
          <t>Eu6ynwnTsbTWehGAqPCXRmsiX_56</t>
        </is>
      </c>
      <c r="H432" t="inlineStr">
        <is>
          <t>boe</t>
        </is>
      </c>
      <c r="I432" t="inlineStr">
        <is>
          <t>de</t>
        </is>
      </c>
      <c r="J432" t="inlineStr">
        <is>
          <t>intl-de</t>
        </is>
      </c>
      <c r="K432" t="b">
        <v>1</v>
      </c>
      <c r="L432" t="inlineStr">
        <is>
          <t>not_relevant</t>
        </is>
      </c>
      <c r="M432" t="inlineStr">
        <is>
          <t>not_relevant</t>
        </is>
      </c>
      <c r="N432" t="inlineStr">
        <is>
          <t>not_relevant</t>
        </is>
      </c>
      <c r="O432" t="inlineStr">
        <is>
          <t>not_relevant</t>
        </is>
      </c>
      <c r="P432" t="b">
        <v>1</v>
      </c>
    </row>
    <row r="433">
      <c r="A433" t="inlineStr">
        <is>
          <t>scott pilgrim</t>
        </is>
      </c>
      <c r="B433" t="inlineStr">
        <is>
          <t>scott pilgrim</t>
        </is>
      </c>
      <c r="C433" t="n">
        <v>1643291230</v>
      </c>
      <c r="D433">
        <f>HYPERLINK("https://www.etsy.com/listing/1643291230", "link")</f>
        <v/>
      </c>
      <c r="E433">
        <f>HYPERLINK("https://atlas.etsycorp.com/listing/1643291230/lookup", "link")</f>
        <v/>
      </c>
      <c r="F433" t="inlineStr">
        <is>
          <t>Ramona Flowers sticker</t>
        </is>
      </c>
      <c r="G433" t="inlineStr">
        <is>
          <t>Eu2bwisBxZ-Rpg9ERY3QYIyz0cf8</t>
        </is>
      </c>
      <c r="H433" t="inlineStr">
        <is>
          <t>boe</t>
        </is>
      </c>
      <c r="I433" t="inlineStr">
        <is>
          <t>es</t>
        </is>
      </c>
      <c r="J433" t="inlineStr">
        <is>
          <t>intl-es</t>
        </is>
      </c>
      <c r="K433" t="b">
        <v>1</v>
      </c>
      <c r="L433" t="inlineStr">
        <is>
          <t>not_relevant</t>
        </is>
      </c>
      <c r="M433" t="inlineStr">
        <is>
          <t>not_relevant</t>
        </is>
      </c>
      <c r="N433" t="inlineStr">
        <is>
          <t>not_relevant</t>
        </is>
      </c>
      <c r="O433" t="inlineStr">
        <is>
          <t>relevant</t>
        </is>
      </c>
      <c r="P433" t="b">
        <v>1</v>
      </c>
    </row>
    <row r="434">
      <c r="A434" t="inlineStr">
        <is>
          <t>ヤギ毛</t>
        </is>
      </c>
      <c r="B434" t="inlineStr">
        <is>
          <t>Goat hair</t>
        </is>
      </c>
      <c r="C434" t="n">
        <v>1229577795</v>
      </c>
      <c r="D434">
        <f>HYPERLINK("https://www.etsy.com/listing/1229577795", "link")</f>
        <v/>
      </c>
      <c r="E434">
        <f>HYPERLINK("https://atlas.etsycorp.com/listing/1229577795/lookup", "link")</f>
        <v/>
      </c>
      <c r="F434" t="inlineStr">
        <is>
          <t>For vinyl fans ! Goat Hair Plate Brush | With desired engraving</t>
        </is>
      </c>
      <c r="G434" t="inlineStr">
        <is>
          <t>EuiyDvJc_ctSHD6v1rrk9Ca9Nf0b</t>
        </is>
      </c>
      <c r="H434" t="inlineStr">
        <is>
          <t>web</t>
        </is>
      </c>
      <c r="I434" t="inlineStr">
        <is>
          <t>ja</t>
        </is>
      </c>
      <c r="J434" t="inlineStr">
        <is>
          <t>intl-ja</t>
        </is>
      </c>
      <c r="K434" t="b">
        <v>1</v>
      </c>
      <c r="L434" t="inlineStr">
        <is>
          <t>relevant</t>
        </is>
      </c>
      <c r="M434" t="inlineStr">
        <is>
          <t>relevant</t>
        </is>
      </c>
      <c r="N434" t="inlineStr">
        <is>
          <t>relevant</t>
        </is>
      </c>
      <c r="O434" t="inlineStr">
        <is>
          <t>relevant</t>
        </is>
      </c>
      <c r="P434" t="b">
        <v>1</v>
      </c>
    </row>
    <row r="435">
      <c r="A435" t="inlineStr">
        <is>
          <t>Custom womens clothing</t>
        </is>
      </c>
      <c r="B435" t="inlineStr">
        <is>
          <t>custom womens clothing</t>
        </is>
      </c>
      <c r="C435" t="n">
        <v>945667492</v>
      </c>
      <c r="D435">
        <f>HYPERLINK("https://www.etsy.com/listing/945667492", "link")</f>
        <v/>
      </c>
      <c r="E435">
        <f>HYPERLINK("https://atlas.etsycorp.com/listing/945667492/lookup", "link")</f>
        <v/>
      </c>
      <c r="F435" t="inlineStr">
        <is>
          <t>Brown tapered pleated corduroy high waisted pants, Velvet pants, Corduroy trousers women IPANTS BA30051</t>
        </is>
      </c>
      <c r="G435" t="inlineStr">
        <is>
          <t>Eurzil0uQLnvX1UxRPYn8pszPjed</t>
        </is>
      </c>
      <c r="H435" t="inlineStr">
        <is>
          <t>boe</t>
        </is>
      </c>
      <c r="I435" t="inlineStr">
        <is>
          <t>es</t>
        </is>
      </c>
      <c r="J435" t="inlineStr">
        <is>
          <t>intl-es</t>
        </is>
      </c>
      <c r="K435" t="b">
        <v>1</v>
      </c>
      <c r="L435" t="inlineStr">
        <is>
          <t>relevant</t>
        </is>
      </c>
      <c r="M435" t="inlineStr">
        <is>
          <t>relevant</t>
        </is>
      </c>
      <c r="N435" t="inlineStr">
        <is>
          <t>relevant</t>
        </is>
      </c>
      <c r="O435" t="inlineStr">
        <is>
          <t>relevant</t>
        </is>
      </c>
      <c r="P435" t="b">
        <v>1</v>
      </c>
    </row>
    <row r="436">
      <c r="A436" t="inlineStr">
        <is>
          <t>ohrringe</t>
        </is>
      </c>
      <c r="B436" t="inlineStr">
        <is>
          <t>earrings</t>
        </is>
      </c>
      <c r="C436" t="n">
        <v>970940731</v>
      </c>
      <c r="D436">
        <f>HYPERLINK("https://www.etsy.com/listing/970940731", "link")</f>
        <v/>
      </c>
      <c r="E436">
        <f>HYPERLINK("https://atlas.etsycorp.com/listing/970940731/lookup", "link")</f>
        <v/>
      </c>
      <c r="F436" t="inlineStr">
        <is>
          <t>Hu Tao&amp;#39;s Ghost Plush Keychain</t>
        </is>
      </c>
      <c r="G436" t="inlineStr">
        <is>
          <t>EuGdCJEGyiWz-cOCEeeU2rtnlm5a</t>
        </is>
      </c>
      <c r="H436" t="inlineStr">
        <is>
          <t>web</t>
        </is>
      </c>
      <c r="I436" t="inlineStr">
        <is>
          <t>de</t>
        </is>
      </c>
      <c r="J436" t="inlineStr">
        <is>
          <t>intl-de</t>
        </is>
      </c>
      <c r="K436" t="b">
        <v>1</v>
      </c>
      <c r="L436" t="inlineStr">
        <is>
          <t>not_relevant</t>
        </is>
      </c>
      <c r="M436" t="inlineStr">
        <is>
          <t>not_relevant</t>
        </is>
      </c>
      <c r="N436" t="inlineStr">
        <is>
          <t>not_relevant</t>
        </is>
      </c>
      <c r="O436" t="inlineStr">
        <is>
          <t>not_relevant</t>
        </is>
      </c>
      <c r="P436" t="b">
        <v>1</v>
      </c>
    </row>
    <row r="437">
      <c r="A437" t="inlineStr">
        <is>
          <t>funny gaming sticker</t>
        </is>
      </c>
      <c r="B437" t="inlineStr"/>
      <c r="C437" t="n">
        <v>1572093752</v>
      </c>
      <c r="D437">
        <f>HYPERLINK("https://www.etsy.com/listing/1572093752", "link")</f>
        <v/>
      </c>
      <c r="E437">
        <f>HYPERLINK("https://atlas.etsycorp.com/listing/1572093752/lookup", "link")</f>
        <v/>
      </c>
      <c r="F437" t="inlineStr">
        <is>
          <t>Karlach Baldur&amp;#39;s Gate I Want My Mommy Shirt, Baulders Baldur Shirt, Baldurs Gate Bulders Karlach Merch</t>
        </is>
      </c>
      <c r="G437" t="inlineStr">
        <is>
          <t>EuGNoyxqRQbr-N_9ES8kXLppm33c</t>
        </is>
      </c>
      <c r="H437" t="inlineStr">
        <is>
          <t>web</t>
        </is>
      </c>
      <c r="I437" t="inlineStr">
        <is>
          <t>en-US</t>
        </is>
      </c>
      <c r="J437" t="inlineStr">
        <is>
          <t>us_v2-direct_specified</t>
        </is>
      </c>
      <c r="K437" t="b">
        <v>1</v>
      </c>
      <c r="L437" t="inlineStr">
        <is>
          <t>not_relevant</t>
        </is>
      </c>
      <c r="M437" t="inlineStr">
        <is>
          <t>not_relevant</t>
        </is>
      </c>
      <c r="N437" t="inlineStr">
        <is>
          <t>not_relevant</t>
        </is>
      </c>
      <c r="O437" t="inlineStr">
        <is>
          <t>not_relevant</t>
        </is>
      </c>
      <c r="P437" t="b">
        <v>1</v>
      </c>
    </row>
    <row r="438">
      <c r="A438" t="inlineStr">
        <is>
          <t>cat harry potter</t>
        </is>
      </c>
      <c r="B438" t="inlineStr"/>
      <c r="C438" t="n">
        <v>834921724</v>
      </c>
      <c r="D438">
        <f>HYPERLINK("https://www.etsy.com/listing/834921724", "link")</f>
        <v/>
      </c>
      <c r="E438">
        <f>HYPERLINK("https://atlas.etsycorp.com/listing/834921724/lookup", "link")</f>
        <v/>
      </c>
      <c r="F438" t="inlineStr">
        <is>
          <t>Soup Bowl Cozy</t>
        </is>
      </c>
      <c r="G438" t="inlineStr">
        <is>
          <t>EuoY74SCzKmAzsWhRVEgK5BYWk2b</t>
        </is>
      </c>
      <c r="H438" t="inlineStr">
        <is>
          <t>web</t>
        </is>
      </c>
      <c r="I438" t="inlineStr">
        <is>
          <t>en-US</t>
        </is>
      </c>
      <c r="J438" t="inlineStr">
        <is>
          <t>us_v2-broad</t>
        </is>
      </c>
      <c r="K438" t="b">
        <v>1</v>
      </c>
      <c r="L438" t="inlineStr">
        <is>
          <t>not_relevant</t>
        </is>
      </c>
      <c r="M438" t="inlineStr">
        <is>
          <t>not_relevant</t>
        </is>
      </c>
      <c r="N438" t="inlineStr">
        <is>
          <t>not_relevant</t>
        </is>
      </c>
      <c r="O438" t="inlineStr">
        <is>
          <t>not_relevant</t>
        </is>
      </c>
      <c r="P438" t="b">
        <v>1</v>
      </c>
    </row>
    <row r="439">
      <c r="A439" t="inlineStr">
        <is>
          <t>toilet prints funny</t>
        </is>
      </c>
      <c r="B439" t="inlineStr"/>
      <c r="C439" t="n">
        <v>1500678498</v>
      </c>
      <c r="D439">
        <f>HYPERLINK("https://www.etsy.com/listing/1500678498", "link")</f>
        <v/>
      </c>
      <c r="E439">
        <f>HYPERLINK("https://atlas.etsycorp.com/listing/1500678498/lookup", "link")</f>
        <v/>
      </c>
      <c r="F439" t="inlineStr">
        <is>
          <t>Funny bathroom , Bathroom bum, Bathroom wall art, framed prints, , funny bathroom prints, bathroom art, home decor prints, bathroom poster</t>
        </is>
      </c>
      <c r="G439" t="inlineStr">
        <is>
          <t>EuRiCRBYACI2TyHB7cAtIPSAbOff</t>
        </is>
      </c>
      <c r="H439" t="inlineStr">
        <is>
          <t>boe</t>
        </is>
      </c>
      <c r="I439" t="inlineStr">
        <is>
          <t>en-GB</t>
        </is>
      </c>
      <c r="J439" t="inlineStr">
        <is>
          <t>us_v2-direct_specified</t>
        </is>
      </c>
      <c r="K439" t="b">
        <v>1</v>
      </c>
      <c r="L439" t="inlineStr">
        <is>
          <t>partial</t>
        </is>
      </c>
      <c r="M439" t="inlineStr">
        <is>
          <t>partial</t>
        </is>
      </c>
      <c r="N439" t="inlineStr">
        <is>
          <t>relevant</t>
        </is>
      </c>
      <c r="O439" t="inlineStr">
        <is>
          <t>partial</t>
        </is>
      </c>
      <c r="P439" t="b">
        <v>1</v>
      </c>
    </row>
    <row r="440">
      <c r="A440" t="inlineStr">
        <is>
          <t>kids valentines</t>
        </is>
      </c>
      <c r="B440" t="inlineStr"/>
      <c r="C440" t="n">
        <v>1639077044</v>
      </c>
      <c r="D440">
        <f>HYPERLINK("https://www.etsy.com/listing/1639077044", "link")</f>
        <v/>
      </c>
      <c r="E440">
        <f>HYPERLINK("https://atlas.etsycorp.com/listing/1639077044/lookup", "link")</f>
        <v/>
      </c>
      <c r="F440" t="inlineStr">
        <is>
          <t>Personalised Easter Chocolate Cadbury Dairy Milk for Son Daughter Husband</t>
        </is>
      </c>
      <c r="G440" t="inlineStr">
        <is>
          <t>Euv5w1W5blnPrVkFeFkLzKeU13ec</t>
        </is>
      </c>
      <c r="H440" t="inlineStr">
        <is>
          <t>boe</t>
        </is>
      </c>
      <c r="I440" t="inlineStr">
        <is>
          <t>en-GB</t>
        </is>
      </c>
      <c r="J440" t="inlineStr">
        <is>
          <t>us_v2-broad</t>
        </is>
      </c>
      <c r="K440" t="b">
        <v>1</v>
      </c>
      <c r="L440" t="inlineStr">
        <is>
          <t>not_relevant</t>
        </is>
      </c>
      <c r="M440" t="inlineStr">
        <is>
          <t>not_relevant</t>
        </is>
      </c>
      <c r="N440" t="inlineStr">
        <is>
          <t>not_relevant</t>
        </is>
      </c>
      <c r="O440" t="inlineStr">
        <is>
          <t>not_relevant</t>
        </is>
      </c>
      <c r="P440" t="b">
        <v>1</v>
      </c>
    </row>
    <row r="441">
      <c r="A441" t="inlineStr">
        <is>
          <t>custom carrier trays</t>
        </is>
      </c>
      <c r="B441" t="inlineStr"/>
      <c r="C441" t="n">
        <v>1658143860</v>
      </c>
      <c r="D441">
        <f>HYPERLINK("https://www.etsy.com/listing/1658143860", "link")</f>
        <v/>
      </c>
      <c r="E441">
        <f>HYPERLINK("https://atlas.etsycorp.com/listing/1658143860/lookup", "link")</f>
        <v/>
      </c>
      <c r="F441" t="inlineStr">
        <is>
          <t>Postal Vehicle Cup Holder</t>
        </is>
      </c>
      <c r="G441" t="inlineStr">
        <is>
          <t>EuQ0sniheYtRuA4Yd-Al17pWDs9e</t>
        </is>
      </c>
      <c r="H441" t="inlineStr">
        <is>
          <t>boe</t>
        </is>
      </c>
      <c r="I441" t="inlineStr">
        <is>
          <t>en-US</t>
        </is>
      </c>
      <c r="J441" t="inlineStr">
        <is>
          <t>us_v2-direct_unspecified</t>
        </is>
      </c>
      <c r="K441" t="b">
        <v>1</v>
      </c>
      <c r="L441" t="inlineStr">
        <is>
          <t>not_relevant</t>
        </is>
      </c>
      <c r="M441" t="inlineStr">
        <is>
          <t>not_relevant</t>
        </is>
      </c>
      <c r="N441" t="inlineStr">
        <is>
          <t>partial</t>
        </is>
      </c>
      <c r="O441" t="inlineStr">
        <is>
          <t>not_relevant</t>
        </is>
      </c>
      <c r="P441" t="b">
        <v>1</v>
      </c>
    </row>
    <row r="442">
      <c r="A442" t="inlineStr">
        <is>
          <t>gift basket for women</t>
        </is>
      </c>
      <c r="B442" t="inlineStr"/>
      <c r="C442" t="n">
        <v>942708705</v>
      </c>
      <c r="D442">
        <f>HYPERLINK("https://www.etsy.com/listing/942708705", "link")</f>
        <v/>
      </c>
      <c r="E442">
        <f>HYPERLINK("https://atlas.etsycorp.com/listing/942708705/lookup", "link")</f>
        <v/>
      </c>
      <c r="F442" t="inlineStr">
        <is>
          <t>Personalized Galentine&amp;#39;s Day Gift For Her, Valentines Gift Box Spa Set For Women, Self Care Gift for Best Friend BFF, Mom, Coworker (Va1)</t>
        </is>
      </c>
      <c r="G442" t="inlineStr">
        <is>
          <t>EuBQeCjPX44p9Dw1H4tmW8NNbJ01</t>
        </is>
      </c>
      <c r="H442" t="inlineStr">
        <is>
          <t>web</t>
        </is>
      </c>
      <c r="I442" t="inlineStr">
        <is>
          <t>en-US</t>
        </is>
      </c>
      <c r="J442" t="inlineStr">
        <is>
          <t>us_v2-direct_unspecified</t>
        </is>
      </c>
      <c r="K442" t="b">
        <v>1</v>
      </c>
      <c r="L442" t="inlineStr">
        <is>
          <t>partial</t>
        </is>
      </c>
      <c r="M442" t="inlineStr">
        <is>
          <t>partial</t>
        </is>
      </c>
      <c r="N442" t="inlineStr">
        <is>
          <t>partial</t>
        </is>
      </c>
      <c r="O442" t="inlineStr">
        <is>
          <t>partial</t>
        </is>
      </c>
      <c r="P442" t="b">
        <v>1</v>
      </c>
    </row>
    <row r="443">
      <c r="A443" t="inlineStr">
        <is>
          <t>hoja para pluma</t>
        </is>
      </c>
      <c r="B443" t="inlineStr">
        <is>
          <t>pen sheet</t>
        </is>
      </c>
      <c r="C443" t="n">
        <v>1504519820</v>
      </c>
      <c r="D443">
        <f>HYPERLINK("https://www.etsy.com/listing/1504519820", "link")</f>
        <v/>
      </c>
      <c r="E443">
        <f>HYPERLINK("https://atlas.etsycorp.com/listing/1504519820/lookup", "link")</f>
        <v/>
      </c>
      <c r="F443" t="inlineStr">
        <is>
          <t>Fox on the Dunes A5 letter writing paper, Pen pal supplies, Stationery lined or unlined letter sheets, Cute notepaper with or without lines</t>
        </is>
      </c>
      <c r="G443" t="inlineStr">
        <is>
          <t>EuUT1c-N3wd4tEwRzl1yKSTFi113</t>
        </is>
      </c>
      <c r="H443" t="inlineStr">
        <is>
          <t>web</t>
        </is>
      </c>
      <c r="I443" t="inlineStr">
        <is>
          <t>es</t>
        </is>
      </c>
      <c r="J443" t="inlineStr">
        <is>
          <t>intl-es</t>
        </is>
      </c>
      <c r="K443" t="b">
        <v>1</v>
      </c>
      <c r="L443" t="inlineStr">
        <is>
          <t>partial</t>
        </is>
      </c>
      <c r="M443" t="inlineStr">
        <is>
          <t>partial</t>
        </is>
      </c>
      <c r="N443" t="inlineStr">
        <is>
          <t>partial</t>
        </is>
      </c>
      <c r="O443" t="inlineStr">
        <is>
          <t>partial</t>
        </is>
      </c>
      <c r="P443" t="b">
        <v>1</v>
      </c>
    </row>
    <row r="444">
      <c r="A444" t="inlineStr">
        <is>
          <t>fun facts 1974 belgie</t>
        </is>
      </c>
      <c r="B444" t="inlineStr">
        <is>
          <t>fun facts 1974 belgium</t>
        </is>
      </c>
      <c r="C444" t="n">
        <v>1403457727</v>
      </c>
      <c r="D444">
        <f>HYPERLINK("https://www.etsy.com/listing/1403457727", "link")</f>
        <v/>
      </c>
      <c r="E444">
        <f>HYPERLINK("https://atlas.etsycorp.com/listing/1403457727/lookup", "link")</f>
        <v/>
      </c>
      <c r="F444" t="inlineStr">
        <is>
          <t>1974 Birthday Sign, Birthday Sign, Peace and Love, Hippie, Boho, Facts, Instant Download</t>
        </is>
      </c>
      <c r="G444" t="inlineStr">
        <is>
          <t>EuU7unOBSnmN8Vylz8ttIxlL96c9</t>
        </is>
      </c>
      <c r="H444" t="inlineStr">
        <is>
          <t>web</t>
        </is>
      </c>
      <c r="I444" t="inlineStr">
        <is>
          <t>nl</t>
        </is>
      </c>
      <c r="J444" t="inlineStr">
        <is>
          <t>intl-nl</t>
        </is>
      </c>
      <c r="K444" t="b">
        <v>1</v>
      </c>
      <c r="L444" t="inlineStr">
        <is>
          <t>not_relevant</t>
        </is>
      </c>
      <c r="M444" t="inlineStr">
        <is>
          <t>not_relevant</t>
        </is>
      </c>
      <c r="N444" t="inlineStr">
        <is>
          <t>not_relevant</t>
        </is>
      </c>
      <c r="O444" t="inlineStr">
        <is>
          <t>partial</t>
        </is>
      </c>
      <c r="P444" t="b">
        <v>1</v>
      </c>
    </row>
    <row r="445">
      <c r="A445" t="inlineStr">
        <is>
          <t>couple gift</t>
        </is>
      </c>
      <c r="B445" t="inlineStr"/>
      <c r="C445" t="n">
        <v>1403034980</v>
      </c>
      <c r="D445">
        <f>HYPERLINK("https://www.etsy.com/listing/1403034980", "link")</f>
        <v/>
      </c>
      <c r="E445">
        <f>HYPERLINK("https://atlas.etsycorp.com/listing/1403034980/lookup", "link")</f>
        <v/>
      </c>
      <c r="F445" t="inlineStr">
        <is>
          <t>Personalised Engagement Bottle Box Personalised Cork Collector Engagement Gift Present Engaged Champagne Cork Wooden Bottle Box Couple Gifts</t>
        </is>
      </c>
      <c r="G445" t="inlineStr">
        <is>
          <t>EuRzLzYJYIxaqzOUhjCpaY34r2da</t>
        </is>
      </c>
      <c r="H445" t="inlineStr">
        <is>
          <t>boe</t>
        </is>
      </c>
      <c r="I445" t="inlineStr">
        <is>
          <t>en-GB</t>
        </is>
      </c>
      <c r="J445" t="inlineStr">
        <is>
          <t>us_v2-broad</t>
        </is>
      </c>
      <c r="K445" t="b">
        <v>1</v>
      </c>
      <c r="L445" t="inlineStr">
        <is>
          <t>relevant</t>
        </is>
      </c>
      <c r="M445" t="inlineStr">
        <is>
          <t>relevant</t>
        </is>
      </c>
      <c r="N445" t="inlineStr">
        <is>
          <t>relevant</t>
        </is>
      </c>
      <c r="O445" t="inlineStr">
        <is>
          <t>relevant</t>
        </is>
      </c>
      <c r="P445" t="b">
        <v>1</v>
      </c>
    </row>
    <row r="446">
      <c r="A446" t="inlineStr">
        <is>
          <t>monedas de fantasia</t>
        </is>
      </c>
      <c r="B446" t="inlineStr">
        <is>
          <t>fantasy coins</t>
        </is>
      </c>
      <c r="C446" t="n">
        <v>1140114156</v>
      </c>
      <c r="D446">
        <f>HYPERLINK("https://www.etsy.com/listing/1140114156", "link")</f>
        <v/>
      </c>
      <c r="E446">
        <f>HYPERLINK("https://atlas.etsycorp.com/listing/1140114156/lookup", "link")</f>
        <v/>
      </c>
      <c r="F446" t="inlineStr">
        <is>
          <t>Real Metal Coins with Dragon Design for D&amp;D TTRPGS LARP</t>
        </is>
      </c>
      <c r="G446" t="inlineStr">
        <is>
          <t>EuYMO9aILfGgDleJPStQ3pab3x1b</t>
        </is>
      </c>
      <c r="H446" t="inlineStr">
        <is>
          <t>web</t>
        </is>
      </c>
      <c r="I446" t="inlineStr">
        <is>
          <t>es</t>
        </is>
      </c>
      <c r="J446" t="inlineStr">
        <is>
          <t>intl-es</t>
        </is>
      </c>
      <c r="K446" t="b">
        <v>1</v>
      </c>
      <c r="L446" t="inlineStr">
        <is>
          <t>partial</t>
        </is>
      </c>
      <c r="M446" t="inlineStr">
        <is>
          <t>partial</t>
        </is>
      </c>
      <c r="N446" t="inlineStr">
        <is>
          <t>partial</t>
        </is>
      </c>
      <c r="O446" t="inlineStr">
        <is>
          <t>partial</t>
        </is>
      </c>
      <c r="P446" t="b">
        <v>1</v>
      </c>
    </row>
    <row r="447">
      <c r="A447" t="inlineStr">
        <is>
          <t>xaden riorson merch</t>
        </is>
      </c>
      <c r="B447" t="inlineStr"/>
      <c r="C447" t="n">
        <v>1572736179</v>
      </c>
      <c r="D447">
        <f>HYPERLINK("https://www.etsy.com/listing/1572736179", "link")</f>
        <v/>
      </c>
      <c r="E447">
        <f>HYPERLINK("https://atlas.etsycorp.com/listing/1572736179/lookup", "link")</f>
        <v/>
      </c>
      <c r="F447" t="inlineStr">
        <is>
          <t>Shadow Daddy Book Club Sweatshirt, Your Favorite Shadow Daddies Personalized Crewneck, Smut Bookish Merch, Romantasy Reader, Book Boyfriends</t>
        </is>
      </c>
      <c r="G447" t="inlineStr">
        <is>
          <t>EuOxnmW-lhL9kP-kydgcxOmLVP1e</t>
        </is>
      </c>
      <c r="H447" t="inlineStr">
        <is>
          <t>boe</t>
        </is>
      </c>
      <c r="I447" t="inlineStr">
        <is>
          <t>en-US</t>
        </is>
      </c>
      <c r="J447" t="inlineStr">
        <is>
          <t>us_v2-broad</t>
        </is>
      </c>
      <c r="K447" t="b">
        <v>1</v>
      </c>
      <c r="L447" t="inlineStr">
        <is>
          <t>partial</t>
        </is>
      </c>
      <c r="M447" t="inlineStr">
        <is>
          <t>partial</t>
        </is>
      </c>
      <c r="N447" t="inlineStr">
        <is>
          <t>partial</t>
        </is>
      </c>
      <c r="O447" t="inlineStr">
        <is>
          <t>partial</t>
        </is>
      </c>
      <c r="P447" t="b">
        <v>1</v>
      </c>
    </row>
    <row r="448">
      <c r="A448" t="inlineStr">
        <is>
          <t>aquarium statue</t>
        </is>
      </c>
      <c r="B448" t="inlineStr">
        <is>
          <t>aquarium statue</t>
        </is>
      </c>
      <c r="C448" t="n">
        <v>1750607727</v>
      </c>
      <c r="D448">
        <f>HYPERLINK("https://www.etsy.com/listing/1750607727", "link")</f>
        <v/>
      </c>
      <c r="E448">
        <f>HYPERLINK("https://atlas.etsycorp.com/listing/1750607727/lookup", "link")</f>
        <v/>
      </c>
      <c r="F448" t="inlineStr">
        <is>
          <t>Clown fish, small statue, coral reef, sea water, anemone, gift for birthdays</t>
        </is>
      </c>
      <c r="G448" t="inlineStr">
        <is>
          <t>Eu0d9TsA0-nb7E8YILBUjL_2Bte6</t>
        </is>
      </c>
      <c r="H448" t="inlineStr">
        <is>
          <t>boe</t>
        </is>
      </c>
      <c r="I448" t="inlineStr">
        <is>
          <t>fr</t>
        </is>
      </c>
      <c r="J448" t="inlineStr">
        <is>
          <t>intl-fr</t>
        </is>
      </c>
      <c r="K448" t="b">
        <v>1</v>
      </c>
      <c r="L448" t="inlineStr">
        <is>
          <t>relevant</t>
        </is>
      </c>
      <c r="M448" t="inlineStr">
        <is>
          <t>partial</t>
        </is>
      </c>
      <c r="N448" t="inlineStr">
        <is>
          <t>relevant</t>
        </is>
      </c>
      <c r="O448" t="inlineStr">
        <is>
          <t>relevant</t>
        </is>
      </c>
      <c r="P448" t="b">
        <v>1</v>
      </c>
    </row>
    <row r="449">
      <c r="A449" t="inlineStr">
        <is>
          <t>toddler girl mississippi state shirt</t>
        </is>
      </c>
      <c r="B449" t="inlineStr"/>
      <c r="C449" t="n">
        <v>1463829423</v>
      </c>
      <c r="D449">
        <f>HYPERLINK("https://www.etsy.com/listing/1463829423", "link")</f>
        <v/>
      </c>
      <c r="E449">
        <f>HYPERLINK("https://atlas.etsycorp.com/listing/1463829423/lookup", "link")</f>
        <v/>
      </c>
      <c r="F449" t="inlineStr">
        <is>
          <t>Gold Foil Preppy Pink Bulldog Pillow || Mississippi State Bully Pillow || MSU Dorm Pillow - 842</t>
        </is>
      </c>
      <c r="G449" t="inlineStr">
        <is>
          <t>Euwj24-99-hIS3-iFVvrl9CUOq2b</t>
        </is>
      </c>
      <c r="H449" t="inlineStr">
        <is>
          <t>web</t>
        </is>
      </c>
      <c r="I449" t="inlineStr">
        <is>
          <t>en-US</t>
        </is>
      </c>
      <c r="J449" t="inlineStr">
        <is>
          <t>us_v2-direct_specified</t>
        </is>
      </c>
      <c r="K449" t="b">
        <v>1</v>
      </c>
      <c r="L449" t="inlineStr">
        <is>
          <t>not_relevant</t>
        </is>
      </c>
      <c r="M449" t="inlineStr">
        <is>
          <t>partial</t>
        </is>
      </c>
      <c r="N449" t="inlineStr">
        <is>
          <t>not_relevant</t>
        </is>
      </c>
      <c r="O449" t="inlineStr">
        <is>
          <t>not_relevant</t>
        </is>
      </c>
      <c r="P449" t="b">
        <v>1</v>
      </c>
    </row>
    <row r="450">
      <c r="A450" t="inlineStr">
        <is>
          <t>hacienda bench</t>
        </is>
      </c>
      <c r="B450" t="inlineStr"/>
      <c r="C450" t="n">
        <v>1264012705</v>
      </c>
      <c r="D450">
        <f>HYPERLINK("https://www.etsy.com/listing/1264012705", "link")</f>
        <v/>
      </c>
      <c r="E450">
        <f>HYPERLINK("https://atlas.etsycorp.com/listing/1264012705/lookup", "link")</f>
        <v/>
      </c>
      <c r="F450" t="inlineStr">
        <is>
          <t>Haussmann® Wood Double Twist Stool Table 12 in SQ x 20 in H Walnut Oil</t>
        </is>
      </c>
      <c r="G450" t="inlineStr">
        <is>
          <t>Eu8IURZRzPApUigpHZUkacW5o59b</t>
        </is>
      </c>
      <c r="H450" t="inlineStr">
        <is>
          <t>boe</t>
        </is>
      </c>
      <c r="I450" t="inlineStr">
        <is>
          <t>en-US</t>
        </is>
      </c>
      <c r="J450" t="inlineStr">
        <is>
          <t>us_v2-direct_unspecified</t>
        </is>
      </c>
      <c r="K450" t="b">
        <v>1</v>
      </c>
      <c r="L450" t="inlineStr">
        <is>
          <t>partial</t>
        </is>
      </c>
      <c r="M450" t="inlineStr">
        <is>
          <t>not_relevant</t>
        </is>
      </c>
      <c r="N450" t="inlineStr">
        <is>
          <t>partial</t>
        </is>
      </c>
      <c r="O450" t="inlineStr">
        <is>
          <t>partial</t>
        </is>
      </c>
      <c r="P450" t="b">
        <v>1</v>
      </c>
    </row>
    <row r="451">
      <c r="A451" t="inlineStr">
        <is>
          <t>gifts for women</t>
        </is>
      </c>
      <c r="B451" t="inlineStr">
        <is>
          <t>gifts for women</t>
        </is>
      </c>
      <c r="C451" t="n">
        <v>807059249</v>
      </c>
      <c r="D451">
        <f>HYPERLINK("https://www.etsy.com/listing/807059249", "link")</f>
        <v/>
      </c>
      <c r="E451">
        <f>HYPERLINK("https://atlas.etsycorp.com/listing/807059249/lookup", "link")</f>
        <v/>
      </c>
      <c r="F451" t="inlineStr">
        <is>
          <t>Green moss agate bracelet, women&amp;#39;s bracelet, natural stone bracelet, Christmas gift for women.</t>
        </is>
      </c>
      <c r="G451" t="inlineStr">
        <is>
          <t>Eu_btmtZ_H__zzgEo04aBkt1m1c3</t>
        </is>
      </c>
      <c r="H451" t="inlineStr">
        <is>
          <t>boe</t>
        </is>
      </c>
      <c r="I451" t="inlineStr">
        <is>
          <t>fr</t>
        </is>
      </c>
      <c r="J451" t="inlineStr">
        <is>
          <t>intl-fr</t>
        </is>
      </c>
      <c r="K451" t="b">
        <v>1</v>
      </c>
      <c r="L451" t="inlineStr">
        <is>
          <t>relevant</t>
        </is>
      </c>
      <c r="M451" t="inlineStr">
        <is>
          <t>relevant</t>
        </is>
      </c>
      <c r="N451" t="inlineStr">
        <is>
          <t>relevant</t>
        </is>
      </c>
      <c r="O451" t="inlineStr">
        <is>
          <t>relevant</t>
        </is>
      </c>
      <c r="P451" t="b">
        <v>1</v>
      </c>
    </row>
    <row r="452">
      <c r="A452" t="inlineStr">
        <is>
          <t>babyshower favors</t>
        </is>
      </c>
      <c r="B452" t="inlineStr"/>
      <c r="C452" t="n">
        <v>1560092581</v>
      </c>
      <c r="D452">
        <f>HYPERLINK("https://www.etsy.com/listing/1560092581", "link")</f>
        <v/>
      </c>
      <c r="E452">
        <f>HYPERLINK("https://atlas.etsycorp.com/listing/1560092581/lookup", "link")</f>
        <v/>
      </c>
      <c r="F452" t="inlineStr">
        <is>
          <t>Wedding Magnet Bottle Opener, Wedding Souvenir, Custom Gift Favor, Engagement Party Souvenir, Rustic Wedding Announcement, Cheap Souvenir</t>
        </is>
      </c>
      <c r="G452" t="inlineStr">
        <is>
          <t>EuLUL22NyrLx4HI40zaXHrilchd9</t>
        </is>
      </c>
      <c r="H452" t="inlineStr">
        <is>
          <t>web</t>
        </is>
      </c>
      <c r="I452" t="inlineStr">
        <is>
          <t>en-US</t>
        </is>
      </c>
      <c r="J452" t="inlineStr">
        <is>
          <t>us_v2-broad</t>
        </is>
      </c>
      <c r="K452" t="b">
        <v>1</v>
      </c>
      <c r="L452" t="inlineStr">
        <is>
          <t>not_relevant</t>
        </is>
      </c>
      <c r="M452" t="inlineStr">
        <is>
          <t>not_relevant</t>
        </is>
      </c>
      <c r="N452" t="inlineStr">
        <is>
          <t>not_relevant</t>
        </is>
      </c>
      <c r="O452" t="inlineStr">
        <is>
          <t>not_relevant</t>
        </is>
      </c>
      <c r="P452" t="b">
        <v>1</v>
      </c>
    </row>
    <row r="453">
      <c r="A453" t="inlineStr">
        <is>
          <t>CUERDA fujifilm xt5</t>
        </is>
      </c>
      <c r="B453" t="inlineStr">
        <is>
          <t>fujifilm xt5 ROPE</t>
        </is>
      </c>
      <c r="C453" t="n">
        <v>1223719954</v>
      </c>
      <c r="D453">
        <f>HYPERLINK("https://www.etsy.com/listing/1223719954", "link")</f>
        <v/>
      </c>
      <c r="E453">
        <f>HYPERLINK("https://atlas.etsycorp.com/listing/1223719954/lookup", "link")</f>
        <v/>
      </c>
      <c r="F453" t="inlineStr">
        <is>
          <t>soft shutter release button concave silver metal FUJIFILM X20 X30 X100F X100T X100V</t>
        </is>
      </c>
      <c r="G453" t="inlineStr">
        <is>
          <t>Eu_p5W6OpHYoP7bEeTYnq_kfMxdf</t>
        </is>
      </c>
      <c r="H453" t="inlineStr">
        <is>
          <t>web</t>
        </is>
      </c>
      <c r="I453" t="inlineStr">
        <is>
          <t>es</t>
        </is>
      </c>
      <c r="J453" t="inlineStr">
        <is>
          <t>intl-es</t>
        </is>
      </c>
      <c r="K453" t="b">
        <v>1</v>
      </c>
      <c r="L453" t="inlineStr">
        <is>
          <t>not_relevant</t>
        </is>
      </c>
      <c r="M453" t="inlineStr">
        <is>
          <t>not_relevant</t>
        </is>
      </c>
      <c r="N453" t="inlineStr">
        <is>
          <t>not_relevant</t>
        </is>
      </c>
      <c r="O453" t="inlineStr">
        <is>
          <t>not_relevant</t>
        </is>
      </c>
      <c r="P453" t="b">
        <v>1</v>
      </c>
    </row>
    <row r="454">
      <c r="A454" t="inlineStr">
        <is>
          <t>patch cube</t>
        </is>
      </c>
      <c r="B454" t="inlineStr"/>
      <c r="C454" t="n">
        <v>939895529</v>
      </c>
      <c r="D454">
        <f>HYPERLINK("https://www.etsy.com/listing/939895529", "link")</f>
        <v/>
      </c>
      <c r="E454">
        <f>HYPERLINK("https://atlas.etsycorp.com/listing/939895529/lookup", "link")</f>
        <v/>
      </c>
      <c r="F454" t="inlineStr">
        <is>
          <t>Applique design for Kids in 3 size. Easy applique. Design for dolphin. Machine Embroidery Digital Pattern</t>
        </is>
      </c>
      <c r="G454" t="inlineStr">
        <is>
          <t>EuxaxtsDOi0vkyr-NIODx6ZxuWf0</t>
        </is>
      </c>
      <c r="H454" t="inlineStr">
        <is>
          <t>web</t>
        </is>
      </c>
      <c r="I454" t="inlineStr">
        <is>
          <t>en-GB</t>
        </is>
      </c>
      <c r="J454" t="inlineStr">
        <is>
          <t>us_v2-direct_unspecified</t>
        </is>
      </c>
      <c r="K454" t="b">
        <v>1</v>
      </c>
      <c r="L454" t="inlineStr">
        <is>
          <t>not_relevant</t>
        </is>
      </c>
      <c r="M454" t="inlineStr">
        <is>
          <t>not_relevant</t>
        </is>
      </c>
      <c r="N454" t="inlineStr">
        <is>
          <t>not_relevant</t>
        </is>
      </c>
      <c r="O454" t="inlineStr">
        <is>
          <t>not_relevant</t>
        </is>
      </c>
      <c r="P454" t="b">
        <v>1</v>
      </c>
    </row>
    <row r="455">
      <c r="A455" t="inlineStr">
        <is>
          <t>giraffe blanket</t>
        </is>
      </c>
      <c r="B455" t="inlineStr"/>
      <c r="C455" t="n">
        <v>793878667</v>
      </c>
      <c r="D455">
        <f>HYPERLINK("https://www.etsy.com/listing/793878667", "link")</f>
        <v/>
      </c>
      <c r="E455">
        <f>HYPERLINK("https://atlas.etsycorp.com/listing/793878667/lookup", "link")</f>
        <v/>
      </c>
      <c r="F455" t="inlineStr">
        <is>
          <t>Baby girl giraffe swaddle blanket, giraffe baby gift, pink mint personalized baby girl blanket, custom name giraffe blanket, (CHOOSE COLORS)</t>
        </is>
      </c>
      <c r="G455" t="inlineStr">
        <is>
          <t>EuoZHapucomJM5rGuduenhG1txaf</t>
        </is>
      </c>
      <c r="H455" t="inlineStr">
        <is>
          <t>web</t>
        </is>
      </c>
      <c r="I455" t="inlineStr">
        <is>
          <t>en-US</t>
        </is>
      </c>
      <c r="J455" t="inlineStr">
        <is>
          <t>us_v2-direct_unspecified</t>
        </is>
      </c>
      <c r="K455" t="b">
        <v>1</v>
      </c>
      <c r="L455" t="inlineStr">
        <is>
          <t>relevant</t>
        </is>
      </c>
      <c r="M455" t="inlineStr">
        <is>
          <t>relevant</t>
        </is>
      </c>
      <c r="N455" t="inlineStr">
        <is>
          <t>relevant</t>
        </is>
      </c>
      <c r="O455" t="inlineStr">
        <is>
          <t>relevant</t>
        </is>
      </c>
      <c r="P455" t="b">
        <v>1</v>
      </c>
    </row>
    <row r="456">
      <c r="A456" t="inlineStr">
        <is>
          <t>wedding heels</t>
        </is>
      </c>
      <c r="B456" t="inlineStr"/>
      <c r="C456" t="n">
        <v>1546148109</v>
      </c>
      <c r="D456">
        <f>HYPERLINK("https://www.etsy.com/listing/1546148109", "link")</f>
        <v/>
      </c>
      <c r="E456">
        <f>HYPERLINK("https://atlas.etsycorp.com/listing/1546148109/lookup", "link")</f>
        <v/>
      </c>
      <c r="F456" t="inlineStr">
        <is>
          <t>Fuchsia Satin High Heel Wedding Sandals with Perla Applique, Wedding Heels Sandals, Bridesmaids Shoes, Heels Sandals, Bridal Heels</t>
        </is>
      </c>
      <c r="G456" t="inlineStr">
        <is>
          <t>Euk4n9qXC4KmbvkY6n53eXaHFQ67</t>
        </is>
      </c>
      <c r="H456" t="inlineStr">
        <is>
          <t>web</t>
        </is>
      </c>
      <c r="I456" t="inlineStr">
        <is>
          <t>en-US</t>
        </is>
      </c>
      <c r="J456" t="inlineStr">
        <is>
          <t>us_v2-direct_unspecified</t>
        </is>
      </c>
      <c r="K456" t="b">
        <v>1</v>
      </c>
      <c r="L456" t="inlineStr">
        <is>
          <t>relevant</t>
        </is>
      </c>
      <c r="M456" t="inlineStr">
        <is>
          <t>relevant</t>
        </is>
      </c>
      <c r="N456" t="inlineStr">
        <is>
          <t>relevant</t>
        </is>
      </c>
      <c r="O456" t="inlineStr">
        <is>
          <t>relevant</t>
        </is>
      </c>
      <c r="P456" t="b">
        <v>1</v>
      </c>
    </row>
    <row r="457">
      <c r="A457" t="inlineStr">
        <is>
          <t>iinside my head</t>
        </is>
      </c>
      <c r="B457" t="inlineStr">
        <is>
          <t>inside my head</t>
        </is>
      </c>
      <c r="C457" t="n">
        <v>1750825229</v>
      </c>
      <c r="D457">
        <f>HYPERLINK("https://www.etsy.com/listing/1750825229", "link")</f>
        <v/>
      </c>
      <c r="E457">
        <f>HYPERLINK("https://atlas.etsycorp.com/listing/1750825229/lookup", "link")</f>
        <v/>
      </c>
      <c r="F457" t="inlineStr">
        <is>
          <t>Communication Cards - Pixel Art Holographic Acrylic Booklet Keychain</t>
        </is>
      </c>
      <c r="G457" t="inlineStr">
        <is>
          <t>EuEmlWnoeSwsd7mZoIEpTtB08_d4</t>
        </is>
      </c>
      <c r="H457" t="inlineStr">
        <is>
          <t>web</t>
        </is>
      </c>
      <c r="I457" t="inlineStr">
        <is>
          <t>nl</t>
        </is>
      </c>
      <c r="J457" t="inlineStr">
        <is>
          <t>intl-nl</t>
        </is>
      </c>
      <c r="K457" t="b">
        <v>1</v>
      </c>
      <c r="L457" t="inlineStr">
        <is>
          <t>not_relevant</t>
        </is>
      </c>
      <c r="M457" t="inlineStr">
        <is>
          <t>not_relevant</t>
        </is>
      </c>
      <c r="N457" t="inlineStr">
        <is>
          <t>not_relevant</t>
        </is>
      </c>
      <c r="O457" t="inlineStr">
        <is>
          <t>not_relevant</t>
        </is>
      </c>
      <c r="P457" t="b">
        <v>1</v>
      </c>
    </row>
    <row r="458">
      <c r="A458" t="inlineStr">
        <is>
          <t>ceramic ashtray</t>
        </is>
      </c>
      <c r="B458" t="inlineStr"/>
      <c r="C458" t="n">
        <v>1180639283</v>
      </c>
      <c r="D458">
        <f>HYPERLINK("https://www.etsy.com/listing/1180639283", "link")</f>
        <v/>
      </c>
      <c r="E458">
        <f>HYPERLINK("https://atlas.etsycorp.com/listing/1180639283/lookup", "link")</f>
        <v/>
      </c>
      <c r="F458" t="inlineStr">
        <is>
          <t>Pink Leopard print | Novelty |Multifunctional Ashtray | Trinket dish</t>
        </is>
      </c>
      <c r="G458" t="inlineStr">
        <is>
          <t>EuJGWtl9xrwqPGFuaGxXR6c1vWff</t>
        </is>
      </c>
      <c r="H458" t="inlineStr">
        <is>
          <t>web</t>
        </is>
      </c>
      <c r="I458" t="inlineStr">
        <is>
          <t>en-GB</t>
        </is>
      </c>
      <c r="J458" t="inlineStr">
        <is>
          <t>us_v2-direct_specified</t>
        </is>
      </c>
      <c r="K458" t="b">
        <v>1</v>
      </c>
      <c r="L458" t="inlineStr">
        <is>
          <t>partial</t>
        </is>
      </c>
      <c r="M458" t="inlineStr">
        <is>
          <t>partial</t>
        </is>
      </c>
      <c r="N458" t="inlineStr">
        <is>
          <t>relevant</t>
        </is>
      </c>
      <c r="O458" t="inlineStr">
        <is>
          <t>partial</t>
        </is>
      </c>
      <c r="P458" t="b">
        <v>1</v>
      </c>
    </row>
    <row r="459">
      <c r="A459" t="inlineStr">
        <is>
          <t>Custom womens clothing</t>
        </is>
      </c>
      <c r="B459" t="inlineStr">
        <is>
          <t>Custom womens clothing</t>
        </is>
      </c>
      <c r="C459" t="n">
        <v>1342704525</v>
      </c>
      <c r="D459">
        <f>HYPERLINK("https://www.etsy.com/listing/1342704525", "link")</f>
        <v/>
      </c>
      <c r="E459">
        <f>HYPERLINK("https://atlas.etsycorp.com/listing/1342704525/lookup", "link")</f>
        <v/>
      </c>
      <c r="F459" t="inlineStr">
        <is>
          <t>Unisex Custom Name Socks - Personalised Embroidered Name on Soft Cotton Crew Socks - Made to Order &amp; Made in Britain - Made for Him and Her</t>
        </is>
      </c>
      <c r="G459" t="inlineStr">
        <is>
          <t>Eu9p9d4VugBaThBiNFdjdyFBms50</t>
        </is>
      </c>
      <c r="H459" t="inlineStr">
        <is>
          <t>boe</t>
        </is>
      </c>
      <c r="I459" t="inlineStr">
        <is>
          <t>fr</t>
        </is>
      </c>
      <c r="J459" t="inlineStr">
        <is>
          <t>intl-fr</t>
        </is>
      </c>
      <c r="K459" t="b">
        <v>1</v>
      </c>
      <c r="L459" t="inlineStr">
        <is>
          <t>not_relevant</t>
        </is>
      </c>
      <c r="M459" t="inlineStr">
        <is>
          <t>not_relevant</t>
        </is>
      </c>
      <c r="N459" t="inlineStr">
        <is>
          <t>not_relevant</t>
        </is>
      </c>
      <c r="O459" t="inlineStr">
        <is>
          <t>not_relevant</t>
        </is>
      </c>
      <c r="P459" t="b">
        <v>1</v>
      </c>
    </row>
    <row r="460">
      <c r="A460" t="inlineStr">
        <is>
          <t>framed kitchen art</t>
        </is>
      </c>
      <c r="B460" t="inlineStr"/>
      <c r="C460" t="n">
        <v>1452074922</v>
      </c>
      <c r="D460">
        <f>HYPERLINK("https://www.etsy.com/listing/1452074922", "link")</f>
        <v/>
      </c>
      <c r="E460">
        <f>HYPERLINK("https://atlas.etsycorp.com/listing/1452074922/lookup", "link")</f>
        <v/>
      </c>
      <c r="F460" t="inlineStr">
        <is>
          <t>Dining Room Prints | Dining Room Wall Art | Kitchen Prints | Family Prints | Home Decor | Set of 3 Prints | Home Prints Inspiration | Sign</t>
        </is>
      </c>
      <c r="G460" t="inlineStr">
        <is>
          <t>Eum7rGEHyS41vOC7GM1Y3B7n2Ibc</t>
        </is>
      </c>
      <c r="H460" t="inlineStr">
        <is>
          <t>boe</t>
        </is>
      </c>
      <c r="I460" t="inlineStr">
        <is>
          <t>en-GB</t>
        </is>
      </c>
      <c r="J460" t="inlineStr">
        <is>
          <t>us_v2-direct_specified</t>
        </is>
      </c>
      <c r="K460" t="b">
        <v>1</v>
      </c>
      <c r="L460" t="inlineStr">
        <is>
          <t>relevant</t>
        </is>
      </c>
      <c r="M460" t="inlineStr">
        <is>
          <t>relevant</t>
        </is>
      </c>
      <c r="N460" t="inlineStr">
        <is>
          <t>partial</t>
        </is>
      </c>
      <c r="O460" t="inlineStr">
        <is>
          <t>relevant</t>
        </is>
      </c>
      <c r="P460" t="b">
        <v>1</v>
      </c>
    </row>
    <row r="461">
      <c r="A461" t="inlineStr">
        <is>
          <t>wandbehang boho</t>
        </is>
      </c>
      <c r="B461" t="inlineStr">
        <is>
          <t>wall hanging boho</t>
        </is>
      </c>
      <c r="C461" t="n">
        <v>1110778954</v>
      </c>
      <c r="D461">
        <f>HYPERLINK("https://www.etsy.com/listing/1110778954", "link")</f>
        <v/>
      </c>
      <c r="E461">
        <f>HYPERLINK("https://atlas.etsycorp.com/listing/1110778954/lookup", "link")</f>
        <v/>
      </c>
      <c r="F461" t="inlineStr">
        <is>
          <t>Wall Decor | Wall Basket | Wall Hanging | Fruit Bowl | Decorative Bowl MADALA made of Banana Fibre (2 sizes)</t>
        </is>
      </c>
      <c r="G461" t="inlineStr">
        <is>
          <t>Eu9dSL4aUXrRa-sSTHrwoX0f6gff</t>
        </is>
      </c>
      <c r="H461" t="inlineStr">
        <is>
          <t>web</t>
        </is>
      </c>
      <c r="I461" t="inlineStr">
        <is>
          <t>de</t>
        </is>
      </c>
      <c r="J461" t="inlineStr">
        <is>
          <t>intl-de</t>
        </is>
      </c>
      <c r="K461" t="b">
        <v>1</v>
      </c>
      <c r="L461" t="inlineStr">
        <is>
          <t>partial</t>
        </is>
      </c>
      <c r="M461" t="inlineStr">
        <is>
          <t>relevant</t>
        </is>
      </c>
      <c r="N461" t="inlineStr">
        <is>
          <t>partial</t>
        </is>
      </c>
      <c r="O461" t="inlineStr">
        <is>
          <t>partial</t>
        </is>
      </c>
      <c r="P461" t="b">
        <v>1</v>
      </c>
    </row>
    <row r="462">
      <c r="A462" t="inlineStr">
        <is>
          <t>schriftzug mit Minifeder</t>
        </is>
      </c>
      <c r="B462" t="inlineStr">
        <is>
          <t>lettering with mini feather</t>
        </is>
      </c>
      <c r="C462" t="n">
        <v>943985658</v>
      </c>
      <c r="D462">
        <f>HYPERLINK("https://www.etsy.com/listing/943985658", "link")</f>
        <v/>
      </c>
      <c r="E462">
        <f>HYPERLINK("https://atlas.etsycorp.com/listing/943985658/lookup", "link")</f>
        <v/>
      </c>
      <c r="F462" t="inlineStr">
        <is>
          <t>Confirmation lettering with fish made of natural wood, optionally with stand</t>
        </is>
      </c>
      <c r="G462" t="inlineStr">
        <is>
          <t>Eu1Il1KrdiTqxAzdkc1ed2pp2g5b</t>
        </is>
      </c>
      <c r="H462" t="inlineStr">
        <is>
          <t>web</t>
        </is>
      </c>
      <c r="I462" t="inlineStr">
        <is>
          <t>de</t>
        </is>
      </c>
      <c r="J462" t="inlineStr">
        <is>
          <t>intl-de</t>
        </is>
      </c>
      <c r="K462" t="b">
        <v>1</v>
      </c>
      <c r="L462" t="inlineStr">
        <is>
          <t>not_relevant</t>
        </is>
      </c>
      <c r="M462" t="inlineStr">
        <is>
          <t>not_relevant</t>
        </is>
      </c>
      <c r="N462" t="inlineStr">
        <is>
          <t>not_relevant</t>
        </is>
      </c>
      <c r="O462" t="inlineStr">
        <is>
          <t>partial</t>
        </is>
      </c>
      <c r="P462" t="b">
        <v>1</v>
      </c>
    </row>
    <row r="463">
      <c r="A463" t="inlineStr">
        <is>
          <t>green frog</t>
        </is>
      </c>
      <c r="B463" t="inlineStr">
        <is>
          <t>green frog</t>
        </is>
      </c>
      <c r="C463" t="n">
        <v>1219567860</v>
      </c>
      <c r="D463">
        <f>HYPERLINK("https://www.etsy.com/listing/1219567860", "link")</f>
        <v/>
      </c>
      <c r="E463">
        <f>HYPERLINK("https://atlas.etsycorp.com/listing/1219567860/lookup", "link")</f>
        <v/>
      </c>
      <c r="F463" t="inlineStr">
        <is>
          <t>Crochet Doll Pattern, Maris Doll, Amigurumi Doll Pattern,  PDF in English, Spanish</t>
        </is>
      </c>
      <c r="G463" t="inlineStr">
        <is>
          <t>EuLoiXxQqnZ45Am1CjyBWoIcje6b</t>
        </is>
      </c>
      <c r="H463" t="inlineStr">
        <is>
          <t>boe</t>
        </is>
      </c>
      <c r="I463" t="inlineStr">
        <is>
          <t>pt</t>
        </is>
      </c>
      <c r="J463" t="inlineStr">
        <is>
          <t>intl-pt</t>
        </is>
      </c>
      <c r="K463" t="b">
        <v>1</v>
      </c>
      <c r="L463" t="inlineStr">
        <is>
          <t>not_relevant</t>
        </is>
      </c>
      <c r="M463" t="inlineStr">
        <is>
          <t>not_relevant</t>
        </is>
      </c>
      <c r="N463" t="inlineStr">
        <is>
          <t>not_relevant</t>
        </is>
      </c>
      <c r="O463" t="inlineStr">
        <is>
          <t>not_relevant</t>
        </is>
      </c>
      <c r="P463" t="b">
        <v>1</v>
      </c>
    </row>
    <row r="464">
      <c r="A464" t="inlineStr">
        <is>
          <t>princess sweatsuit</t>
        </is>
      </c>
      <c r="B464" t="inlineStr"/>
      <c r="C464" t="n">
        <v>1661611037</v>
      </c>
      <c r="D464">
        <f>HYPERLINK("https://www.etsy.com/listing/1661611037", "link")</f>
        <v/>
      </c>
      <c r="E464">
        <f>HYPERLINK("https://atlas.etsycorp.com/listing/1661611037/lookup", "link")</f>
        <v/>
      </c>
      <c r="F464" t="inlineStr">
        <is>
          <t>Princess Tangled Sweatshirt</t>
        </is>
      </c>
      <c r="G464" t="inlineStr">
        <is>
          <t>EuPS50Deknb3Q5tteRhtjDdCcnde</t>
        </is>
      </c>
      <c r="H464" t="inlineStr">
        <is>
          <t>web</t>
        </is>
      </c>
      <c r="I464" t="inlineStr">
        <is>
          <t>en-US</t>
        </is>
      </c>
      <c r="J464" t="inlineStr">
        <is>
          <t>us_v2-direct_unspecified</t>
        </is>
      </c>
      <c r="K464" t="b">
        <v>1</v>
      </c>
      <c r="L464" t="inlineStr">
        <is>
          <t>partial</t>
        </is>
      </c>
      <c r="M464" t="inlineStr">
        <is>
          <t>partial</t>
        </is>
      </c>
      <c r="N464" t="inlineStr">
        <is>
          <t>partial</t>
        </is>
      </c>
      <c r="O464" t="inlineStr">
        <is>
          <t>relevant</t>
        </is>
      </c>
      <c r="P464" t="b">
        <v>1</v>
      </c>
    </row>
    <row r="465">
      <c r="A465" t="inlineStr">
        <is>
          <t>boar school</t>
        </is>
      </c>
      <c r="B465" t="inlineStr">
        <is>
          <t>boar school</t>
        </is>
      </c>
      <c r="C465" t="n">
        <v>1726310822</v>
      </c>
      <c r="D465">
        <f>HYPERLINK("https://www.etsy.com/listing/1726310822", "link")</f>
        <v/>
      </c>
      <c r="E465">
        <f>HYPERLINK("https://atlas.etsycorp.com/listing/1726310822/lookup", "link")</f>
        <v/>
      </c>
      <c r="F465" t="inlineStr">
        <is>
          <t>Boar SVG, Wild boar vector clipart design EPS PNG Dxf Pdf, Svg File for Cricut, Boar Head Silhouette, Wildlife Animals Svg, Boar Sublimation</t>
        </is>
      </c>
      <c r="G465" t="inlineStr">
        <is>
          <t>EuluJOXgNOx23CJeI5KIxr9iIi72</t>
        </is>
      </c>
      <c r="H465" t="inlineStr">
        <is>
          <t>boe</t>
        </is>
      </c>
      <c r="I465" t="inlineStr">
        <is>
          <t>pl</t>
        </is>
      </c>
      <c r="J465" t="inlineStr">
        <is>
          <t>intl-pl</t>
        </is>
      </c>
      <c r="K465" t="b">
        <v>1</v>
      </c>
      <c r="L465" t="inlineStr">
        <is>
          <t>partial</t>
        </is>
      </c>
      <c r="M465" t="inlineStr">
        <is>
          <t>partial</t>
        </is>
      </c>
      <c r="N465" t="inlineStr">
        <is>
          <t>relevant</t>
        </is>
      </c>
      <c r="O465" t="inlineStr">
        <is>
          <t>partial</t>
        </is>
      </c>
      <c r="P465" t="b">
        <v>1</v>
      </c>
    </row>
    <row r="466">
      <c r="A466" t="inlineStr">
        <is>
          <t>abschiedsgeschenk kollegen</t>
        </is>
      </c>
      <c r="B466" t="inlineStr">
        <is>
          <t>farewell gift colleagues</t>
        </is>
      </c>
      <c r="C466" t="n">
        <v>1635369681</v>
      </c>
      <c r="D466">
        <f>HYPERLINK("https://www.etsy.com/listing/1635369681", "link")</f>
        <v/>
      </c>
      <c r="E466">
        <f>HYPERLINK("https://atlas.etsycorp.com/listing/1635369681/lookup", "link")</f>
        <v/>
      </c>
      <c r="F466" t="inlineStr">
        <is>
          <t>Storage jar with engraving &amp;quot;Nervennahrung&amp;quot; for teachers, educators, colleagues, trainers, parents - customizable - 600 ml volume</t>
        </is>
      </c>
      <c r="G466" t="inlineStr">
        <is>
          <t>EuhzMx0ffOH7B3fkB1RSM1JngM2e</t>
        </is>
      </c>
      <c r="H466" t="inlineStr">
        <is>
          <t>boe</t>
        </is>
      </c>
      <c r="I466" t="inlineStr">
        <is>
          <t>de</t>
        </is>
      </c>
      <c r="J466" t="inlineStr">
        <is>
          <t>intl-de</t>
        </is>
      </c>
      <c r="K466" t="b">
        <v>1</v>
      </c>
      <c r="L466" t="inlineStr">
        <is>
          <t>partial</t>
        </is>
      </c>
      <c r="M466" t="inlineStr">
        <is>
          <t>not_relevant</t>
        </is>
      </c>
      <c r="N466" t="inlineStr">
        <is>
          <t>partial</t>
        </is>
      </c>
      <c r="O466" t="inlineStr">
        <is>
          <t>partial</t>
        </is>
      </c>
      <c r="P466" t="b">
        <v>1</v>
      </c>
    </row>
    <row r="467">
      <c r="A467" t="inlineStr">
        <is>
          <t>aquarium statue</t>
        </is>
      </c>
      <c r="B467" t="inlineStr">
        <is>
          <t>aquarium statue</t>
        </is>
      </c>
      <c r="C467" t="n">
        <v>1630546419</v>
      </c>
      <c r="D467">
        <f>HYPERLINK("https://www.etsy.com/listing/1630546419", "link")</f>
        <v/>
      </c>
      <c r="E467">
        <f>HYPERLINK("https://atlas.etsycorp.com/listing/1630546419/lookup", "link")</f>
        <v/>
      </c>
      <c r="F467" t="inlineStr">
        <is>
          <t>Premium Shrimp and Fish Cave, aquarium decor, Shelter for shrimp and fry. Loach and Cory catfish hide</t>
        </is>
      </c>
      <c r="G467" t="inlineStr">
        <is>
          <t>Eu0d9TsA0-nb7E8YILBUjL_2Bte6</t>
        </is>
      </c>
      <c r="H467" t="inlineStr">
        <is>
          <t>boe</t>
        </is>
      </c>
      <c r="I467" t="inlineStr">
        <is>
          <t>fr</t>
        </is>
      </c>
      <c r="J467" t="inlineStr">
        <is>
          <t>intl-fr</t>
        </is>
      </c>
      <c r="K467" t="b">
        <v>1</v>
      </c>
      <c r="L467" t="inlineStr">
        <is>
          <t>partial</t>
        </is>
      </c>
      <c r="M467" t="inlineStr">
        <is>
          <t>partial</t>
        </is>
      </c>
      <c r="N467" t="inlineStr">
        <is>
          <t>partial</t>
        </is>
      </c>
      <c r="O467" t="inlineStr">
        <is>
          <t>partial</t>
        </is>
      </c>
      <c r="P467" t="b">
        <v>1</v>
      </c>
    </row>
    <row r="468">
      <c r="A468" t="inlineStr">
        <is>
          <t>bride to be gift</t>
        </is>
      </c>
      <c r="B468" t="inlineStr"/>
      <c r="C468" t="n">
        <v>1369810688</v>
      </c>
      <c r="D468">
        <f>HYPERLINK("https://www.etsy.com/listing/1369810688", "link")</f>
        <v/>
      </c>
      <c r="E468">
        <f>HYPERLINK("https://atlas.etsycorp.com/listing/1369810688/lookup", "link")</f>
        <v/>
      </c>
      <c r="F468" t="inlineStr">
        <is>
          <t>Boujee Wife PNG Leopard Print Wife Shirt Sublimation Design Boujee Wedding Party PNG Bride PNG Wedding Gift Marriage Shirt Design</t>
        </is>
      </c>
      <c r="G468" t="inlineStr">
        <is>
          <t>Eu8rhXNB6XBKUHmrMECShuIO-uab</t>
        </is>
      </c>
      <c r="H468" t="inlineStr">
        <is>
          <t>web</t>
        </is>
      </c>
      <c r="I468" t="inlineStr">
        <is>
          <t>en-US</t>
        </is>
      </c>
      <c r="J468" t="inlineStr">
        <is>
          <t>us_v2-gift</t>
        </is>
      </c>
      <c r="K468" t="b">
        <v>1</v>
      </c>
      <c r="L468" t="inlineStr">
        <is>
          <t>not_relevant</t>
        </is>
      </c>
      <c r="M468" t="inlineStr">
        <is>
          <t>relevant</t>
        </is>
      </c>
      <c r="N468" t="inlineStr">
        <is>
          <t>not_relevant</t>
        </is>
      </c>
      <c r="O468" t="inlineStr">
        <is>
          <t>not_relevant</t>
        </is>
      </c>
      <c r="P468" t="b">
        <v>1</v>
      </c>
    </row>
    <row r="469">
      <c r="A469" t="inlineStr">
        <is>
          <t>segment ring chirugenstahm</t>
        </is>
      </c>
      <c r="B469" t="inlineStr">
        <is>
          <t>segment ring surgical stem</t>
        </is>
      </c>
      <c r="C469" t="n">
        <v>606457404</v>
      </c>
      <c r="D469">
        <f>HYPERLINK("https://www.etsy.com/listing/606457404", "link")</f>
        <v/>
      </c>
      <c r="E469">
        <f>HYPERLINK("https://atlas.etsycorp.com/listing/606457404/lookup", "link")</f>
        <v/>
      </c>
      <c r="F469" t="inlineStr">
        <is>
          <t>Nose ring nose piercing septum ring nose segment ring chest lip ear hinge clicker surgical steel black thin thick thickness: 1.0-1.6 mm</t>
        </is>
      </c>
      <c r="G469" t="inlineStr">
        <is>
          <t>EuVp7tzLjANE5_qCJlBdDrVF8R7b</t>
        </is>
      </c>
      <c r="H469" t="inlineStr">
        <is>
          <t>web</t>
        </is>
      </c>
      <c r="I469" t="inlineStr">
        <is>
          <t>de</t>
        </is>
      </c>
      <c r="J469" t="inlineStr">
        <is>
          <t>intl-de</t>
        </is>
      </c>
      <c r="K469" t="b">
        <v>1</v>
      </c>
      <c r="L469" t="inlineStr">
        <is>
          <t>relevant</t>
        </is>
      </c>
      <c r="M469" t="inlineStr">
        <is>
          <t>relevant</t>
        </is>
      </c>
      <c r="N469" t="inlineStr">
        <is>
          <t>relevant</t>
        </is>
      </c>
      <c r="O469" t="inlineStr">
        <is>
          <t>relevant</t>
        </is>
      </c>
      <c r="P469" t="b">
        <v>1</v>
      </c>
    </row>
    <row r="470">
      <c r="A470" t="inlineStr">
        <is>
          <t>teacher appreciation gift</t>
        </is>
      </c>
      <c r="B470" t="inlineStr">
        <is>
          <t>teacher appreciation gift</t>
        </is>
      </c>
      <c r="C470" t="n">
        <v>1640090703</v>
      </c>
      <c r="D470">
        <f>HYPERLINK("https://www.etsy.com/listing/1640090703", "link")</f>
        <v/>
      </c>
      <c r="E470">
        <f>HYPERLINK("https://atlas.etsycorp.com/listing/1640090703/lookup", "link")</f>
        <v/>
      </c>
      <c r="F470" t="inlineStr">
        <is>
          <t>Never Underestimate The Difference You Made Appreciation Gift Last Day of School Teacher Keepsake from Students End of the Year Midwife gift</t>
        </is>
      </c>
      <c r="G470" t="inlineStr">
        <is>
          <t>EuuIAuFuQTGYA3VrjJEJlAZC_Q91</t>
        </is>
      </c>
      <c r="H470" t="inlineStr">
        <is>
          <t>boe</t>
        </is>
      </c>
      <c r="I470" t="inlineStr">
        <is>
          <t>nl</t>
        </is>
      </c>
      <c r="J470" t="inlineStr">
        <is>
          <t>intl-nl</t>
        </is>
      </c>
      <c r="K470" t="b">
        <v>1</v>
      </c>
      <c r="L470" t="inlineStr">
        <is>
          <t>relevant</t>
        </is>
      </c>
      <c r="M470" t="inlineStr">
        <is>
          <t>relevant</t>
        </is>
      </c>
      <c r="N470" t="inlineStr">
        <is>
          <t>relevant</t>
        </is>
      </c>
      <c r="O470" t="inlineStr">
        <is>
          <t>relevant</t>
        </is>
      </c>
      <c r="P470" t="b">
        <v>1</v>
      </c>
    </row>
    <row r="471">
      <c r="A471" t="inlineStr">
        <is>
          <t>dir en grey</t>
        </is>
      </c>
      <c r="B471" t="inlineStr">
        <is>
          <t>say in gray</t>
        </is>
      </c>
      <c r="C471" t="n">
        <v>1724097533</v>
      </c>
      <c r="D471">
        <f>HYPERLINK("https://www.etsy.com/listing/1724097533", "link")</f>
        <v/>
      </c>
      <c r="E471">
        <f>HYPERLINK("https://atlas.etsycorp.com/listing/1724097533/lookup", "link")</f>
        <v/>
      </c>
      <c r="F471" t="inlineStr">
        <is>
          <t>Atsushi Sakurai - Buck Tick - Visual Kei - High quality gothic print fine art</t>
        </is>
      </c>
      <c r="G471" t="inlineStr">
        <is>
          <t>Eu7R2BqPbfQ-LK2osUCRojkpTi96</t>
        </is>
      </c>
      <c r="H471" t="inlineStr">
        <is>
          <t>boe</t>
        </is>
      </c>
      <c r="I471" t="inlineStr">
        <is>
          <t>es</t>
        </is>
      </c>
      <c r="J471" t="inlineStr">
        <is>
          <t>intl-es</t>
        </is>
      </c>
      <c r="K471" t="b">
        <v>1</v>
      </c>
      <c r="L471" t="inlineStr">
        <is>
          <t>not_relevant</t>
        </is>
      </c>
      <c r="M471" t="inlineStr">
        <is>
          <t>not_relevant</t>
        </is>
      </c>
      <c r="N471" t="inlineStr">
        <is>
          <t>not_relevant</t>
        </is>
      </c>
      <c r="O471" t="inlineStr">
        <is>
          <t>partial</t>
        </is>
      </c>
      <c r="P471" t="b">
        <v>1</v>
      </c>
    </row>
    <row r="472">
      <c r="A472" t="inlineStr">
        <is>
          <t>tattoo teddy bear</t>
        </is>
      </c>
      <c r="B472" t="inlineStr"/>
      <c r="C472" t="n">
        <v>1188560832</v>
      </c>
      <c r="D472">
        <f>HYPERLINK("https://www.etsy.com/listing/1188560832", "link")</f>
        <v/>
      </c>
      <c r="E472">
        <f>HYPERLINK("https://atlas.etsycorp.com/listing/1188560832/lookup", "link")</f>
        <v/>
      </c>
      <c r="F472" t="inlineStr">
        <is>
          <t>Humble Hustle Pink Teddy Bear Cute Horror Face Button Eyes Stitches Cash Stuffed Money Stacks Tattoo Hip Hop Rap Art Logo JPG PNG SVG Cut</t>
        </is>
      </c>
      <c r="G472" t="inlineStr">
        <is>
          <t>EuFb3MOcfttEXaWtn_nGOWcsC-e2</t>
        </is>
      </c>
      <c r="H472" t="inlineStr">
        <is>
          <t>boe</t>
        </is>
      </c>
      <c r="I472" t="inlineStr">
        <is>
          <t>en-GB</t>
        </is>
      </c>
      <c r="J472" t="inlineStr">
        <is>
          <t>us_v2-direct_unspecified</t>
        </is>
      </c>
      <c r="K472" t="b">
        <v>1</v>
      </c>
      <c r="L472" t="inlineStr">
        <is>
          <t>relevant</t>
        </is>
      </c>
      <c r="M472" t="inlineStr">
        <is>
          <t>relevant</t>
        </is>
      </c>
      <c r="N472" t="inlineStr">
        <is>
          <t>partial</t>
        </is>
      </c>
      <c r="O472" t="inlineStr">
        <is>
          <t>relevant</t>
        </is>
      </c>
      <c r="P472" t="b">
        <v>1</v>
      </c>
    </row>
    <row r="473">
      <c r="A473" t="inlineStr">
        <is>
          <t>mushroom bulk substrate</t>
        </is>
      </c>
      <c r="B473" t="inlineStr"/>
      <c r="C473" t="n">
        <v>1607779560</v>
      </c>
      <c r="D473">
        <f>HYPERLINK("https://www.etsy.com/listing/1607779560", "link")</f>
        <v/>
      </c>
      <c r="E473">
        <f>HYPERLINK("https://atlas.etsycorp.com/listing/1607779560/lookup", "link")</f>
        <v/>
      </c>
      <c r="F473" t="inlineStr">
        <is>
          <t>Gypsum Powder Calcium Sulphate for Mushroom Substrate Grain Spawn Mycology 500g - **BUY 3 GET 1 FREE**</t>
        </is>
      </c>
      <c r="G473" t="inlineStr">
        <is>
          <t>EuTAARte_IXlKH7d3jU867NhL67c</t>
        </is>
      </c>
      <c r="H473" t="inlineStr">
        <is>
          <t>boe</t>
        </is>
      </c>
      <c r="I473" t="inlineStr">
        <is>
          <t>en-GB</t>
        </is>
      </c>
      <c r="J473" t="inlineStr">
        <is>
          <t>us_v2-direct_unspecified</t>
        </is>
      </c>
      <c r="K473" t="b">
        <v>1</v>
      </c>
      <c r="L473" t="inlineStr">
        <is>
          <t>partial</t>
        </is>
      </c>
      <c r="M473" t="inlineStr">
        <is>
          <t>relevant</t>
        </is>
      </c>
      <c r="N473" t="inlineStr">
        <is>
          <t>partial</t>
        </is>
      </c>
      <c r="O473" t="inlineStr">
        <is>
          <t>partial</t>
        </is>
      </c>
      <c r="P473" t="b">
        <v>1</v>
      </c>
    </row>
    <row r="474">
      <c r="A474" t="inlineStr">
        <is>
          <t>engagement rings</t>
        </is>
      </c>
      <c r="B474" t="inlineStr">
        <is>
          <t>engagement rings</t>
        </is>
      </c>
      <c r="C474" t="n">
        <v>860201208</v>
      </c>
      <c r="D474">
        <f>HYPERLINK("https://www.etsy.com/listing/860201208", "link")</f>
        <v/>
      </c>
      <c r="E474">
        <f>HYPERLINK("https://atlas.etsycorp.com/listing/860201208/lookup", "link")</f>
        <v/>
      </c>
      <c r="F474" t="inlineStr">
        <is>
          <t>0.50ct Solitaire Engagement Ring Solid Gold Ring, Womens Wedding Ring Low Profile Setting Simulated Diamond Ring 14K Solid Gold Promise Ring</t>
        </is>
      </c>
      <c r="G474" t="inlineStr">
        <is>
          <t>Eux549B2vFZlRFGBVaOtMph5k95e</t>
        </is>
      </c>
      <c r="H474" t="inlineStr">
        <is>
          <t>boe</t>
        </is>
      </c>
      <c r="I474" t="inlineStr">
        <is>
          <t>es</t>
        </is>
      </c>
      <c r="J474" t="inlineStr">
        <is>
          <t>intl-es</t>
        </is>
      </c>
      <c r="K474" t="b">
        <v>1</v>
      </c>
      <c r="L474" t="inlineStr">
        <is>
          <t>relevant</t>
        </is>
      </c>
      <c r="M474" t="inlineStr">
        <is>
          <t>relevant</t>
        </is>
      </c>
      <c r="N474" t="inlineStr">
        <is>
          <t>relevant</t>
        </is>
      </c>
      <c r="O474" t="inlineStr">
        <is>
          <t>relevant</t>
        </is>
      </c>
      <c r="P474" t="b">
        <v>1</v>
      </c>
    </row>
    <row r="475">
      <c r="A475" t="inlineStr">
        <is>
          <t>movie prop kits</t>
        </is>
      </c>
      <c r="B475" t="inlineStr"/>
      <c r="C475" t="n">
        <v>1113736927</v>
      </c>
      <c r="D475">
        <f>HYPERLINK("https://www.etsy.com/listing/1113736927", "link")</f>
        <v/>
      </c>
      <c r="E475">
        <f>HYPERLINK("https://atlas.etsycorp.com/listing/1113736927/lookup", "link")</f>
        <v/>
      </c>
      <c r="F475" t="inlineStr">
        <is>
          <t>Star Wars Darth Vader Chest Lights LED Display - HK9950</t>
        </is>
      </c>
      <c r="G475" t="inlineStr">
        <is>
          <t>Eu6D-tuOt4G5uNQrBr2ie9YJz335</t>
        </is>
      </c>
      <c r="H475" t="inlineStr">
        <is>
          <t>boe</t>
        </is>
      </c>
      <c r="I475" t="inlineStr">
        <is>
          <t>en-GB</t>
        </is>
      </c>
      <c r="J475" t="inlineStr">
        <is>
          <t>us_v2-direct_unspecified</t>
        </is>
      </c>
      <c r="K475" t="b">
        <v>1</v>
      </c>
      <c r="L475" t="inlineStr">
        <is>
          <t>relevant</t>
        </is>
      </c>
      <c r="M475" t="inlineStr">
        <is>
          <t>partial</t>
        </is>
      </c>
      <c r="N475" t="inlineStr">
        <is>
          <t>relevant</t>
        </is>
      </c>
      <c r="O475" t="inlineStr">
        <is>
          <t>relevant</t>
        </is>
      </c>
      <c r="P475" t="b">
        <v>1</v>
      </c>
    </row>
    <row r="476">
      <c r="A476" t="inlineStr">
        <is>
          <t>thank you gift</t>
        </is>
      </c>
      <c r="B476" t="inlineStr"/>
      <c r="C476" t="n">
        <v>1183730103</v>
      </c>
      <c r="D476">
        <f>HYPERLINK("https://www.etsy.com/listing/1183730103", "link")</f>
        <v/>
      </c>
      <c r="E476">
        <f>HYPERLINK("https://atlas.etsycorp.com/listing/1183730103/lookup", "link")</f>
        <v/>
      </c>
      <c r="F476" t="inlineStr">
        <is>
          <t>Editable Eucalyptus Greenery Baby Shower favors, Eucalyptus Shower Thank you tags, Gift tags Template digital download corjl</t>
        </is>
      </c>
      <c r="G476" t="inlineStr">
        <is>
          <t>Euij388thwBdfDc0aizlHPe6t399</t>
        </is>
      </c>
      <c r="H476" t="inlineStr">
        <is>
          <t>web</t>
        </is>
      </c>
      <c r="I476" t="inlineStr">
        <is>
          <t>en-US</t>
        </is>
      </c>
      <c r="J476" t="inlineStr">
        <is>
          <t>us_v2-broad</t>
        </is>
      </c>
      <c r="K476" t="b">
        <v>1</v>
      </c>
      <c r="L476" t="inlineStr">
        <is>
          <t>relevant</t>
        </is>
      </c>
      <c r="M476" t="inlineStr">
        <is>
          <t>relevant</t>
        </is>
      </c>
      <c r="N476" t="inlineStr">
        <is>
          <t>relevant</t>
        </is>
      </c>
      <c r="O476" t="inlineStr">
        <is>
          <t>relevant</t>
        </is>
      </c>
      <c r="P476" t="b">
        <v>1</v>
      </c>
    </row>
    <row r="477">
      <c r="A477" t="inlineStr">
        <is>
          <t>blondie</t>
        </is>
      </c>
      <c r="B477" t="inlineStr">
        <is>
          <t>blondie</t>
        </is>
      </c>
      <c r="C477" t="n">
        <v>1277764281</v>
      </c>
      <c r="D477">
        <f>HYPERLINK("https://www.etsy.com/listing/1277764281", "link")</f>
        <v/>
      </c>
      <c r="E477">
        <f>HYPERLINK("https://atlas.etsycorp.com/listing/1277764281/lookup", "link")</f>
        <v/>
      </c>
      <c r="F477" t="inlineStr">
        <is>
          <t>As worn by Debbie Harry - Vultures Unisex shirt</t>
        </is>
      </c>
      <c r="G477" t="inlineStr">
        <is>
          <t>EukkL-uuLPoHQIarcy21gDi_RW95</t>
        </is>
      </c>
      <c r="H477" t="inlineStr">
        <is>
          <t>web</t>
        </is>
      </c>
      <c r="I477" t="inlineStr">
        <is>
          <t>nl</t>
        </is>
      </c>
      <c r="J477" t="inlineStr">
        <is>
          <t>intl-nl</t>
        </is>
      </c>
      <c r="K477" t="b">
        <v>1</v>
      </c>
      <c r="L477" t="inlineStr">
        <is>
          <t>relevant</t>
        </is>
      </c>
      <c r="M477" t="inlineStr">
        <is>
          <t>not_relevant</t>
        </is>
      </c>
      <c r="N477" t="inlineStr">
        <is>
          <t>relevant</t>
        </is>
      </c>
      <c r="O477" t="inlineStr">
        <is>
          <t>relevant</t>
        </is>
      </c>
      <c r="P477" t="b">
        <v>1</v>
      </c>
    </row>
    <row r="478">
      <c r="A478" t="inlineStr">
        <is>
          <t>ganci in gerro</t>
        </is>
      </c>
      <c r="B478" t="inlineStr">
        <is>
          <t>Gerro hooks</t>
        </is>
      </c>
      <c r="C478" t="n">
        <v>1429132272</v>
      </c>
      <c r="D478">
        <f>HYPERLINK("https://www.etsy.com/listing/1429132272", "link")</f>
        <v/>
      </c>
      <c r="E478">
        <f>HYPERLINK("https://atlas.etsycorp.com/listing/1429132272/lookup", "link")</f>
        <v/>
      </c>
      <c r="F478" t="inlineStr">
        <is>
          <t>Metal Mounted Single Wall Hooks for clothes, Metal Wall Art Metal Decoration, Wall Hat Key Hooks, Wall Mounted Bathroom Towel Hooks</t>
        </is>
      </c>
      <c r="G478" t="inlineStr">
        <is>
          <t>Euc_KTDF4h2Y-n87JJb1EYQCWj63</t>
        </is>
      </c>
      <c r="H478" t="inlineStr">
        <is>
          <t>web</t>
        </is>
      </c>
      <c r="I478" t="inlineStr">
        <is>
          <t>it</t>
        </is>
      </c>
      <c r="J478" t="inlineStr">
        <is>
          <t>intl-it</t>
        </is>
      </c>
      <c r="K478" t="b">
        <v>1</v>
      </c>
      <c r="L478" t="inlineStr">
        <is>
          <t>partial</t>
        </is>
      </c>
      <c r="M478" t="inlineStr">
        <is>
          <t>partial</t>
        </is>
      </c>
      <c r="N478" t="inlineStr">
        <is>
          <t>partial</t>
        </is>
      </c>
      <c r="O478" t="inlineStr">
        <is>
          <t>partial</t>
        </is>
      </c>
      <c r="P478" t="b">
        <v>1</v>
      </c>
    </row>
    <row r="479">
      <c r="A479" t="inlineStr">
        <is>
          <t>wickelauflage</t>
        </is>
      </c>
      <c r="B479" t="inlineStr">
        <is>
          <t>changing mat</t>
        </is>
      </c>
      <c r="C479" t="n">
        <v>1443118966</v>
      </c>
      <c r="D479">
        <f>HYPERLINK("https://www.etsy.com/listing/1443118966", "link")</f>
        <v/>
      </c>
      <c r="E479">
        <f>HYPERLINK("https://atlas.etsycorp.com/listing/1443118966/lookup", "link")</f>
        <v/>
      </c>
      <c r="F479" t="inlineStr">
        <is>
          <t>Blue Water repellent diaper changing pad, Changing pad for boys, Abwaschbare Wickelauflage</t>
        </is>
      </c>
      <c r="G479" t="inlineStr">
        <is>
          <t>EuR3NErghPyCZFZOO74M_uHdfq2e</t>
        </is>
      </c>
      <c r="H479" t="inlineStr">
        <is>
          <t>boe</t>
        </is>
      </c>
      <c r="I479" t="inlineStr">
        <is>
          <t>de</t>
        </is>
      </c>
      <c r="J479" t="inlineStr">
        <is>
          <t>intl-de</t>
        </is>
      </c>
      <c r="K479" t="b">
        <v>1</v>
      </c>
      <c r="L479" t="inlineStr">
        <is>
          <t>relevant</t>
        </is>
      </c>
      <c r="M479" t="inlineStr">
        <is>
          <t>relevant</t>
        </is>
      </c>
      <c r="N479" t="inlineStr">
        <is>
          <t>relevant</t>
        </is>
      </c>
      <c r="O479" t="inlineStr">
        <is>
          <t>relevant</t>
        </is>
      </c>
      <c r="P479" t="b">
        <v>1</v>
      </c>
    </row>
    <row r="480">
      <c r="A480" t="inlineStr">
        <is>
          <t>womens pink design scrub cap</t>
        </is>
      </c>
      <c r="B480" t="inlineStr"/>
      <c r="C480" t="n">
        <v>1178933900</v>
      </c>
      <c r="D480">
        <f>HYPERLINK("https://www.etsy.com/listing/1178933900", "link")</f>
        <v/>
      </c>
      <c r="E480">
        <f>HYPERLINK("https://atlas.etsycorp.com/listing/1178933900/lookup", "link")</f>
        <v/>
      </c>
      <c r="F480" t="inlineStr">
        <is>
          <t>Women&amp;#39;s Ponytail OB/GYN Words Scrub Cap, Labor Delivery Scrub Hat, Option for Euro, Men&amp;#39;s Surgical Cap, Buttons. Nurse Gift Louis + Phil</t>
        </is>
      </c>
      <c r="G480" t="inlineStr">
        <is>
          <t>EuulwmUoR3-jk856EMsn4VgBUmf9</t>
        </is>
      </c>
      <c r="H480" t="inlineStr">
        <is>
          <t>boe</t>
        </is>
      </c>
      <c r="I480" t="inlineStr">
        <is>
          <t>en-US</t>
        </is>
      </c>
      <c r="J480" t="inlineStr">
        <is>
          <t>us_v2-direct_specified</t>
        </is>
      </c>
      <c r="K480" t="b">
        <v>1</v>
      </c>
      <c r="L480" t="inlineStr">
        <is>
          <t>partial</t>
        </is>
      </c>
      <c r="M480" t="inlineStr">
        <is>
          <t>relevant</t>
        </is>
      </c>
      <c r="N480" t="inlineStr">
        <is>
          <t>partial</t>
        </is>
      </c>
      <c r="O480" t="inlineStr">
        <is>
          <t>partial</t>
        </is>
      </c>
      <c r="P480" t="b">
        <v>1</v>
      </c>
    </row>
    <row r="481">
      <c r="A481" t="inlineStr">
        <is>
          <t>prénom bois</t>
        </is>
      </c>
      <c r="B481" t="inlineStr">
        <is>
          <t>first name wood</t>
        </is>
      </c>
      <c r="C481" t="n">
        <v>1189955105</v>
      </c>
      <c r="D481">
        <f>HYPERLINK("https://www.etsy.com/listing/1189955105", "link")</f>
        <v/>
      </c>
      <c r="E481">
        <f>HYPERLINK("https://atlas.etsycorp.com/listing/1189955105/lookup", "link")</f>
        <v/>
      </c>
      <c r="F481" t="inlineStr">
        <is>
          <t>Custom Neon Sign | Neon Sign | Room Decor | LED Neon Light| Neon Bar Sign| Neon Bedroom Sign | Neon Light | Wedding Neon | Personalized Gift</t>
        </is>
      </c>
      <c r="G481" t="inlineStr">
        <is>
          <t>Euv9u7zmrIn4UQe41Dv6mbyFzq4f</t>
        </is>
      </c>
      <c r="H481" t="inlineStr">
        <is>
          <t>web</t>
        </is>
      </c>
      <c r="I481" t="inlineStr">
        <is>
          <t>fr</t>
        </is>
      </c>
      <c r="J481" t="inlineStr">
        <is>
          <t>intl-fr</t>
        </is>
      </c>
      <c r="K481" t="b">
        <v>1</v>
      </c>
      <c r="L481" t="inlineStr">
        <is>
          <t>not_relevant</t>
        </is>
      </c>
      <c r="M481" t="inlineStr">
        <is>
          <t>not_relevant</t>
        </is>
      </c>
      <c r="N481" t="inlineStr">
        <is>
          <t>not_relevant</t>
        </is>
      </c>
      <c r="O481" t="inlineStr">
        <is>
          <t>not_relevant</t>
        </is>
      </c>
      <c r="P481" t="b">
        <v>1</v>
      </c>
    </row>
    <row r="482">
      <c r="A482" t="inlineStr">
        <is>
          <t>gift bag and bow</t>
        </is>
      </c>
      <c r="B482" t="inlineStr"/>
      <c r="C482" t="n">
        <v>1030033926</v>
      </c>
      <c r="D482">
        <f>HYPERLINK("https://www.etsy.com/listing/1030033926", "link")</f>
        <v/>
      </c>
      <c r="E482">
        <f>HYPERLINK("https://atlas.etsycorp.com/listing/1030033926/lookup", "link")</f>
        <v/>
      </c>
      <c r="F482" t="inlineStr">
        <is>
          <t>Luxury MILKSHAKES Gift, Birthday, Unicorn, Chocolate Hamper, Children, Teens Gift, Ready for Christmas. Stocking Filler, Easter Gift</t>
        </is>
      </c>
      <c r="G482" t="inlineStr">
        <is>
          <t>EufNy4R5vH8hxQvxRInxmjJrkib4</t>
        </is>
      </c>
      <c r="H482" t="inlineStr">
        <is>
          <t>web</t>
        </is>
      </c>
      <c r="I482" t="inlineStr">
        <is>
          <t>en-GB</t>
        </is>
      </c>
      <c r="J482" t="inlineStr">
        <is>
          <t>us_v2-gift</t>
        </is>
      </c>
      <c r="K482" t="b">
        <v>1</v>
      </c>
      <c r="L482" t="inlineStr">
        <is>
          <t>not_relevant</t>
        </is>
      </c>
      <c r="M482" t="inlineStr">
        <is>
          <t>not_relevant</t>
        </is>
      </c>
      <c r="N482" t="inlineStr">
        <is>
          <t>not_relevant</t>
        </is>
      </c>
      <c r="O482" t="inlineStr">
        <is>
          <t>not_relevant</t>
        </is>
      </c>
      <c r="P482" t="b">
        <v>1</v>
      </c>
    </row>
    <row r="483">
      <c r="A483" t="inlineStr">
        <is>
          <t>heavy metal premium hoodies</t>
        </is>
      </c>
      <c r="B483" t="inlineStr"/>
      <c r="C483" t="n">
        <v>1581927653</v>
      </c>
      <c r="D483">
        <f>HYPERLINK("https://www.etsy.com/listing/1581927653", "link")</f>
        <v/>
      </c>
      <c r="E483">
        <f>HYPERLINK("https://atlas.etsycorp.com/listing/1581927653/lookup", "link")</f>
        <v/>
      </c>
      <c r="F483" t="inlineStr">
        <is>
          <t>Women&amp;#39;s Heavy Metal Swimsuit/ALL SIZES/Heavy Metal/Heavy Metal Bikini/Rock N Roll Style/Unique Gifts For Her/Heavy Metal Lingerie</t>
        </is>
      </c>
      <c r="G483" t="inlineStr">
        <is>
          <t>EuBf1ydn1px8MicVcXuse0LN7sa9</t>
        </is>
      </c>
      <c r="H483" t="inlineStr">
        <is>
          <t>boe</t>
        </is>
      </c>
      <c r="I483" t="inlineStr">
        <is>
          <t>en-US</t>
        </is>
      </c>
      <c r="J483" t="inlineStr">
        <is>
          <t>us_v2-direct_specified</t>
        </is>
      </c>
      <c r="K483" t="b">
        <v>1</v>
      </c>
      <c r="L483" t="inlineStr">
        <is>
          <t>partial</t>
        </is>
      </c>
      <c r="M483" t="inlineStr">
        <is>
          <t>partial</t>
        </is>
      </c>
      <c r="N483" t="inlineStr">
        <is>
          <t>not_relevant</t>
        </is>
      </c>
      <c r="O483" t="inlineStr">
        <is>
          <t>partial</t>
        </is>
      </c>
      <c r="P483" t="b">
        <v>1</v>
      </c>
    </row>
    <row r="484">
      <c r="A484" t="inlineStr">
        <is>
          <t>bomboniere nascita bimbo</t>
        </is>
      </c>
      <c r="B484" t="inlineStr">
        <is>
          <t>baby birth favors</t>
        </is>
      </c>
      <c r="C484" t="n">
        <v>1492825268</v>
      </c>
      <c r="D484">
        <f>HYPERLINK("https://www.etsy.com/listing/1492825268", "link")</f>
        <v/>
      </c>
      <c r="E484">
        <f>HYPERLINK("https://atlas.etsycorp.com/listing/1492825268/lookup", "link")</f>
        <v/>
      </c>
      <c r="F484" t="inlineStr">
        <is>
          <t>Personalized soaps</t>
        </is>
      </c>
      <c r="G484" t="inlineStr">
        <is>
          <t>EuIq_G73JSzw4WC8PSyR_qx6G6d0</t>
        </is>
      </c>
      <c r="H484" t="inlineStr">
        <is>
          <t>web</t>
        </is>
      </c>
      <c r="I484" t="inlineStr">
        <is>
          <t>it</t>
        </is>
      </c>
      <c r="J484" t="inlineStr">
        <is>
          <t>intl-it</t>
        </is>
      </c>
      <c r="K484" t="b">
        <v>1</v>
      </c>
      <c r="L484" t="inlineStr">
        <is>
          <t>not_relevant</t>
        </is>
      </c>
      <c r="M484" t="inlineStr">
        <is>
          <t>not_relevant</t>
        </is>
      </c>
      <c r="N484" t="inlineStr">
        <is>
          <t>not_relevant</t>
        </is>
      </c>
      <c r="O484" t="inlineStr">
        <is>
          <t>partial</t>
        </is>
      </c>
      <c r="P484" t="b">
        <v>1</v>
      </c>
    </row>
    <row r="485">
      <c r="A485" t="inlineStr">
        <is>
          <t>hoja para pluma</t>
        </is>
      </c>
      <c r="B485" t="inlineStr">
        <is>
          <t>pen sheet</t>
        </is>
      </c>
      <c r="C485" t="n">
        <v>1169363117</v>
      </c>
      <c r="D485">
        <f>HYPERLINK("https://www.etsy.com/listing/1169363117", "link")</f>
        <v/>
      </c>
      <c r="E485">
        <f>HYPERLINK("https://atlas.etsycorp.com/listing/1169363117/lookup", "link")</f>
        <v/>
      </c>
      <c r="F485" t="inlineStr">
        <is>
          <t>4 Pen Wraps Man, Father&amp;#39;s day, Dad Gift Wood Pattern Design, waterslide epoxy pen wrap, 300 DPI, 4 PNG Files on individual and on full sheet</t>
        </is>
      </c>
      <c r="G485" t="inlineStr">
        <is>
          <t>EuUT1c-N3wd4tEwRzl1yKSTFi113</t>
        </is>
      </c>
      <c r="H485" t="inlineStr">
        <is>
          <t>web</t>
        </is>
      </c>
      <c r="I485" t="inlineStr">
        <is>
          <t>es</t>
        </is>
      </c>
      <c r="J485" t="inlineStr">
        <is>
          <t>intl-es</t>
        </is>
      </c>
      <c r="K485" t="b">
        <v>1</v>
      </c>
      <c r="L485" t="inlineStr">
        <is>
          <t>not_relevant</t>
        </is>
      </c>
      <c r="M485" t="inlineStr">
        <is>
          <t>not_relevant</t>
        </is>
      </c>
      <c r="N485" t="inlineStr">
        <is>
          <t>not_relevant</t>
        </is>
      </c>
      <c r="O485" t="inlineStr">
        <is>
          <t>partial</t>
        </is>
      </c>
      <c r="P485" t="b">
        <v>1</v>
      </c>
    </row>
    <row r="486">
      <c r="A486" t="inlineStr">
        <is>
          <t>freestyle libre 2</t>
        </is>
      </c>
      <c r="B486" t="inlineStr">
        <is>
          <t>freestyle free 2</t>
        </is>
      </c>
      <c r="C486" t="n">
        <v>1418980186</v>
      </c>
      <c r="D486">
        <f>HYPERLINK("https://www.etsy.com/listing/1418980186", "link")</f>
        <v/>
      </c>
      <c r="E486">
        <f>HYPERLINK("https://atlas.etsycorp.com/listing/1418980186/lookup", "link")</f>
        <v/>
      </c>
      <c r="F486" t="inlineStr">
        <is>
          <t>Freestyle Libre 3 Fixation Strap Fixation Holder with Adjustable Wristband **BASIC**</t>
        </is>
      </c>
      <c r="G486" t="inlineStr">
        <is>
          <t>EuEEN93tuc989lqywqiMEbewFs23</t>
        </is>
      </c>
      <c r="H486" t="inlineStr">
        <is>
          <t>web</t>
        </is>
      </c>
      <c r="I486" t="inlineStr">
        <is>
          <t>it</t>
        </is>
      </c>
      <c r="J486" t="inlineStr">
        <is>
          <t>intl-it</t>
        </is>
      </c>
      <c r="K486" t="b">
        <v>1</v>
      </c>
      <c r="L486" t="inlineStr">
        <is>
          <t>partial</t>
        </is>
      </c>
      <c r="M486" t="inlineStr">
        <is>
          <t>partial</t>
        </is>
      </c>
      <c r="N486" t="inlineStr">
        <is>
          <t>not_relevant</t>
        </is>
      </c>
      <c r="O486" t="inlineStr">
        <is>
          <t>partial</t>
        </is>
      </c>
      <c r="P486" t="b">
        <v>1</v>
      </c>
    </row>
    <row r="487">
      <c r="A487" t="inlineStr">
        <is>
          <t>Gobog coins frame</t>
        </is>
      </c>
      <c r="B487" t="inlineStr"/>
      <c r="C487" t="n">
        <v>1552600651</v>
      </c>
      <c r="D487">
        <f>HYPERLINK("https://www.etsy.com/listing/1552600651", "link")</f>
        <v/>
      </c>
      <c r="E487">
        <f>HYPERLINK("https://atlas.etsycorp.com/listing/1552600651/lookup", "link")</f>
        <v/>
      </c>
      <c r="F487" t="inlineStr">
        <is>
          <t>8 Trading Card Frame for Raw Cards with Optional UV Protection, Mtg, Pokemon, Yu-Gi-Oh! TCG, High Quality Display Wall Hanging</t>
        </is>
      </c>
      <c r="G487" t="inlineStr">
        <is>
          <t>EuLP28ksgDesHWefilnVypveX680</t>
        </is>
      </c>
      <c r="H487" t="inlineStr">
        <is>
          <t>web</t>
        </is>
      </c>
      <c r="I487" t="inlineStr">
        <is>
          <t>en-GB</t>
        </is>
      </c>
      <c r="J487" t="inlineStr">
        <is>
          <t>us_v2-direct_specified</t>
        </is>
      </c>
      <c r="K487" t="b">
        <v>1</v>
      </c>
      <c r="L487" t="inlineStr">
        <is>
          <t>not_relevant</t>
        </is>
      </c>
      <c r="M487" t="inlineStr">
        <is>
          <t>not_relevant</t>
        </is>
      </c>
      <c r="N487" t="inlineStr">
        <is>
          <t>not_relevant</t>
        </is>
      </c>
      <c r="O487" t="inlineStr">
        <is>
          <t>partial</t>
        </is>
      </c>
      <c r="P487" t="b">
        <v>1</v>
      </c>
    </row>
    <row r="488">
      <c r="A488" t="inlineStr">
        <is>
          <t>taylor swift invisible string</t>
        </is>
      </c>
      <c r="B488" t="inlineStr"/>
      <c r="C488" t="n">
        <v>1642116084</v>
      </c>
      <c r="D488">
        <f>HYPERLINK("https://www.etsy.com/listing/1642116084", "link")</f>
        <v/>
      </c>
      <c r="E488">
        <f>HYPERLINK("https://atlas.etsycorp.com/listing/1642116084/lookup", "link")</f>
        <v/>
      </c>
      <c r="F488" t="inlineStr">
        <is>
          <t>Galentine&amp;#39;s Favorite Things Party Invite, Valentines Day Brunch, Galentine&amp;#39;s Brunch Invitation, Printable Template, Instant Download Digital</t>
        </is>
      </c>
      <c r="G488" t="inlineStr">
        <is>
          <t>EudmPWBkGgwvH6Ko4aLqK5p1gZ8f</t>
        </is>
      </c>
      <c r="H488" t="inlineStr">
        <is>
          <t>web</t>
        </is>
      </c>
      <c r="I488" t="inlineStr">
        <is>
          <t>en-US</t>
        </is>
      </c>
      <c r="J488" t="inlineStr">
        <is>
          <t>us_v2-direct_specified</t>
        </is>
      </c>
      <c r="K488" t="b">
        <v>1</v>
      </c>
      <c r="L488" t="inlineStr">
        <is>
          <t>not_relevant</t>
        </is>
      </c>
      <c r="M488" t="inlineStr">
        <is>
          <t>not_relevant</t>
        </is>
      </c>
      <c r="N488" t="inlineStr">
        <is>
          <t>not_relevant</t>
        </is>
      </c>
      <c r="O488" t="inlineStr">
        <is>
          <t>not_relevant</t>
        </is>
      </c>
      <c r="P488" t="b">
        <v>1</v>
      </c>
    </row>
    <row r="489">
      <c r="A489" t="inlineStr">
        <is>
          <t>Animal Jam spikes</t>
        </is>
      </c>
      <c r="B489" t="inlineStr"/>
      <c r="C489" t="n">
        <v>1013474569</v>
      </c>
      <c r="D489">
        <f>HYPERLINK("https://www.etsy.com/listing/1013474569", "link")</f>
        <v/>
      </c>
      <c r="E489">
        <f>HYPERLINK("https://atlas.etsycorp.com/listing/1013474569/lookup", "link")</f>
        <v/>
      </c>
      <c r="F489" t="inlineStr">
        <is>
          <t>rat semi toony head base with moving jaw (3D printed)</t>
        </is>
      </c>
      <c r="G489" t="inlineStr">
        <is>
          <t>EuuCuLYhYC8Szna7WoZroNMsSMfa</t>
        </is>
      </c>
      <c r="H489" t="inlineStr">
        <is>
          <t>web</t>
        </is>
      </c>
      <c r="I489" t="inlineStr">
        <is>
          <t>en-US</t>
        </is>
      </c>
      <c r="J489" t="inlineStr">
        <is>
          <t>us_v2-direct_unspecified</t>
        </is>
      </c>
      <c r="K489" t="b">
        <v>1</v>
      </c>
      <c r="L489" t="inlineStr">
        <is>
          <t>not_relevant</t>
        </is>
      </c>
      <c r="M489" t="inlineStr">
        <is>
          <t>not_relevant</t>
        </is>
      </c>
      <c r="N489" t="inlineStr">
        <is>
          <t>not_relevant</t>
        </is>
      </c>
      <c r="O489" t="inlineStr">
        <is>
          <t>not_relevant</t>
        </is>
      </c>
      <c r="P489" t="b">
        <v>1</v>
      </c>
    </row>
    <row r="490">
      <c r="A490" t="inlineStr">
        <is>
          <t>costumized invitations of hello kitty</t>
        </is>
      </c>
      <c r="B490" t="inlineStr"/>
      <c r="C490" t="n">
        <v>1442702571</v>
      </c>
      <c r="D490">
        <f>HYPERLINK("https://www.etsy.com/listing/1442702571", "link")</f>
        <v/>
      </c>
      <c r="E490">
        <f>HYPERLINK("https://atlas.etsycorp.com/listing/1442702571/lookup", "link")</f>
        <v/>
      </c>
      <c r="F490" t="inlineStr">
        <is>
          <t>Hello kitty outfit, tutu outfit many sizes available</t>
        </is>
      </c>
      <c r="G490" t="inlineStr">
        <is>
          <t>Euv3yzTQBSDSMv2Gzn0qAVQex2a6</t>
        </is>
      </c>
      <c r="H490" t="inlineStr">
        <is>
          <t>boe</t>
        </is>
      </c>
      <c r="I490" t="inlineStr">
        <is>
          <t>en-US</t>
        </is>
      </c>
      <c r="J490" t="inlineStr">
        <is>
          <t>us_v2-direct_specified</t>
        </is>
      </c>
      <c r="K490" t="b">
        <v>1</v>
      </c>
      <c r="L490" t="inlineStr">
        <is>
          <t>partial</t>
        </is>
      </c>
      <c r="M490" t="inlineStr">
        <is>
          <t>partial</t>
        </is>
      </c>
      <c r="N490" t="inlineStr">
        <is>
          <t>partial</t>
        </is>
      </c>
      <c r="O490" t="inlineStr">
        <is>
          <t>partial</t>
        </is>
      </c>
      <c r="P490" t="b">
        <v>1</v>
      </c>
    </row>
    <row r="491">
      <c r="A491" t="inlineStr">
        <is>
          <t>dress pattern</t>
        </is>
      </c>
      <c r="B491" t="inlineStr"/>
      <c r="C491" t="n">
        <v>1530019034</v>
      </c>
      <c r="D491">
        <f>HYPERLINK("https://www.etsy.com/listing/1530019034", "link")</f>
        <v/>
      </c>
      <c r="E491">
        <f>HYPERLINK("https://atlas.etsycorp.com/listing/1530019034/lookup", "link")</f>
        <v/>
      </c>
      <c r="F491" t="inlineStr">
        <is>
          <t>Milkmaid Top Sewing Pattern, Cottagecore Lace Tie Top, XXS - XXL, Easy Sewing Pattern, A0, A4 &amp; US-Letter + Detailed Instruction</t>
        </is>
      </c>
      <c r="G491" t="inlineStr">
        <is>
          <t>EuCgnVKhZItQq7zt73CQ3_AxO45b</t>
        </is>
      </c>
      <c r="H491" t="inlineStr">
        <is>
          <t>web</t>
        </is>
      </c>
      <c r="I491" t="inlineStr">
        <is>
          <t>en-US</t>
        </is>
      </c>
      <c r="J491" t="inlineStr">
        <is>
          <t>us_v2-direct_unspecified</t>
        </is>
      </c>
      <c r="K491" t="b">
        <v>1</v>
      </c>
      <c r="L491" t="inlineStr">
        <is>
          <t>partial</t>
        </is>
      </c>
      <c r="M491" t="inlineStr">
        <is>
          <t>partial</t>
        </is>
      </c>
      <c r="N491" t="inlineStr">
        <is>
          <t>partial</t>
        </is>
      </c>
      <c r="O491" t="inlineStr">
        <is>
          <t>partial</t>
        </is>
      </c>
      <c r="P491" t="b">
        <v>1</v>
      </c>
    </row>
    <row r="492">
      <c r="A492" t="inlineStr">
        <is>
          <t>laptop stickers</t>
        </is>
      </c>
      <c r="B492" t="inlineStr"/>
      <c r="C492" t="n">
        <v>1333844251</v>
      </c>
      <c r="D492">
        <f>HYPERLINK("https://www.etsy.com/listing/1333844251", "link")</f>
        <v/>
      </c>
      <c r="E492">
        <f>HYPERLINK("https://atlas.etsycorp.com/listing/1333844251/lookup", "link")</f>
        <v/>
      </c>
      <c r="F492" t="inlineStr">
        <is>
          <t>100 Stickers Cartoon TV Shows Internet Memes Emoji Theme Design Cute Aestheic Stickers Collection</t>
        </is>
      </c>
      <c r="G492" t="inlineStr">
        <is>
          <t>EuvXdXcML-UBbO_LNq0zK6kCzx3d</t>
        </is>
      </c>
      <c r="H492" t="inlineStr">
        <is>
          <t>web</t>
        </is>
      </c>
      <c r="I492" t="inlineStr">
        <is>
          <t>en-GB</t>
        </is>
      </c>
      <c r="J492" t="inlineStr">
        <is>
          <t>us_v2-direct_unspecified</t>
        </is>
      </c>
      <c r="K492" t="b">
        <v>1</v>
      </c>
      <c r="L492" t="inlineStr">
        <is>
          <t>partial</t>
        </is>
      </c>
      <c r="M492" t="inlineStr">
        <is>
          <t>partial</t>
        </is>
      </c>
      <c r="N492" t="inlineStr">
        <is>
          <t>partial</t>
        </is>
      </c>
      <c r="O492" t="inlineStr">
        <is>
          <t>relevant</t>
        </is>
      </c>
      <c r="P492" t="b">
        <v>1</v>
      </c>
    </row>
    <row r="493">
      <c r="A493" t="inlineStr">
        <is>
          <t>dtf transfer</t>
        </is>
      </c>
      <c r="B493" t="inlineStr"/>
      <c r="C493" t="n">
        <v>1656622365</v>
      </c>
      <c r="D493">
        <f>HYPERLINK("https://www.etsy.com/listing/1656622365", "link")</f>
        <v/>
      </c>
      <c r="E493">
        <f>HYPERLINK("https://atlas.etsycorp.com/listing/1656622365/lookup", "link")</f>
        <v/>
      </c>
      <c r="F493" t="inlineStr">
        <is>
          <t>Stich Love Png, Happy Valentine&amp;#39;s Day Stitch Png, Pink print, Valentines Day Png, Sublimation Design, Valentine Png, Instant Download</t>
        </is>
      </c>
      <c r="G493" t="inlineStr">
        <is>
          <t>EugPnQa-RC3xA5eH8EKaqf11rW21</t>
        </is>
      </c>
      <c r="H493" t="inlineStr">
        <is>
          <t>web</t>
        </is>
      </c>
      <c r="I493" t="inlineStr">
        <is>
          <t>en-US</t>
        </is>
      </c>
      <c r="J493" t="inlineStr">
        <is>
          <t>us_v2-direct_unspecified</t>
        </is>
      </c>
      <c r="K493" t="b">
        <v>1</v>
      </c>
      <c r="L493" t="inlineStr">
        <is>
          <t>not_relevant</t>
        </is>
      </c>
      <c r="M493" t="inlineStr">
        <is>
          <t>partial</t>
        </is>
      </c>
      <c r="N493" t="inlineStr">
        <is>
          <t>not_relevant</t>
        </is>
      </c>
      <c r="O493" t="inlineStr">
        <is>
          <t>not_relevant</t>
        </is>
      </c>
      <c r="P493" t="b">
        <v>1</v>
      </c>
    </row>
    <row r="494">
      <c r="A494" t="inlineStr">
        <is>
          <t>Daughter card, funny card for Daughter, thank you for being</t>
        </is>
      </c>
      <c r="B494" t="inlineStr"/>
      <c r="C494" t="n">
        <v>1416842655</v>
      </c>
      <c r="D494">
        <f>HYPERLINK("https://www.etsy.com/listing/1416842655", "link")</f>
        <v/>
      </c>
      <c r="E494">
        <f>HYPERLINK("https://atlas.etsycorp.com/listing/1416842655/lookup", "link")</f>
        <v/>
      </c>
      <c r="F494" t="inlineStr">
        <is>
          <t>Day You Were Born Our Daughter Personalised Birthday Cards, Birthday Card for Daughter, Birthday Gift Ideas, Birthday Card</t>
        </is>
      </c>
      <c r="G494" t="inlineStr">
        <is>
          <t>EumsGUuT8ixyViBFHzFXh_LjMZ61</t>
        </is>
      </c>
      <c r="H494" t="inlineStr">
        <is>
          <t>web</t>
        </is>
      </c>
      <c r="I494" t="inlineStr">
        <is>
          <t>en-GB</t>
        </is>
      </c>
      <c r="J494" t="inlineStr">
        <is>
          <t>us_v2-gift</t>
        </is>
      </c>
      <c r="K494" t="b">
        <v>1</v>
      </c>
      <c r="L494" t="inlineStr">
        <is>
          <t>relevant</t>
        </is>
      </c>
      <c r="M494" t="inlineStr">
        <is>
          <t>partial</t>
        </is>
      </c>
      <c r="N494" t="inlineStr">
        <is>
          <t>relevant</t>
        </is>
      </c>
      <c r="O494" t="inlineStr">
        <is>
          <t>relevant</t>
        </is>
      </c>
      <c r="P494" t="b">
        <v>1</v>
      </c>
    </row>
    <row r="495">
      <c r="A495" t="inlineStr">
        <is>
          <t>david yarrow</t>
        </is>
      </c>
      <c r="B495" t="inlineStr"/>
      <c r="C495" t="n">
        <v>1427732391</v>
      </c>
      <c r="D495">
        <f>HYPERLINK("https://www.etsy.com/listing/1427732391", "link")</f>
        <v/>
      </c>
      <c r="E495">
        <f>HYPERLINK("https://atlas.etsycorp.com/listing/1427732391/lookup", "link")</f>
        <v/>
      </c>
      <c r="F495" t="inlineStr">
        <is>
          <t>Achillea Oertel&amp;#39;s Rose Yarrow - 5 Landscape Sized Bare Root Plants</t>
        </is>
      </c>
      <c r="G495" t="inlineStr">
        <is>
          <t>Eu6o73tAsYVdqNmW1egT98Vl9ae1</t>
        </is>
      </c>
      <c r="H495" t="inlineStr">
        <is>
          <t>web</t>
        </is>
      </c>
      <c r="I495" t="inlineStr">
        <is>
          <t>en-US</t>
        </is>
      </c>
      <c r="J495" t="inlineStr">
        <is>
          <t>us_v2-broad</t>
        </is>
      </c>
      <c r="K495" t="b">
        <v>1</v>
      </c>
      <c r="L495" t="inlineStr">
        <is>
          <t>not_relevant</t>
        </is>
      </c>
      <c r="M495" t="inlineStr">
        <is>
          <t>not_relevant</t>
        </is>
      </c>
      <c r="N495" t="inlineStr">
        <is>
          <t>not_relevant</t>
        </is>
      </c>
      <c r="O495" t="inlineStr">
        <is>
          <t>partial</t>
        </is>
      </c>
      <c r="P495" t="b">
        <v>1</v>
      </c>
    </row>
    <row r="496">
      <c r="A496" t="inlineStr">
        <is>
          <t>Luxury Wedding Hamper/Personalised Wedding Frame/Pamper Hamper/Mr And Mrs Gift/Engagement/His and</t>
        </is>
      </c>
      <c r="B496" t="inlineStr"/>
      <c r="C496" t="n">
        <v>1659026554</v>
      </c>
      <c r="D496">
        <f>HYPERLINK("https://www.etsy.com/listing/1659026554", "link")</f>
        <v/>
      </c>
      <c r="E496">
        <f>HYPERLINK("https://atlas.etsycorp.com/listing/1659026554/lookup", "link")</f>
        <v/>
      </c>
      <c r="F496" t="inlineStr">
        <is>
          <t>Personalised Couples Passport Cover &amp; Suitcase Tag with Personalised Sunglasses Case in Personalised Presentation Box</t>
        </is>
      </c>
      <c r="G496" t="inlineStr">
        <is>
          <t>EulNk4E7roqBnFyTPzaFEzevxxdc</t>
        </is>
      </c>
      <c r="H496" t="inlineStr">
        <is>
          <t>web</t>
        </is>
      </c>
      <c r="I496" t="inlineStr">
        <is>
          <t>en-GB</t>
        </is>
      </c>
      <c r="J496" t="inlineStr">
        <is>
          <t>us_v2-direct_specified</t>
        </is>
      </c>
      <c r="K496" t="b">
        <v>1</v>
      </c>
      <c r="L496" t="inlineStr">
        <is>
          <t>not_relevant</t>
        </is>
      </c>
      <c r="M496" t="inlineStr">
        <is>
          <t>partial</t>
        </is>
      </c>
      <c r="N496" t="inlineStr">
        <is>
          <t>not_relevant</t>
        </is>
      </c>
      <c r="O496" t="inlineStr">
        <is>
          <t>not_relevant</t>
        </is>
      </c>
      <c r="P496" t="b">
        <v>1</v>
      </c>
    </row>
    <row r="497">
      <c r="A497" t="inlineStr">
        <is>
          <t>shogun warriors</t>
        </is>
      </c>
      <c r="B497" t="inlineStr"/>
      <c r="C497" t="n">
        <v>964353168</v>
      </c>
      <c r="D497">
        <f>HYPERLINK("https://www.etsy.com/listing/964353168", "link")</f>
        <v/>
      </c>
      <c r="E497">
        <f>HYPERLINK("https://atlas.etsycorp.com/listing/964353168/lookup", "link")</f>
        <v/>
      </c>
      <c r="F497" t="inlineStr">
        <is>
          <t>Rocket Fist Pendant</t>
        </is>
      </c>
      <c r="G497" t="inlineStr">
        <is>
          <t>Euo_h4SOOjlPuKPi9ac3AiNacAf1</t>
        </is>
      </c>
      <c r="H497" t="inlineStr">
        <is>
          <t>boe</t>
        </is>
      </c>
      <c r="I497" t="inlineStr">
        <is>
          <t>en-GB</t>
        </is>
      </c>
      <c r="J497" t="inlineStr">
        <is>
          <t>us_v2-broad</t>
        </is>
      </c>
      <c r="K497" t="b">
        <v>1</v>
      </c>
      <c r="L497" t="inlineStr">
        <is>
          <t>not_relevant</t>
        </is>
      </c>
      <c r="M497" t="inlineStr">
        <is>
          <t>not_relevant</t>
        </is>
      </c>
      <c r="N497" t="inlineStr">
        <is>
          <t>not_relevant</t>
        </is>
      </c>
      <c r="O497" t="inlineStr">
        <is>
          <t>not_relevant</t>
        </is>
      </c>
      <c r="P497" t="b">
        <v>1</v>
      </c>
    </row>
    <row r="498">
      <c r="A498" t="inlineStr">
        <is>
          <t>camp painting</t>
        </is>
      </c>
      <c r="B498" t="inlineStr"/>
      <c r="C498" t="n">
        <v>1554448928</v>
      </c>
      <c r="D498">
        <f>HYPERLINK("https://www.etsy.com/listing/1554448928", "link")</f>
        <v/>
      </c>
      <c r="E498">
        <f>HYPERLINK("https://atlas.etsycorp.com/listing/1554448928/lookup", "link")</f>
        <v/>
      </c>
      <c r="F498" t="inlineStr">
        <is>
          <t>Quiet book for 2 years old, felt busy board  for toddlers ,activity board for preschool ,Montessori inspired toy ,sensory travel toy.</t>
        </is>
      </c>
      <c r="G498" t="inlineStr">
        <is>
          <t>Eu-2SDmdwRDwdiOWngjpyWFuWr9b</t>
        </is>
      </c>
      <c r="H498" t="inlineStr">
        <is>
          <t>web</t>
        </is>
      </c>
      <c r="I498" t="inlineStr">
        <is>
          <t>en-US</t>
        </is>
      </c>
      <c r="J498" t="inlineStr">
        <is>
          <t>us_v2-direct_unspecified</t>
        </is>
      </c>
      <c r="K498" t="b">
        <v>1</v>
      </c>
      <c r="L498" t="inlineStr">
        <is>
          <t>not_relevant</t>
        </is>
      </c>
      <c r="M498" t="inlineStr">
        <is>
          <t>not_relevant</t>
        </is>
      </c>
      <c r="N498" t="inlineStr">
        <is>
          <t>not_relevant</t>
        </is>
      </c>
      <c r="O498" t="inlineStr">
        <is>
          <t>not_relevant</t>
        </is>
      </c>
      <c r="P498" t="b">
        <v>1</v>
      </c>
    </row>
    <row r="499">
      <c r="A499" t="inlineStr">
        <is>
          <t>valentines for her</t>
        </is>
      </c>
      <c r="B499" t="inlineStr"/>
      <c r="C499" t="n">
        <v>792946874</v>
      </c>
      <c r="D499">
        <f>HYPERLINK("https://www.etsy.com/listing/792946874", "link")</f>
        <v/>
      </c>
      <c r="E499">
        <f>HYPERLINK("https://atlas.etsycorp.com/listing/792946874/lookup", "link")</f>
        <v/>
      </c>
      <c r="F499" t="inlineStr">
        <is>
          <t>Love Card SPICY ASS Pun, Funny Birthday Card, Card For Boyfriend, Card For Girlfriend, Anniversary Card, Valentines Day Gift For Him, Kawaii</t>
        </is>
      </c>
      <c r="G499" t="inlineStr">
        <is>
          <t>Euqd60IrznSBJNT04zSutm9hoLa4</t>
        </is>
      </c>
      <c r="H499" t="inlineStr">
        <is>
          <t>web</t>
        </is>
      </c>
      <c r="I499" t="inlineStr">
        <is>
          <t>en-US</t>
        </is>
      </c>
      <c r="J499" t="inlineStr">
        <is>
          <t>us_v2-gift</t>
        </is>
      </c>
      <c r="K499" t="b">
        <v>1</v>
      </c>
      <c r="L499" t="inlineStr">
        <is>
          <t>not_relevant</t>
        </is>
      </c>
      <c r="M499" t="inlineStr">
        <is>
          <t>not_relevant</t>
        </is>
      </c>
      <c r="N499" t="inlineStr">
        <is>
          <t>partial</t>
        </is>
      </c>
      <c r="O499" t="inlineStr">
        <is>
          <t>not_relevant</t>
        </is>
      </c>
      <c r="P499" t="b">
        <v>1</v>
      </c>
    </row>
    <row r="500">
      <c r="A500" t="inlineStr">
        <is>
          <t>bingo tumbler</t>
        </is>
      </c>
      <c r="B500" t="inlineStr"/>
      <c r="C500" t="n">
        <v>1539540515</v>
      </c>
      <c r="D500">
        <f>HYPERLINK("https://www.etsy.com/listing/1539540515", "link")</f>
        <v/>
      </c>
      <c r="E500">
        <f>HYPERLINK("https://atlas.etsycorp.com/listing/1539540515/lookup", "link")</f>
        <v/>
      </c>
      <c r="F500" t="inlineStr">
        <is>
          <t>Clipart Bundles, Bingo Gnome png, Digital Download, Sublimation Designs, Crazy Bingo Lady, Cute Characters, Gnome PNG, Clipart Bundles</t>
        </is>
      </c>
      <c r="G500" t="inlineStr">
        <is>
          <t>Eu-ubtcRwZ9vixXK_oTJWXXIr4db</t>
        </is>
      </c>
      <c r="H500" t="inlineStr">
        <is>
          <t>web</t>
        </is>
      </c>
      <c r="I500" t="inlineStr">
        <is>
          <t>en-GB</t>
        </is>
      </c>
      <c r="J500" t="inlineStr">
        <is>
          <t>us_v2-direct_unspecified</t>
        </is>
      </c>
      <c r="K500" t="b">
        <v>1</v>
      </c>
      <c r="L500" t="inlineStr">
        <is>
          <t>not_relevant</t>
        </is>
      </c>
      <c r="M500" t="inlineStr">
        <is>
          <t>partial</t>
        </is>
      </c>
      <c r="N500" t="inlineStr">
        <is>
          <t>not_relevant</t>
        </is>
      </c>
      <c r="O500" t="inlineStr">
        <is>
          <t>not_relevant</t>
        </is>
      </c>
      <c r="P500" t="b">
        <v>1</v>
      </c>
    </row>
    <row r="501">
      <c r="A501" t="inlineStr">
        <is>
          <t>sea life linocut</t>
        </is>
      </c>
      <c r="B501" t="inlineStr"/>
      <c r="C501" t="n">
        <v>1605037136</v>
      </c>
      <c r="D501">
        <f>HYPERLINK("https://www.etsy.com/listing/1605037136", "link")</f>
        <v/>
      </c>
      <c r="E501">
        <f>HYPERLINK("https://atlas.etsycorp.com/listing/1605037136/lookup", "link")</f>
        <v/>
      </c>
      <c r="F501" t="inlineStr">
        <is>
          <t>Antique Original Vintage BAKER Microscope Made in London - 1895</t>
        </is>
      </c>
      <c r="G501" t="inlineStr">
        <is>
          <t>Eu6BfUIeIt6dDDunyxY39G0d3d4f</t>
        </is>
      </c>
      <c r="H501" t="inlineStr">
        <is>
          <t>web</t>
        </is>
      </c>
      <c r="I501" t="inlineStr">
        <is>
          <t>en-US</t>
        </is>
      </c>
      <c r="J501" t="inlineStr">
        <is>
          <t>us_v2-broad</t>
        </is>
      </c>
      <c r="K501" t="b">
        <v>1</v>
      </c>
      <c r="L501" t="inlineStr">
        <is>
          <t>not_relevant</t>
        </is>
      </c>
      <c r="M501" t="inlineStr">
        <is>
          <t>not_relevant</t>
        </is>
      </c>
      <c r="N501" t="inlineStr">
        <is>
          <t>not_relevant</t>
        </is>
      </c>
      <c r="O501" t="inlineStr">
        <is>
          <t>not_relevant</t>
        </is>
      </c>
      <c r="P501" t="b">
        <v>1</v>
      </c>
    </row>
    <row r="502">
      <c r="A502" t="inlineStr">
        <is>
          <t>art canvas original</t>
        </is>
      </c>
      <c r="B502" t="inlineStr"/>
      <c r="C502" t="n">
        <v>1468404436</v>
      </c>
      <c r="D502">
        <f>HYPERLINK("https://www.etsy.com/listing/1468404436", "link")</f>
        <v/>
      </c>
      <c r="E502">
        <f>HYPERLINK("https://atlas.etsycorp.com/listing/1468404436/lookup", "link")</f>
        <v/>
      </c>
      <c r="F502" t="inlineStr">
        <is>
          <t>Original Beige Geometric Wall Art, Textured 3D Acrylic Canvas Painting, Wabi-Sabi Canvas Wall Art, Large Minimalist Decor for Home &amp; Office</t>
        </is>
      </c>
      <c r="G502" t="inlineStr">
        <is>
          <t>EuDANLCaBZKsfi-gXywsqkZEou54</t>
        </is>
      </c>
      <c r="H502" t="inlineStr">
        <is>
          <t>boe</t>
        </is>
      </c>
      <c r="I502" t="inlineStr">
        <is>
          <t>en-GB</t>
        </is>
      </c>
      <c r="J502" t="inlineStr">
        <is>
          <t>us_v2-direct_specified</t>
        </is>
      </c>
      <c r="K502" t="b">
        <v>1</v>
      </c>
      <c r="L502" t="inlineStr">
        <is>
          <t>relevant</t>
        </is>
      </c>
      <c r="M502" t="inlineStr">
        <is>
          <t>relevant</t>
        </is>
      </c>
      <c r="N502" t="inlineStr">
        <is>
          <t>relevant</t>
        </is>
      </c>
      <c r="O502" t="inlineStr">
        <is>
          <t>relevant</t>
        </is>
      </c>
      <c r="P502" t="b">
        <v>1</v>
      </c>
    </row>
    <row r="503">
      <c r="A503" t="inlineStr">
        <is>
          <t>emballage tablette  papa</t>
        </is>
      </c>
      <c r="B503" t="inlineStr">
        <is>
          <t>dad tablet packaging</t>
        </is>
      </c>
      <c r="C503" t="n">
        <v>1355994717</v>
      </c>
      <c r="D503">
        <f>HYPERLINK("https://www.etsy.com/listing/1355994717", "link")</f>
        <v/>
      </c>
      <c r="E503">
        <f>HYPERLINK("https://atlas.etsycorp.com/listing/1355994717/lookup", "link")</f>
        <v/>
      </c>
      <c r="F503" t="inlineStr">
        <is>
          <t>15 KRAFT GIFT POUCHES 7X12 cm fUSHIA made in France for packaging small objects jewelry packaging to personalize spring summer packaging</t>
        </is>
      </c>
      <c r="G503" t="inlineStr">
        <is>
          <t>EugwnQO8QM_PaMYXPO-hcI1P--05</t>
        </is>
      </c>
      <c r="H503" t="inlineStr">
        <is>
          <t>boe</t>
        </is>
      </c>
      <c r="I503" t="inlineStr">
        <is>
          <t>fr</t>
        </is>
      </c>
      <c r="J503" t="inlineStr">
        <is>
          <t>intl-fr</t>
        </is>
      </c>
      <c r="K503" t="b">
        <v>1</v>
      </c>
      <c r="L503" t="inlineStr">
        <is>
          <t>not_relevant</t>
        </is>
      </c>
      <c r="M503" t="inlineStr">
        <is>
          <t>not_relevant</t>
        </is>
      </c>
      <c r="N503" t="inlineStr">
        <is>
          <t>partial</t>
        </is>
      </c>
      <c r="O503" t="inlineStr">
        <is>
          <t>not_relevant</t>
        </is>
      </c>
      <c r="P503" t="b">
        <v>1</v>
      </c>
    </row>
    <row r="504">
      <c r="A504" t="inlineStr">
        <is>
          <t>air bnb welcome book</t>
        </is>
      </c>
      <c r="B504" t="inlineStr"/>
      <c r="C504" t="n">
        <v>1068739082</v>
      </c>
      <c r="D504">
        <f>HYPERLINK("https://www.etsy.com/listing/1068739082", "link")</f>
        <v/>
      </c>
      <c r="E504">
        <f>HYPERLINK("https://atlas.etsycorp.com/listing/1068739082/lookup", "link")</f>
        <v/>
      </c>
      <c r="F504" t="inlineStr">
        <is>
          <t>Undated Goodnotes Planner, Monthly Digital Planner, Goodnotes Template, iPad Planner, Digital Journal Pdf, Goodnotes Stickers Boho, Simple</t>
        </is>
      </c>
      <c r="G504" t="inlineStr">
        <is>
          <t>EuNQU0PjbM6TK_QWz-nBu3BWJW38</t>
        </is>
      </c>
      <c r="H504" t="inlineStr">
        <is>
          <t>boe</t>
        </is>
      </c>
      <c r="I504" t="inlineStr">
        <is>
          <t>en-US</t>
        </is>
      </c>
      <c r="J504" t="inlineStr">
        <is>
          <t>us_v2-direct_unspecified</t>
        </is>
      </c>
      <c r="K504" t="b">
        <v>1</v>
      </c>
      <c r="L504" t="inlineStr">
        <is>
          <t>partial</t>
        </is>
      </c>
      <c r="M504" t="inlineStr">
        <is>
          <t>not_relevant</t>
        </is>
      </c>
      <c r="N504" t="inlineStr">
        <is>
          <t>partial</t>
        </is>
      </c>
      <c r="O504" t="inlineStr">
        <is>
          <t>partial</t>
        </is>
      </c>
      <c r="P504" t="b">
        <v>1</v>
      </c>
    </row>
    <row r="505">
      <c r="A505" t="inlineStr">
        <is>
          <t>margarita joyas</t>
        </is>
      </c>
      <c r="B505" t="inlineStr">
        <is>
          <t>daisy jewelry</t>
        </is>
      </c>
      <c r="C505" t="n">
        <v>1686197422</v>
      </c>
      <c r="D505">
        <f>HYPERLINK("https://www.etsy.com/listing/1686197422", "link")</f>
        <v/>
      </c>
      <c r="E505">
        <f>HYPERLINK("https://atlas.etsycorp.com/listing/1686197422/lookup", "link")</f>
        <v/>
      </c>
      <c r="F505" t="inlineStr">
        <is>
          <t>Colourful Pearl Necklace, Statement Pearl Necklace, Flower Pearl Choker, Mixed Bead Necklace, Beaded Pearl Necklace, Chunky Pearl Necklace</t>
        </is>
      </c>
      <c r="G505" t="inlineStr">
        <is>
          <t>EugCpVERFATBw266-aN-8lPVCO42</t>
        </is>
      </c>
      <c r="H505" t="inlineStr">
        <is>
          <t>boe</t>
        </is>
      </c>
      <c r="I505" t="inlineStr">
        <is>
          <t>es</t>
        </is>
      </c>
      <c r="J505" t="inlineStr">
        <is>
          <t>intl-es</t>
        </is>
      </c>
      <c r="K505" t="b">
        <v>1</v>
      </c>
      <c r="L505" t="inlineStr">
        <is>
          <t>partial</t>
        </is>
      </c>
      <c r="M505" t="inlineStr">
        <is>
          <t>partial</t>
        </is>
      </c>
      <c r="N505" t="inlineStr">
        <is>
          <t>relevant</t>
        </is>
      </c>
      <c r="O505" t="inlineStr">
        <is>
          <t>partial</t>
        </is>
      </c>
      <c r="P505" t="b">
        <v>1</v>
      </c>
    </row>
    <row r="506">
      <c r="A506" t="inlineStr">
        <is>
          <t>kobiety  strój</t>
        </is>
      </c>
      <c r="B506" t="inlineStr">
        <is>
          <t>women outfit</t>
        </is>
      </c>
      <c r="C506" t="n">
        <v>1497591697</v>
      </c>
      <c r="D506">
        <f>HYPERLINK("https://www.etsy.com/listing/1497591697", "link")</f>
        <v/>
      </c>
      <c r="E506">
        <f>HYPERLINK("https://atlas.etsycorp.com/listing/1497591697/lookup", "link")</f>
        <v/>
      </c>
      <c r="F506" t="inlineStr">
        <is>
          <t>Sequin peacock dress. Ethically handmade, original beautiful design. Perfect for festival wear or glamorous party outfit.</t>
        </is>
      </c>
      <c r="G506" t="inlineStr">
        <is>
          <t>EuWu-faiMN1Lm0IB2DnuRGWidwcb</t>
        </is>
      </c>
      <c r="H506" t="inlineStr">
        <is>
          <t>boe</t>
        </is>
      </c>
      <c r="I506" t="inlineStr">
        <is>
          <t>pl</t>
        </is>
      </c>
      <c r="J506" t="inlineStr">
        <is>
          <t>intl-pl</t>
        </is>
      </c>
      <c r="K506" t="b">
        <v>1</v>
      </c>
      <c r="L506" t="inlineStr">
        <is>
          <t>relevant</t>
        </is>
      </c>
      <c r="M506" t="inlineStr">
        <is>
          <t>relevant</t>
        </is>
      </c>
      <c r="N506" t="inlineStr">
        <is>
          <t>relevant</t>
        </is>
      </c>
      <c r="O506" t="inlineStr">
        <is>
          <t>relevant</t>
        </is>
      </c>
      <c r="P506" t="b">
        <v>1</v>
      </c>
    </row>
    <row r="507">
      <c r="A507" t="inlineStr">
        <is>
          <t>magic wand table numbers</t>
        </is>
      </c>
      <c r="B507" t="inlineStr"/>
      <c r="C507" t="n">
        <v>1493823270</v>
      </c>
      <c r="D507">
        <f>HYPERLINK("https://www.etsy.com/listing/1493823270", "link")</f>
        <v/>
      </c>
      <c r="E507">
        <f>HYPERLINK("https://atlas.etsycorp.com/listing/1493823270/lookup", "link")</f>
        <v/>
      </c>
      <c r="F507" t="inlineStr">
        <is>
          <t>Eucalyptus &amp; Floral Wood Wedding Table Numbers, Rustic Wedding Wooden Table Numbers, 100% Birch Wood Double-sided 4x6&amp;#39;&amp;#39;</t>
        </is>
      </c>
      <c r="G507" t="inlineStr">
        <is>
          <t>EuHs_YFreipb0hSVxcRhlhjfIr4d</t>
        </is>
      </c>
      <c r="H507" t="inlineStr">
        <is>
          <t>web</t>
        </is>
      </c>
      <c r="I507" t="inlineStr">
        <is>
          <t>en-US</t>
        </is>
      </c>
      <c r="J507" t="inlineStr">
        <is>
          <t>us_v2-direct_unspecified</t>
        </is>
      </c>
      <c r="K507" t="b">
        <v>1</v>
      </c>
      <c r="L507" t="inlineStr">
        <is>
          <t>partial</t>
        </is>
      </c>
      <c r="M507" t="inlineStr">
        <is>
          <t>partial</t>
        </is>
      </c>
      <c r="N507" t="inlineStr">
        <is>
          <t>relevant</t>
        </is>
      </c>
      <c r="O507" t="inlineStr">
        <is>
          <t>partial</t>
        </is>
      </c>
      <c r="P507" t="b">
        <v>1</v>
      </c>
    </row>
    <row r="508">
      <c r="A508" t="inlineStr">
        <is>
          <t>back to college gift</t>
        </is>
      </c>
      <c r="B508" t="inlineStr">
        <is>
          <t>back to college gift</t>
        </is>
      </c>
      <c r="C508" t="n">
        <v>203749206</v>
      </c>
      <c r="D508">
        <f>HYPERLINK("https://www.etsy.com/listing/203749206", "link")</f>
        <v/>
      </c>
      <c r="E508">
        <f>HYPERLINK("https://atlas.etsycorp.com/listing/203749206/lookup", "link")</f>
        <v/>
      </c>
      <c r="F508" t="inlineStr">
        <is>
          <t>Notebook Paper bow tie. College Ruled bow tie. Wide Ruled lined paper tie. Silkscreen bowtie. Perfect teacher or writer gift.</t>
        </is>
      </c>
      <c r="G508" t="inlineStr">
        <is>
          <t>EuSQe95s6IWDgXgZqIxUNdTJQ-bc</t>
        </is>
      </c>
      <c r="H508" t="inlineStr">
        <is>
          <t>boe</t>
        </is>
      </c>
      <c r="I508" t="inlineStr">
        <is>
          <t>nl</t>
        </is>
      </c>
      <c r="J508" t="inlineStr">
        <is>
          <t>intl-nl</t>
        </is>
      </c>
      <c r="K508" t="b">
        <v>1</v>
      </c>
      <c r="L508" t="inlineStr">
        <is>
          <t>relevant</t>
        </is>
      </c>
      <c r="M508" t="inlineStr">
        <is>
          <t>not_sure</t>
        </is>
      </c>
      <c r="N508" t="inlineStr">
        <is>
          <t>relevant</t>
        </is>
      </c>
      <c r="O508" t="inlineStr">
        <is>
          <t>relevant</t>
        </is>
      </c>
      <c r="P508" t="b">
        <v>1</v>
      </c>
    </row>
    <row r="509">
      <c r="A509" t="inlineStr">
        <is>
          <t>greenlampkin yarn</t>
        </is>
      </c>
      <c r="B509" t="inlineStr"/>
      <c r="C509" t="n">
        <v>1492806690</v>
      </c>
      <c r="D509">
        <f>HYPERLINK("https://www.etsy.com/listing/1492806690", "link")</f>
        <v/>
      </c>
      <c r="E509">
        <f>HYPERLINK("https://atlas.etsycorp.com/listing/1492806690/lookup", "link")</f>
        <v/>
      </c>
      <c r="F509" t="inlineStr">
        <is>
          <t>Autumn Zebra Sock Skein 80% SuperWash Merino and 20 Nylon Hand Dyed Zebra Yarn 100g</t>
        </is>
      </c>
      <c r="G509" t="inlineStr">
        <is>
          <t>EukSLx8r10SEb2dks9Y2VbOOFE25</t>
        </is>
      </c>
      <c r="H509" t="inlineStr">
        <is>
          <t>web</t>
        </is>
      </c>
      <c r="I509" t="inlineStr">
        <is>
          <t>en-GB</t>
        </is>
      </c>
      <c r="J509" t="inlineStr">
        <is>
          <t>us_v2-direct_specified</t>
        </is>
      </c>
      <c r="K509" t="b">
        <v>1</v>
      </c>
      <c r="L509" t="inlineStr">
        <is>
          <t>partial</t>
        </is>
      </c>
      <c r="M509" t="inlineStr">
        <is>
          <t>partial</t>
        </is>
      </c>
      <c r="N509" t="inlineStr">
        <is>
          <t>partial</t>
        </is>
      </c>
      <c r="O509" t="inlineStr">
        <is>
          <t>relevant</t>
        </is>
      </c>
      <c r="P509" t="b">
        <v>1</v>
      </c>
    </row>
    <row r="510">
      <c r="A510" t="inlineStr">
        <is>
          <t>iinside my head</t>
        </is>
      </c>
      <c r="B510" t="inlineStr">
        <is>
          <t>inside my head</t>
        </is>
      </c>
      <c r="C510" t="n">
        <v>1465343578</v>
      </c>
      <c r="D510">
        <f>HYPERLINK("https://www.etsy.com/listing/1465343578", "link")</f>
        <v/>
      </c>
      <c r="E510">
        <f>HYPERLINK("https://atlas.etsycorp.com/listing/1465343578/lookup", "link")</f>
        <v/>
      </c>
      <c r="F510" t="inlineStr">
        <is>
          <t>Communication Visual Board Non Verbal  Flash Cards Special Needs Kids Toddler School Autism Children ASD</t>
        </is>
      </c>
      <c r="G510" t="inlineStr">
        <is>
          <t>EuEmlWnoeSwsd7mZoIEpTtB08_d4</t>
        </is>
      </c>
      <c r="H510" t="inlineStr">
        <is>
          <t>web</t>
        </is>
      </c>
      <c r="I510" t="inlineStr">
        <is>
          <t>nl</t>
        </is>
      </c>
      <c r="J510" t="inlineStr">
        <is>
          <t>intl-nl</t>
        </is>
      </c>
      <c r="K510" t="b">
        <v>1</v>
      </c>
      <c r="L510" t="inlineStr">
        <is>
          <t>not_relevant</t>
        </is>
      </c>
      <c r="M510" t="inlineStr">
        <is>
          <t>not_relevant</t>
        </is>
      </c>
      <c r="N510" t="inlineStr">
        <is>
          <t>not_relevant</t>
        </is>
      </c>
      <c r="O510" t="inlineStr">
        <is>
          <t>not_relevant</t>
        </is>
      </c>
      <c r="P510" t="b">
        <v>1</v>
      </c>
    </row>
    <row r="511">
      <c r="A511" t="inlineStr">
        <is>
          <t>Personalized gift card envelopes</t>
        </is>
      </c>
      <c r="B511" t="inlineStr"/>
      <c r="C511" t="n">
        <v>637209202</v>
      </c>
      <c r="D511">
        <f>HYPERLINK("https://www.etsy.com/listing/637209202", "link")</f>
        <v/>
      </c>
      <c r="E511">
        <f>HYPERLINK("https://atlas.etsycorp.com/listing/637209202/lookup", "link")</f>
        <v/>
      </c>
      <c r="F511" t="inlineStr">
        <is>
          <t>Christmas Gift Card Holders, Christmas Gift Card Envelope, Gift Card Holder, Gift Card Envelope, Mini Envelope, Christmas Gift Wrapping, CM2</t>
        </is>
      </c>
      <c r="G511" t="inlineStr">
        <is>
          <t>Eufh7PptMMg_yKafV95mWoK6CXad</t>
        </is>
      </c>
      <c r="H511" t="inlineStr">
        <is>
          <t>boe</t>
        </is>
      </c>
      <c r="I511" t="inlineStr">
        <is>
          <t>en-US</t>
        </is>
      </c>
      <c r="J511" t="inlineStr">
        <is>
          <t>us_v2-direct_unspecified</t>
        </is>
      </c>
      <c r="K511" t="b">
        <v>1</v>
      </c>
      <c r="L511" t="inlineStr">
        <is>
          <t>partial</t>
        </is>
      </c>
      <c r="M511" t="inlineStr">
        <is>
          <t>relevant</t>
        </is>
      </c>
      <c r="N511" t="inlineStr">
        <is>
          <t>partial</t>
        </is>
      </c>
      <c r="O511" t="inlineStr">
        <is>
          <t>partial</t>
        </is>
      </c>
      <c r="P511" t="b">
        <v>1</v>
      </c>
    </row>
    <row r="512">
      <c r="A512" t="inlineStr">
        <is>
          <t>spirit island</t>
        </is>
      </c>
      <c r="B512" t="inlineStr">
        <is>
          <t>spirit island</t>
        </is>
      </c>
      <c r="C512" t="n">
        <v>1351732682</v>
      </c>
      <c r="D512">
        <f>HYPERLINK("https://www.etsy.com/listing/1351732682", "link")</f>
        <v/>
      </c>
      <c r="E512">
        <f>HYPERLINK("https://atlas.etsycorp.com/listing/1351732682/lookup", "link")</f>
        <v/>
      </c>
      <c r="F512" t="inlineStr">
        <is>
          <t>Wonderland&amp;#39;s War DELUX Meeple Stickers upgrade pack • Decals Kit for Wonderland&amp;#39;s War Kickstarter edition boardgame</t>
        </is>
      </c>
      <c r="G512" t="inlineStr">
        <is>
          <t>EuABNbyaOdUHcwG8eAAAg3nfAhae</t>
        </is>
      </c>
      <c r="H512" t="inlineStr">
        <is>
          <t>boe</t>
        </is>
      </c>
      <c r="I512" t="inlineStr">
        <is>
          <t>es</t>
        </is>
      </c>
      <c r="J512" t="inlineStr">
        <is>
          <t>intl-es</t>
        </is>
      </c>
      <c r="K512" t="b">
        <v>1</v>
      </c>
      <c r="L512" t="inlineStr">
        <is>
          <t>not_relevant</t>
        </is>
      </c>
      <c r="M512" t="inlineStr">
        <is>
          <t>not_relevant</t>
        </is>
      </c>
      <c r="N512" t="inlineStr">
        <is>
          <t>partial</t>
        </is>
      </c>
      <c r="O512" t="inlineStr">
        <is>
          <t>not_relevant</t>
        </is>
      </c>
      <c r="P512" t="b">
        <v>1</v>
      </c>
    </row>
    <row r="513">
      <c r="A513" t="inlineStr">
        <is>
          <t>pillow cases standard</t>
        </is>
      </c>
      <c r="B513" t="inlineStr"/>
      <c r="C513" t="n">
        <v>1611505885</v>
      </c>
      <c r="D513">
        <f>HYPERLINK("https://www.etsy.com/listing/1611505885", "link")</f>
        <v/>
      </c>
      <c r="E513">
        <f>HYPERLINK("https://atlas.etsycorp.com/listing/1611505885/lookup", "link")</f>
        <v/>
      </c>
      <c r="F513" t="inlineStr">
        <is>
          <t>Linen Pillowcases with ruffles and ties, Linen shabby chic pillow case Standard pillow cover Queen pillow shams linen bedding euro sham</t>
        </is>
      </c>
      <c r="G513" t="inlineStr">
        <is>
          <t>Eut_uFHcHrjHxv81Q4Xotygcar3b</t>
        </is>
      </c>
      <c r="H513" t="inlineStr">
        <is>
          <t>web</t>
        </is>
      </c>
      <c r="I513" t="inlineStr">
        <is>
          <t>en-US</t>
        </is>
      </c>
      <c r="J513" t="inlineStr">
        <is>
          <t>us_v2-direct_unspecified</t>
        </is>
      </c>
      <c r="K513" t="b">
        <v>1</v>
      </c>
      <c r="L513" t="inlineStr">
        <is>
          <t>relevant</t>
        </is>
      </c>
      <c r="M513" t="inlineStr">
        <is>
          <t>relevant</t>
        </is>
      </c>
      <c r="N513" t="inlineStr">
        <is>
          <t>relevant</t>
        </is>
      </c>
      <c r="O513" t="inlineStr">
        <is>
          <t>relevant</t>
        </is>
      </c>
      <c r="P513" t="b">
        <v>1</v>
      </c>
    </row>
    <row r="514">
      <c r="A514" t="inlineStr">
        <is>
          <t>rouge à levres sans titane</t>
        </is>
      </c>
      <c r="B514" t="inlineStr">
        <is>
          <t>lipstick without titanium</t>
        </is>
      </c>
      <c r="C514" t="n">
        <v>568826244</v>
      </c>
      <c r="D514">
        <f>HYPERLINK("https://www.etsy.com/listing/568826244", "link")</f>
        <v/>
      </c>
      <c r="E514">
        <f>HYPERLINK("https://atlas.etsycorp.com/listing/568826244/lookup", "link")</f>
        <v/>
      </c>
      <c r="F514" t="inlineStr">
        <is>
          <t>Lip Studs, Pink Lip Studs, Red Lip Studs, Valentines Studs, Red Lip Earrings, Pink Lip Earrings, Kiss Earrings, Titanium Studs</t>
        </is>
      </c>
      <c r="G514" t="inlineStr">
        <is>
          <t>EuzBD9_lcW02dTyqZUguflcwPmf3</t>
        </is>
      </c>
      <c r="H514" t="inlineStr">
        <is>
          <t>web</t>
        </is>
      </c>
      <c r="I514" t="inlineStr">
        <is>
          <t>fr</t>
        </is>
      </c>
      <c r="J514" t="inlineStr">
        <is>
          <t>intl-fr</t>
        </is>
      </c>
      <c r="K514" t="b">
        <v>1</v>
      </c>
      <c r="L514" t="inlineStr">
        <is>
          <t>not_relevant</t>
        </is>
      </c>
      <c r="M514" t="inlineStr">
        <is>
          <t>not_relevant</t>
        </is>
      </c>
      <c r="N514" t="inlineStr">
        <is>
          <t>not_relevant</t>
        </is>
      </c>
      <c r="O514" t="inlineStr">
        <is>
          <t>not_relevant</t>
        </is>
      </c>
      <c r="P514" t="b">
        <v>1</v>
      </c>
    </row>
    <row r="515">
      <c r="A515" t="inlineStr">
        <is>
          <t>poltchageist</t>
        </is>
      </c>
      <c r="B515" t="inlineStr"/>
      <c r="C515" t="n">
        <v>696931768</v>
      </c>
      <c r="D515">
        <f>HYPERLINK("https://www.etsy.com/listing/696931768", "link")</f>
        <v/>
      </c>
      <c r="E515">
        <f>HYPERLINK("https://atlas.etsycorp.com/listing/696931768/lookup", "link")</f>
        <v/>
      </c>
      <c r="F515" t="inlineStr">
        <is>
          <t>Slakoth Enamel Pin - Pokemon GO Community Day June 2019</t>
        </is>
      </c>
      <c r="G515" t="inlineStr">
        <is>
          <t>Eu-wp5pZ6oNWiwttGzVMjar_P319</t>
        </is>
      </c>
      <c r="H515" t="inlineStr">
        <is>
          <t>web</t>
        </is>
      </c>
      <c r="I515" t="inlineStr">
        <is>
          <t>en-US</t>
        </is>
      </c>
      <c r="J515" t="inlineStr">
        <is>
          <t>us_v2-broad</t>
        </is>
      </c>
      <c r="K515" t="b">
        <v>1</v>
      </c>
      <c r="L515" t="inlineStr">
        <is>
          <t>not_relevant</t>
        </is>
      </c>
      <c r="M515" t="inlineStr">
        <is>
          <t>not_relevant</t>
        </is>
      </c>
      <c r="N515" t="inlineStr">
        <is>
          <t>not_relevant</t>
        </is>
      </c>
      <c r="O515" t="inlineStr">
        <is>
          <t>not_relevant</t>
        </is>
      </c>
      <c r="P515" t="b">
        <v>1</v>
      </c>
    </row>
    <row r="516">
      <c r="A516" t="inlineStr">
        <is>
          <t>nurse hair clip</t>
        </is>
      </c>
      <c r="B516" t="inlineStr"/>
      <c r="C516" t="n">
        <v>865808492</v>
      </c>
      <c r="D516">
        <f>HYPERLINK("https://www.etsy.com/listing/865808492", "link")</f>
        <v/>
      </c>
      <c r="E516">
        <f>HYPERLINK("https://atlas.etsycorp.com/listing/865808492/lookup", "link")</f>
        <v/>
      </c>
      <c r="F516" t="inlineStr">
        <is>
          <t>Nurse gift, thank you NHS, medical, Christmas decoration, gingerbread ornaments, hanging tree decor, personalised nurse present</t>
        </is>
      </c>
      <c r="G516" t="inlineStr">
        <is>
          <t>Eu6FasEb-rawBKwN44SaYXzbB191</t>
        </is>
      </c>
      <c r="H516" t="inlineStr">
        <is>
          <t>boe</t>
        </is>
      </c>
      <c r="I516" t="inlineStr">
        <is>
          <t>en-GB</t>
        </is>
      </c>
      <c r="J516" t="inlineStr">
        <is>
          <t>us_v2-direct_unspecified</t>
        </is>
      </c>
      <c r="K516" t="b">
        <v>1</v>
      </c>
      <c r="L516" t="inlineStr">
        <is>
          <t>partial</t>
        </is>
      </c>
      <c r="M516" t="inlineStr">
        <is>
          <t>partial</t>
        </is>
      </c>
      <c r="N516" t="inlineStr">
        <is>
          <t>partial</t>
        </is>
      </c>
      <c r="O516" t="inlineStr">
        <is>
          <t>partial</t>
        </is>
      </c>
      <c r="P516" t="b">
        <v>1</v>
      </c>
    </row>
    <row r="517">
      <c r="A517" t="inlineStr">
        <is>
          <t>echarpe triangle</t>
        </is>
      </c>
      <c r="B517" t="inlineStr">
        <is>
          <t>triangle scarf</t>
        </is>
      </c>
      <c r="C517" t="n">
        <v>921803703</v>
      </c>
      <c r="D517">
        <f>HYPERLINK("https://www.etsy.com/listing/921803703", "link")</f>
        <v/>
      </c>
      <c r="E517">
        <f>HYPERLINK("https://atlas.etsycorp.com/listing/921803703/lookup", "link")</f>
        <v/>
      </c>
      <c r="F517" t="inlineStr">
        <is>
          <t>Knitted Triangle Warm Winter Shawl, Handmade with Kauni gradient yarn - Pure Wool</t>
        </is>
      </c>
      <c r="G517" t="inlineStr">
        <is>
          <t>EuHMADbLaTX7rs2r6Frilwd6ORb8</t>
        </is>
      </c>
      <c r="H517" t="inlineStr">
        <is>
          <t>web</t>
        </is>
      </c>
      <c r="I517" t="inlineStr">
        <is>
          <t>fr</t>
        </is>
      </c>
      <c r="J517" t="inlineStr">
        <is>
          <t>intl-fr</t>
        </is>
      </c>
      <c r="K517" t="b">
        <v>1</v>
      </c>
      <c r="L517" t="inlineStr">
        <is>
          <t>relevant</t>
        </is>
      </c>
      <c r="M517" t="inlineStr">
        <is>
          <t>relevant</t>
        </is>
      </c>
      <c r="N517" t="inlineStr">
        <is>
          <t>relevant</t>
        </is>
      </c>
      <c r="O517" t="inlineStr">
        <is>
          <t>relevant</t>
        </is>
      </c>
      <c r="P517" t="b">
        <v>1</v>
      </c>
    </row>
    <row r="518">
      <c r="A518" t="inlineStr">
        <is>
          <t>bikini aheer pantie</t>
        </is>
      </c>
      <c r="B518" t="inlineStr">
        <is>
          <t>bikini aheer panties</t>
        </is>
      </c>
      <c r="C518" t="n">
        <v>1192411803</v>
      </c>
      <c r="D518">
        <f>HYPERLINK("https://www.etsy.com/listing/1192411803", "link")</f>
        <v/>
      </c>
      <c r="E518">
        <f>HYPERLINK("https://atlas.etsycorp.com/listing/1192411803/lookup", "link")</f>
        <v/>
      </c>
      <c r="F518" t="inlineStr">
        <is>
          <t>Basic Lace Women Bikini, Super soft material comfortable bikini</t>
        </is>
      </c>
      <c r="G518" t="inlineStr">
        <is>
          <t>EuiZsd4BMrKWi1uWKb9GgPq9JO08</t>
        </is>
      </c>
      <c r="H518" t="inlineStr">
        <is>
          <t>web</t>
        </is>
      </c>
      <c r="I518" t="inlineStr">
        <is>
          <t>pt</t>
        </is>
      </c>
      <c r="J518" t="inlineStr">
        <is>
          <t>intl-pt</t>
        </is>
      </c>
      <c r="K518" t="b">
        <v>1</v>
      </c>
      <c r="L518" t="inlineStr">
        <is>
          <t>partial</t>
        </is>
      </c>
      <c r="M518" t="inlineStr">
        <is>
          <t>partial</t>
        </is>
      </c>
      <c r="N518" t="inlineStr">
        <is>
          <t>partial</t>
        </is>
      </c>
      <c r="O518" t="inlineStr">
        <is>
          <t>partial</t>
        </is>
      </c>
      <c r="P518" t="b">
        <v>1</v>
      </c>
    </row>
    <row r="519">
      <c r="A519" t="inlineStr">
        <is>
          <t>little lamb raleigh tricycle sticker</t>
        </is>
      </c>
      <c r="B519" t="inlineStr"/>
      <c r="C519" t="n">
        <v>1322550064</v>
      </c>
      <c r="D519">
        <f>HYPERLINK("https://www.etsy.com/listing/1322550064", "link")</f>
        <v/>
      </c>
      <c r="E519">
        <f>HYPERLINK("https://atlas.etsycorp.com/listing/1322550064/lookup", "link")</f>
        <v/>
      </c>
      <c r="F519" t="inlineStr">
        <is>
          <t>Retro Raleigh Grifter Vinyl Stickers</t>
        </is>
      </c>
      <c r="G519" t="inlineStr">
        <is>
          <t>EuOIM7zB73oX2PeoKM2QE9mCHg14</t>
        </is>
      </c>
      <c r="H519" t="inlineStr">
        <is>
          <t>web</t>
        </is>
      </c>
      <c r="I519" t="inlineStr">
        <is>
          <t>en-GB</t>
        </is>
      </c>
      <c r="J519" t="inlineStr">
        <is>
          <t>us_v2-direct_specified</t>
        </is>
      </c>
      <c r="K519" t="b">
        <v>1</v>
      </c>
      <c r="L519" t="inlineStr">
        <is>
          <t>partial</t>
        </is>
      </c>
      <c r="M519" t="inlineStr">
        <is>
          <t>partial</t>
        </is>
      </c>
      <c r="N519" t="inlineStr">
        <is>
          <t>partial</t>
        </is>
      </c>
      <c r="O519" t="inlineStr">
        <is>
          <t>partial</t>
        </is>
      </c>
      <c r="P519" t="b">
        <v>1</v>
      </c>
    </row>
    <row r="520">
      <c r="A520" t="inlineStr">
        <is>
          <t>yellow plant pot</t>
        </is>
      </c>
      <c r="B520" t="inlineStr"/>
      <c r="C520" t="n">
        <v>1031313829</v>
      </c>
      <c r="D520">
        <f>HYPERLINK("https://www.etsy.com/listing/1031313829", "link")</f>
        <v/>
      </c>
      <c r="E520">
        <f>HYPERLINK("https://atlas.etsycorp.com/listing/1031313829/lookup", "link")</f>
        <v/>
      </c>
      <c r="F520" t="inlineStr">
        <is>
          <t>Yellow Hanging Planter, Mojave Planter, Succulent Planter, Ivy Planter</t>
        </is>
      </c>
      <c r="G520" t="inlineStr">
        <is>
          <t>EuvP-QAy0PcsWRMcioUJT1WBaKc1</t>
        </is>
      </c>
      <c r="H520" t="inlineStr">
        <is>
          <t>boe</t>
        </is>
      </c>
      <c r="I520" t="inlineStr">
        <is>
          <t>en-GB</t>
        </is>
      </c>
      <c r="J520" t="inlineStr">
        <is>
          <t>us_v2-direct_specified</t>
        </is>
      </c>
      <c r="K520" t="b">
        <v>1</v>
      </c>
      <c r="L520" t="inlineStr">
        <is>
          <t>relevant</t>
        </is>
      </c>
      <c r="M520" t="inlineStr">
        <is>
          <t>relevant</t>
        </is>
      </c>
      <c r="N520" t="inlineStr">
        <is>
          <t>partial</t>
        </is>
      </c>
      <c r="O520" t="inlineStr">
        <is>
          <t>relevant</t>
        </is>
      </c>
      <c r="P520" t="b">
        <v>1</v>
      </c>
    </row>
    <row r="521">
      <c r="A521" t="inlineStr">
        <is>
          <t>alec monopoly</t>
        </is>
      </c>
      <c r="B521" t="inlineStr">
        <is>
          <t>alec monopoly</t>
        </is>
      </c>
      <c r="C521" t="n">
        <v>1538652664</v>
      </c>
      <c r="D521">
        <f>HYPERLINK("https://www.etsy.com/listing/1538652664", "link")</f>
        <v/>
      </c>
      <c r="E521">
        <f>HYPERLINK("https://atlas.etsycorp.com/listing/1538652664/lookup", "link")</f>
        <v/>
      </c>
      <c r="F521" t="inlineStr">
        <is>
          <t>30x24 Inches Alec Monopoly inspired Art Print. New HD print. Canvas ready to hang. Large poster. Pop Art canvas. Home decor wall painting</t>
        </is>
      </c>
      <c r="G521" t="inlineStr">
        <is>
          <t>Euv4J3amWoOv7V2409NinRd37If1</t>
        </is>
      </c>
      <c r="H521" t="inlineStr">
        <is>
          <t>boe</t>
        </is>
      </c>
      <c r="I521" t="inlineStr">
        <is>
          <t>nl</t>
        </is>
      </c>
      <c r="J521" t="inlineStr">
        <is>
          <t>intl-nl</t>
        </is>
      </c>
      <c r="K521" t="b">
        <v>1</v>
      </c>
      <c r="L521" t="inlineStr">
        <is>
          <t>relevant</t>
        </is>
      </c>
      <c r="M521" t="inlineStr">
        <is>
          <t>relevant</t>
        </is>
      </c>
      <c r="N521" t="inlineStr">
        <is>
          <t>relevant</t>
        </is>
      </c>
      <c r="O521" t="inlineStr">
        <is>
          <t>relevant</t>
        </is>
      </c>
      <c r="P521" t="b">
        <v>1</v>
      </c>
    </row>
    <row r="522">
      <c r="A522" t="inlineStr">
        <is>
          <t>valentines canva</t>
        </is>
      </c>
      <c r="B522" t="inlineStr"/>
      <c r="C522" t="n">
        <v>1376880826</v>
      </c>
      <c r="D522">
        <f>HYPERLINK("https://www.etsy.com/listing/1376880826", "link")</f>
        <v/>
      </c>
      <c r="E522">
        <f>HYPERLINK("https://atlas.etsycorp.com/listing/1376880826/lookup", "link")</f>
        <v/>
      </c>
      <c r="F522" t="inlineStr">
        <is>
          <t>February Braid Sale Flyer, Valentines Day Flyer, Braid Prices Flyer, Braids Sale Flyer, Hair Flyer, Lashes Flyer, Instagram Post Template</t>
        </is>
      </c>
      <c r="G522" t="inlineStr">
        <is>
          <t>Eu5I1e8bXu5eNtQC5a5Lajzg-yd7</t>
        </is>
      </c>
      <c r="H522" t="inlineStr">
        <is>
          <t>web</t>
        </is>
      </c>
      <c r="I522" t="inlineStr">
        <is>
          <t>en-GB</t>
        </is>
      </c>
      <c r="J522" t="inlineStr">
        <is>
          <t>us_v2-broad</t>
        </is>
      </c>
      <c r="K522" t="b">
        <v>1</v>
      </c>
      <c r="L522" t="inlineStr">
        <is>
          <t>relevant</t>
        </is>
      </c>
      <c r="M522" t="inlineStr">
        <is>
          <t>relevant</t>
        </is>
      </c>
      <c r="N522" t="inlineStr">
        <is>
          <t>relevant</t>
        </is>
      </c>
      <c r="O522" t="inlineStr">
        <is>
          <t>relevant</t>
        </is>
      </c>
      <c r="P522" t="b">
        <v>1</v>
      </c>
    </row>
    <row r="523">
      <c r="A523" t="inlineStr">
        <is>
          <t>red black and silver party bags</t>
        </is>
      </c>
      <c r="B523" t="inlineStr"/>
      <c r="C523" t="n">
        <v>1622269956</v>
      </c>
      <c r="D523">
        <f>HYPERLINK("https://www.etsy.com/listing/1622269956", "link")</f>
        <v/>
      </c>
      <c r="E523">
        <f>HYPERLINK("https://atlas.etsycorp.com/listing/1622269956/lookup", "link")</f>
        <v/>
      </c>
      <c r="F523" t="inlineStr">
        <is>
          <t>Floating Metallic Red Confetti - 2000pc - Fills 1 Gallon For Vases-Option: 3 Submersible Fairy Lights Strings- Vase Decorations</t>
        </is>
      </c>
      <c r="G523" t="inlineStr">
        <is>
          <t>EubOyw5_j48MB5e6j4tegQgUki46</t>
        </is>
      </c>
      <c r="H523" t="inlineStr">
        <is>
          <t>web</t>
        </is>
      </c>
      <c r="I523" t="inlineStr">
        <is>
          <t>en-US</t>
        </is>
      </c>
      <c r="J523" t="inlineStr">
        <is>
          <t>us_v2-direct_specified</t>
        </is>
      </c>
      <c r="K523" t="b">
        <v>1</v>
      </c>
      <c r="L523" t="inlineStr">
        <is>
          <t>not_relevant</t>
        </is>
      </c>
      <c r="M523" t="inlineStr">
        <is>
          <t>not_relevant</t>
        </is>
      </c>
      <c r="N523" t="inlineStr">
        <is>
          <t>not_relevant</t>
        </is>
      </c>
      <c r="O523" t="inlineStr">
        <is>
          <t>not_relevant</t>
        </is>
      </c>
      <c r="P523" t="b">
        <v>1</v>
      </c>
    </row>
    <row r="524">
      <c r="A524" t="inlineStr">
        <is>
          <t>custom portrait</t>
        </is>
      </c>
      <c r="B524" t="inlineStr"/>
      <c r="C524" t="n">
        <v>1551097100</v>
      </c>
      <c r="D524">
        <f>HYPERLINK("https://www.etsy.com/listing/1551097100", "link")</f>
        <v/>
      </c>
      <c r="E524">
        <f>HYPERLINK("https://atlas.etsycorp.com/listing/1551097100/lookup", "link")</f>
        <v/>
      </c>
      <c r="F524" t="inlineStr">
        <is>
          <t>Hand Painted, Photo to Highly Detailed Watercolor.  Family, House, Person, Family, or Dogs &amp; More! Perfect Personalized Gift, Combine Photos</t>
        </is>
      </c>
      <c r="G524" t="inlineStr">
        <is>
          <t>EuVpZs0W2L-K3azgFgf1QD27C949</t>
        </is>
      </c>
      <c r="H524" t="inlineStr">
        <is>
          <t>web</t>
        </is>
      </c>
      <c r="I524" t="inlineStr">
        <is>
          <t>en-US</t>
        </is>
      </c>
      <c r="J524" t="inlineStr">
        <is>
          <t>us_v2-direct_unspecified</t>
        </is>
      </c>
      <c r="K524" t="b">
        <v>1</v>
      </c>
      <c r="L524" t="inlineStr">
        <is>
          <t>relevant</t>
        </is>
      </c>
      <c r="M524" t="inlineStr">
        <is>
          <t>relevant</t>
        </is>
      </c>
      <c r="N524" t="inlineStr">
        <is>
          <t>relevant</t>
        </is>
      </c>
      <c r="O524" t="inlineStr">
        <is>
          <t>relevant</t>
        </is>
      </c>
      <c r="P524" t="b">
        <v>1</v>
      </c>
    </row>
    <row r="525">
      <c r="A525" t="inlineStr">
        <is>
          <t>blackstone asset management</t>
        </is>
      </c>
      <c r="B525" t="inlineStr"/>
      <c r="C525" t="n">
        <v>1614981616</v>
      </c>
      <c r="D525">
        <f>HYPERLINK("https://www.etsy.com/listing/1614981616", "link")</f>
        <v/>
      </c>
      <c r="E525">
        <f>HYPERLINK("https://atlas.etsycorp.com/listing/1614981616/lookup", "link")</f>
        <v/>
      </c>
      <c r="F525" t="inlineStr">
        <is>
          <t>19in1 Social Media Manager Bundle | Social Media Manager | Social Media Manager Template | Social Media Agency Bundle | Client Onboarding</t>
        </is>
      </c>
      <c r="G525" t="inlineStr">
        <is>
          <t>EuKGDCzJZXAYNoL8ltwwPSNcqr4b</t>
        </is>
      </c>
      <c r="H525" t="inlineStr">
        <is>
          <t>boe</t>
        </is>
      </c>
      <c r="I525" t="inlineStr">
        <is>
          <t>en-US</t>
        </is>
      </c>
      <c r="J525" t="inlineStr">
        <is>
          <t>us_v2-broad</t>
        </is>
      </c>
      <c r="K525" t="b">
        <v>1</v>
      </c>
      <c r="L525" t="inlineStr">
        <is>
          <t>not_relevant</t>
        </is>
      </c>
      <c r="M525" t="inlineStr">
        <is>
          <t>not_relevant</t>
        </is>
      </c>
      <c r="N525" t="inlineStr">
        <is>
          <t>partial</t>
        </is>
      </c>
      <c r="O525" t="inlineStr">
        <is>
          <t>not_relevant</t>
        </is>
      </c>
      <c r="P525" t="b">
        <v>1</v>
      </c>
    </row>
    <row r="526">
      <c r="A526" t="inlineStr">
        <is>
          <t>10 euro cent</t>
        </is>
      </c>
      <c r="B526" t="inlineStr">
        <is>
          <t>10 euro cents</t>
        </is>
      </c>
      <c r="C526" t="n">
        <v>1339715267</v>
      </c>
      <c r="D526">
        <f>HYPERLINK("https://www.etsy.com/listing/1339715267", "link")</f>
        <v/>
      </c>
      <c r="E526">
        <f>HYPERLINK("https://atlas.etsycorp.com/listing/1339715267/lookup", "link")</f>
        <v/>
      </c>
      <c r="F526" t="inlineStr">
        <is>
          <t>I am selling a 20 euro Cent 2002 Italia coin</t>
        </is>
      </c>
      <c r="G526" t="inlineStr">
        <is>
          <t>EuowA--1Z8EAm_C6hp9R-HS0fId3</t>
        </is>
      </c>
      <c r="H526" t="inlineStr">
        <is>
          <t>web</t>
        </is>
      </c>
      <c r="I526" t="inlineStr">
        <is>
          <t>nl</t>
        </is>
      </c>
      <c r="J526" t="inlineStr">
        <is>
          <t>intl-nl</t>
        </is>
      </c>
      <c r="K526" t="b">
        <v>1</v>
      </c>
      <c r="L526" t="inlineStr">
        <is>
          <t>partial</t>
        </is>
      </c>
      <c r="M526" t="inlineStr">
        <is>
          <t>partial</t>
        </is>
      </c>
      <c r="N526" t="inlineStr">
        <is>
          <t>partial</t>
        </is>
      </c>
      <c r="O526" t="inlineStr">
        <is>
          <t>relevant</t>
        </is>
      </c>
      <c r="P526" t="b">
        <v>1</v>
      </c>
    </row>
    <row r="527">
      <c r="A527" t="inlineStr">
        <is>
          <t>matching bracelets</t>
        </is>
      </c>
      <c r="B527" t="inlineStr"/>
      <c r="C527" t="n">
        <v>1600900348</v>
      </c>
      <c r="D527">
        <f>HYPERLINK("https://www.etsy.com/listing/1600900348", "link")</f>
        <v/>
      </c>
      <c r="E527">
        <f>HYPERLINK("https://atlas.etsycorp.com/listing/1600900348/lookup", "link")</f>
        <v/>
      </c>
      <c r="F527" t="inlineStr">
        <is>
          <t>Couple Bracelets ,Love Bracelets Besties Bracelets, Gifts for Him, Gifts for Her, Matching Bracelets set, Friendship Bracelets, Beaded Brace</t>
        </is>
      </c>
      <c r="G527" t="inlineStr">
        <is>
          <t>EukmCJU7cP6rmmfQulfoDwzlsj89</t>
        </is>
      </c>
      <c r="H527" t="inlineStr">
        <is>
          <t>boe</t>
        </is>
      </c>
      <c r="I527" t="inlineStr">
        <is>
          <t>en-GB</t>
        </is>
      </c>
      <c r="J527" t="inlineStr">
        <is>
          <t>us_v2-direct_unspecified</t>
        </is>
      </c>
      <c r="K527" t="b">
        <v>1</v>
      </c>
      <c r="L527" t="inlineStr">
        <is>
          <t>relevant</t>
        </is>
      </c>
      <c r="M527" t="inlineStr">
        <is>
          <t>relevant</t>
        </is>
      </c>
      <c r="N527" t="inlineStr">
        <is>
          <t>relevant</t>
        </is>
      </c>
      <c r="O527" t="inlineStr">
        <is>
          <t>relevant</t>
        </is>
      </c>
      <c r="P527" t="b">
        <v>1</v>
      </c>
    </row>
    <row r="528">
      <c r="A528" t="inlineStr">
        <is>
          <t>gifts for women</t>
        </is>
      </c>
      <c r="B528" t="inlineStr"/>
      <c r="C528" t="n">
        <v>177585338</v>
      </c>
      <c r="D528">
        <f>HYPERLINK("https://www.etsy.com/listing/177585338", "link")</f>
        <v/>
      </c>
      <c r="E528">
        <f>HYPERLINK("https://atlas.etsycorp.com/listing/177585338/lookup", "link")</f>
        <v/>
      </c>
      <c r="F528" t="inlineStr">
        <is>
          <t>Hummingbird Necklace - Bird Necklace - Bird Jewellery - Gift For Bird Lover - Gift For Mum - Hummingbird Jewellery - Gifts For Women</t>
        </is>
      </c>
      <c r="G528" t="inlineStr">
        <is>
          <t>EubeL6FJU5HydItGMGpt3lhtYle5</t>
        </is>
      </c>
      <c r="H528" t="inlineStr">
        <is>
          <t>boe</t>
        </is>
      </c>
      <c r="I528" t="inlineStr">
        <is>
          <t>en-GB</t>
        </is>
      </c>
      <c r="J528" t="inlineStr">
        <is>
          <t>us_v2-broad</t>
        </is>
      </c>
      <c r="K528" t="b">
        <v>1</v>
      </c>
      <c r="L528" t="inlineStr">
        <is>
          <t>relevant</t>
        </is>
      </c>
      <c r="M528" t="inlineStr">
        <is>
          <t>relevant</t>
        </is>
      </c>
      <c r="N528" t="inlineStr">
        <is>
          <t>relevant</t>
        </is>
      </c>
      <c r="O528" t="inlineStr">
        <is>
          <t>relevant</t>
        </is>
      </c>
      <c r="P528" t="b">
        <v>1</v>
      </c>
    </row>
    <row r="529">
      <c r="A529" t="inlineStr">
        <is>
          <t>personalized jewelry</t>
        </is>
      </c>
      <c r="B529" t="inlineStr"/>
      <c r="C529" t="n">
        <v>1413250200</v>
      </c>
      <c r="D529">
        <f>HYPERLINK("https://www.etsy.com/listing/1413250200", "link")</f>
        <v/>
      </c>
      <c r="E529">
        <f>HYPERLINK("https://atlas.etsycorp.com/listing/1413250200/lookup", "link")</f>
        <v/>
      </c>
      <c r="F529" t="inlineStr">
        <is>
          <t>Heart Birthstone Bracelet, Personalized Gemstone Family Diamond Charm Chain Bracelet For Grandma Mom Jewelry Gift Mothers Bridesmaid Gifts</t>
        </is>
      </c>
      <c r="G529" t="inlineStr">
        <is>
          <t>Eut5MwaVk_r0wR_yY851nbH_uE0f</t>
        </is>
      </c>
      <c r="H529" t="inlineStr">
        <is>
          <t>boe</t>
        </is>
      </c>
      <c r="I529" t="inlineStr">
        <is>
          <t>en-US</t>
        </is>
      </c>
      <c r="J529" t="inlineStr">
        <is>
          <t>us_v2-broad</t>
        </is>
      </c>
      <c r="K529" t="b">
        <v>1</v>
      </c>
      <c r="L529" t="inlineStr">
        <is>
          <t>relevant</t>
        </is>
      </c>
      <c r="M529" t="inlineStr">
        <is>
          <t>relevant</t>
        </is>
      </c>
      <c r="N529" t="inlineStr">
        <is>
          <t>relevant</t>
        </is>
      </c>
      <c r="O529" t="inlineStr">
        <is>
          <t>relevant</t>
        </is>
      </c>
      <c r="P529" t="b">
        <v>1</v>
      </c>
    </row>
    <row r="530">
      <c r="A530" t="inlineStr">
        <is>
          <t>pantalon linl</t>
        </is>
      </c>
      <c r="B530" t="inlineStr">
        <is>
          <t>Linl pants</t>
        </is>
      </c>
      <c r="C530" t="n">
        <v>1707767612</v>
      </c>
      <c r="D530">
        <f>HYPERLINK("https://www.etsy.com/listing/1707767612", "link")</f>
        <v/>
      </c>
      <c r="E530">
        <f>HYPERLINK("https://atlas.etsycorp.com/listing/1707767612/lookup", "link")</f>
        <v/>
      </c>
      <c r="F530" t="inlineStr">
        <is>
          <t>Black Wrap Trousers || Free Size Fluid Pants || Bohemian Beach Pants || Floral Pattern Pareo Pants || Fisherman Pants Open On The Sides</t>
        </is>
      </c>
      <c r="G530" t="inlineStr">
        <is>
          <t>Euk1aWrNEHww5SYnNY2n5ayHS1c6</t>
        </is>
      </c>
      <c r="H530" t="inlineStr">
        <is>
          <t>boe</t>
        </is>
      </c>
      <c r="I530" t="inlineStr">
        <is>
          <t>es</t>
        </is>
      </c>
      <c r="J530" t="inlineStr">
        <is>
          <t>intl-es</t>
        </is>
      </c>
      <c r="K530" t="b">
        <v>1</v>
      </c>
      <c r="L530" t="inlineStr">
        <is>
          <t>partial</t>
        </is>
      </c>
      <c r="M530" t="inlineStr">
        <is>
          <t>relevant</t>
        </is>
      </c>
      <c r="N530" t="inlineStr">
        <is>
          <t>partial</t>
        </is>
      </c>
      <c r="O530" t="inlineStr">
        <is>
          <t>partial</t>
        </is>
      </c>
      <c r="P530" t="b">
        <v>1</v>
      </c>
    </row>
    <row r="531">
      <c r="A531" t="inlineStr">
        <is>
          <t>whore</t>
        </is>
      </c>
      <c r="B531" t="inlineStr"/>
      <c r="C531" t="n">
        <v>798437411</v>
      </c>
      <c r="D531">
        <f>HYPERLINK("https://www.etsy.com/listing/798437411", "link")</f>
        <v/>
      </c>
      <c r="E531">
        <f>HYPERLINK("https://atlas.etsycorp.com/listing/798437411/lookup", "link")</f>
        <v/>
      </c>
      <c r="F531" t="inlineStr">
        <is>
          <t>Property Of Daddy Women&amp;#39;s Crop Shirt</t>
        </is>
      </c>
      <c r="G531" t="inlineStr">
        <is>
          <t>EuTfQgJGvAS9RMb8Jp9RnkAAnK36</t>
        </is>
      </c>
      <c r="H531" t="inlineStr">
        <is>
          <t>web</t>
        </is>
      </c>
      <c r="I531" t="inlineStr">
        <is>
          <t>en-US</t>
        </is>
      </c>
      <c r="J531" t="inlineStr">
        <is>
          <t>us_v2-broad</t>
        </is>
      </c>
      <c r="K531" t="b">
        <v>1</v>
      </c>
      <c r="L531" t="inlineStr">
        <is>
          <t>not_relevant</t>
        </is>
      </c>
      <c r="M531" t="inlineStr">
        <is>
          <t>not_relevant</t>
        </is>
      </c>
      <c r="N531" t="inlineStr">
        <is>
          <t>not_relevant</t>
        </is>
      </c>
      <c r="O531" t="inlineStr">
        <is>
          <t>not_relevant</t>
        </is>
      </c>
      <c r="P531" t="b">
        <v>1</v>
      </c>
    </row>
    <row r="532">
      <c r="A532" t="inlineStr">
        <is>
          <t>balloon backdrop stand</t>
        </is>
      </c>
      <c r="B532" t="inlineStr"/>
      <c r="C532" t="n">
        <v>1273802032</v>
      </c>
      <c r="D532">
        <f>HYPERLINK("https://www.etsy.com/listing/1273802032", "link")</f>
        <v/>
      </c>
      <c r="E532">
        <f>HYPERLINK("https://atlas.etsycorp.com/listing/1273802032/lookup", "link")</f>
        <v/>
      </c>
      <c r="F532" t="inlineStr">
        <is>
          <t>Photography Background Support System Kit, Heavy Duty Adjustable Pipe &amp; Drape Photography Backdrop Stand for Photo, Video, Studio</t>
        </is>
      </c>
      <c r="G532" t="inlineStr">
        <is>
          <t>EuLnA4r9V9hyl7C3BXOPOzi1xT63</t>
        </is>
      </c>
      <c r="H532" t="inlineStr">
        <is>
          <t>web</t>
        </is>
      </c>
      <c r="I532" t="inlineStr">
        <is>
          <t>en-GB</t>
        </is>
      </c>
      <c r="J532" t="inlineStr">
        <is>
          <t>us_v2-direct_unspecified</t>
        </is>
      </c>
      <c r="K532" t="b">
        <v>1</v>
      </c>
      <c r="L532" t="inlineStr">
        <is>
          <t>partial</t>
        </is>
      </c>
      <c r="M532" t="inlineStr">
        <is>
          <t>partial</t>
        </is>
      </c>
      <c r="N532" t="inlineStr">
        <is>
          <t>partial</t>
        </is>
      </c>
      <c r="O532" t="inlineStr">
        <is>
          <t>partial</t>
        </is>
      </c>
      <c r="P532" t="b">
        <v>1</v>
      </c>
    </row>
    <row r="533">
      <c r="A533" t="inlineStr">
        <is>
          <t>master chief armor</t>
        </is>
      </c>
      <c r="B533" t="inlineStr"/>
      <c r="C533" t="n">
        <v>1577920253</v>
      </c>
      <c r="D533">
        <f>HYPERLINK("https://www.etsy.com/listing/1577920253", "link")</f>
        <v/>
      </c>
      <c r="E533">
        <f>HYPERLINK("https://atlas.etsycorp.com/listing/1577920253/lookup", "link")</f>
        <v/>
      </c>
      <c r="F533" t="inlineStr">
        <is>
          <t>3d Print Halo M1 Combat Knife Prop! Physical Item! Model Kit! DIY!</t>
        </is>
      </c>
      <c r="G533" t="inlineStr">
        <is>
          <t>EuvZ-81yjzFvBfTQvA0gQrO0FO28</t>
        </is>
      </c>
      <c r="H533" t="inlineStr">
        <is>
          <t>boe</t>
        </is>
      </c>
      <c r="I533" t="inlineStr">
        <is>
          <t>en-US</t>
        </is>
      </c>
      <c r="J533" t="inlineStr">
        <is>
          <t>us_v2-direct_unspecified</t>
        </is>
      </c>
      <c r="K533" t="b">
        <v>1</v>
      </c>
      <c r="L533" t="inlineStr">
        <is>
          <t>not_relevant</t>
        </is>
      </c>
      <c r="M533" t="inlineStr">
        <is>
          <t>not_relevant</t>
        </is>
      </c>
      <c r="N533" t="inlineStr">
        <is>
          <t>not_relevant</t>
        </is>
      </c>
      <c r="O533" t="inlineStr">
        <is>
          <t>partial</t>
        </is>
      </c>
      <c r="P533" t="b">
        <v>1</v>
      </c>
    </row>
    <row r="534">
      <c r="A534" t="inlineStr">
        <is>
          <t>25 inch chain</t>
        </is>
      </c>
      <c r="B534" t="inlineStr"/>
      <c r="C534" t="n">
        <v>1276405727</v>
      </c>
      <c r="D534">
        <f>HYPERLINK("https://www.etsy.com/listing/1276405727", "link")</f>
        <v/>
      </c>
      <c r="E534">
        <f>HYPERLINK("https://atlas.etsycorp.com/listing/1276405727/lookup", "link")</f>
        <v/>
      </c>
      <c r="F534" t="inlineStr">
        <is>
          <t>Machine embroidery designs 2&amp;quot;/5cm Heirloom NUMBERS OF LEAVES botanical Birthday Wedding Nummer Stickdatei Ricamo Numeri Broderie nombres</t>
        </is>
      </c>
      <c r="G534" t="inlineStr">
        <is>
          <t>Eue5qcMz9TTWzD2HWIVxnsuUM502</t>
        </is>
      </c>
      <c r="H534" t="inlineStr">
        <is>
          <t>boe</t>
        </is>
      </c>
      <c r="I534" t="inlineStr">
        <is>
          <t>en-US</t>
        </is>
      </c>
      <c r="J534" t="inlineStr">
        <is>
          <t>us_v2-direct_specified</t>
        </is>
      </c>
      <c r="K534" t="b">
        <v>1</v>
      </c>
      <c r="L534" t="inlineStr">
        <is>
          <t>not_relevant</t>
        </is>
      </c>
      <c r="M534" t="inlineStr">
        <is>
          <t>not_relevant</t>
        </is>
      </c>
      <c r="N534" t="inlineStr">
        <is>
          <t>not_relevant</t>
        </is>
      </c>
      <c r="O534" t="inlineStr">
        <is>
          <t>not_relevant</t>
        </is>
      </c>
      <c r="P534" t="b">
        <v>1</v>
      </c>
    </row>
    <row r="535">
      <c r="A535" t="inlineStr">
        <is>
          <t>bob esponja invitacion</t>
        </is>
      </c>
      <c r="B535" t="inlineStr">
        <is>
          <t>spongebob invitation</t>
        </is>
      </c>
      <c r="C535" t="n">
        <v>1674037748</v>
      </c>
      <c r="D535">
        <f>HYPERLINK("https://www.etsy.com/listing/1674037748", "link")</f>
        <v/>
      </c>
      <c r="E535">
        <f>HYPERLINK("https://atlas.etsycorp.com/listing/1674037748/lookup", "link")</f>
        <v/>
      </c>
      <c r="F535" t="inlineStr">
        <is>
          <t>Plants vs Zombies, Video Invitation, Birthday Party, First Birthday, Kids party, Birthday celebration Digital Invite</t>
        </is>
      </c>
      <c r="G535" t="inlineStr">
        <is>
          <t>EuVRsjDTrAYe5E7WsECe-diwMwd0</t>
        </is>
      </c>
      <c r="H535" t="inlineStr">
        <is>
          <t>web</t>
        </is>
      </c>
      <c r="I535" t="inlineStr">
        <is>
          <t>es</t>
        </is>
      </c>
      <c r="J535" t="inlineStr">
        <is>
          <t>intl-es</t>
        </is>
      </c>
      <c r="K535" t="b">
        <v>1</v>
      </c>
      <c r="L535" t="inlineStr">
        <is>
          <t>partial</t>
        </is>
      </c>
      <c r="M535" t="inlineStr">
        <is>
          <t>partial</t>
        </is>
      </c>
      <c r="N535" t="inlineStr">
        <is>
          <t>partial</t>
        </is>
      </c>
      <c r="O535" t="inlineStr">
        <is>
          <t>partial</t>
        </is>
      </c>
      <c r="P535" t="b">
        <v>1</v>
      </c>
    </row>
    <row r="536">
      <c r="A536" t="inlineStr">
        <is>
          <t>best friend birthday gift</t>
        </is>
      </c>
      <c r="B536" t="inlineStr"/>
      <c r="C536" t="n">
        <v>1508477124</v>
      </c>
      <c r="D536">
        <f>HYPERLINK("https://www.etsy.com/listing/1508477124", "link")</f>
        <v/>
      </c>
      <c r="E536">
        <f>HYPERLINK("https://atlas.etsycorp.com/listing/1508477124/lookup", "link")</f>
        <v/>
      </c>
      <c r="F536" t="inlineStr">
        <is>
          <t>Seven Tea Mug, Wildflower 70th Birthday Mug, Personalized Gift for 70th Birthday, Custom Grandma Gift, Mom Gifts, 70th Birthday Woman, 1953</t>
        </is>
      </c>
      <c r="G536" t="inlineStr">
        <is>
          <t>EuOsuPN2KrYtNTMg-zPx2EmCqYaa</t>
        </is>
      </c>
      <c r="H536" t="inlineStr">
        <is>
          <t>web</t>
        </is>
      </c>
      <c r="I536" t="inlineStr">
        <is>
          <t>en-US</t>
        </is>
      </c>
      <c r="J536" t="inlineStr">
        <is>
          <t>us_v2-gift</t>
        </is>
      </c>
      <c r="K536" t="b">
        <v>1</v>
      </c>
      <c r="L536" t="inlineStr">
        <is>
          <t>not_relevant</t>
        </is>
      </c>
      <c r="M536" t="inlineStr">
        <is>
          <t>not_relevant</t>
        </is>
      </c>
      <c r="N536" t="inlineStr">
        <is>
          <t>not_relevant</t>
        </is>
      </c>
      <c r="O536" t="inlineStr">
        <is>
          <t>not_relevant</t>
        </is>
      </c>
      <c r="P536" t="b">
        <v>1</v>
      </c>
    </row>
    <row r="537">
      <c r="A537" t="inlineStr">
        <is>
          <t>personalized</t>
        </is>
      </c>
      <c r="B537" t="inlineStr"/>
      <c r="C537" t="n">
        <v>1570241640</v>
      </c>
      <c r="D537">
        <f>HYPERLINK("https://www.etsy.com/listing/1570241640", "link")</f>
        <v/>
      </c>
      <c r="E537">
        <f>HYPERLINK("https://atlas.etsycorp.com/listing/1570241640/lookup", "link")</f>
        <v/>
      </c>
      <c r="F537" t="inlineStr">
        <is>
          <t>Holiday Kitchen Towels, Corporate Holiday Gifts, Holiday Hand Towel for Xmas Gift for Coworker, Oven Door Towel with Button</t>
        </is>
      </c>
      <c r="G537" t="inlineStr">
        <is>
          <t>EuHUOTAs6l4yINeN0THYMw4RbZ0e</t>
        </is>
      </c>
      <c r="H537" t="inlineStr">
        <is>
          <t>boe</t>
        </is>
      </c>
      <c r="I537" t="inlineStr">
        <is>
          <t>en-US</t>
        </is>
      </c>
      <c r="J537" t="inlineStr">
        <is>
          <t>us_v2-broad</t>
        </is>
      </c>
      <c r="K537" t="b">
        <v>1</v>
      </c>
      <c r="L537" t="inlineStr">
        <is>
          <t>not_relevant</t>
        </is>
      </c>
      <c r="M537" t="inlineStr">
        <is>
          <t>relevant</t>
        </is>
      </c>
      <c r="N537" t="inlineStr">
        <is>
          <t>not_relevant</t>
        </is>
      </c>
      <c r="O537" t="inlineStr">
        <is>
          <t>not_relevant</t>
        </is>
      </c>
      <c r="P537" t="b">
        <v>1</v>
      </c>
    </row>
    <row r="538">
      <c r="A538" t="inlineStr">
        <is>
          <t>nursery bookshelf</t>
        </is>
      </c>
      <c r="B538" t="inlineStr"/>
      <c r="C538" t="n">
        <v>1227907655</v>
      </c>
      <c r="D538">
        <f>HYPERLINK("https://www.etsy.com/listing/1227907655", "link")</f>
        <v/>
      </c>
      <c r="E538">
        <f>HYPERLINK("https://atlas.etsycorp.com/listing/1227907655/lookup", "link")</f>
        <v/>
      </c>
      <c r="F538" t="inlineStr">
        <is>
          <t>where the wild one sleeps signage, wall art, wooden/ acrylics name sign, nursery decor, photo prop, sign</t>
        </is>
      </c>
      <c r="G538" t="inlineStr">
        <is>
          <t>EuWkEbO1X1MYsmyq8FpzSUpN4C1d</t>
        </is>
      </c>
      <c r="H538" t="inlineStr">
        <is>
          <t>boe</t>
        </is>
      </c>
      <c r="I538" t="inlineStr">
        <is>
          <t>en-GB</t>
        </is>
      </c>
      <c r="J538" t="inlineStr">
        <is>
          <t>us_v2-direct_unspecified</t>
        </is>
      </c>
      <c r="K538" t="b">
        <v>1</v>
      </c>
      <c r="L538" t="inlineStr">
        <is>
          <t>not_relevant</t>
        </is>
      </c>
      <c r="M538" t="inlineStr">
        <is>
          <t>not_relevant</t>
        </is>
      </c>
      <c r="N538" t="inlineStr">
        <is>
          <t>not_relevant</t>
        </is>
      </c>
      <c r="O538" t="inlineStr">
        <is>
          <t>relevant</t>
        </is>
      </c>
      <c r="P538" t="b">
        <v>1</v>
      </c>
    </row>
    <row r="539">
      <c r="A539" t="inlineStr">
        <is>
          <t>sarape decoración de mesa</t>
        </is>
      </c>
      <c r="B539" t="inlineStr">
        <is>
          <t>serape table decoration</t>
        </is>
      </c>
      <c r="C539" t="n">
        <v>563566030</v>
      </c>
      <c r="D539">
        <f>HYPERLINK("https://www.etsy.com/listing/563566030", "link")</f>
        <v/>
      </c>
      <c r="E539">
        <f>HYPERLINK("https://atlas.etsycorp.com/listing/563566030/lookup", "link")</f>
        <v/>
      </c>
      <c r="F539" t="inlineStr">
        <is>
          <t>Tissue paper pom poms (set of 5), Mexican party decorations, Mexican fiesta, Mexican paper flowers, bridal shower, baby shower decorations</t>
        </is>
      </c>
      <c r="G539" t="inlineStr">
        <is>
          <t>Eum83TxiE3OJrSv-jKhN1Tt-lL0c</t>
        </is>
      </c>
      <c r="H539" t="inlineStr">
        <is>
          <t>boe</t>
        </is>
      </c>
      <c r="I539" t="inlineStr">
        <is>
          <t>es</t>
        </is>
      </c>
      <c r="J539" t="inlineStr">
        <is>
          <t>intl-es</t>
        </is>
      </c>
      <c r="K539" t="b">
        <v>1</v>
      </c>
      <c r="L539" t="inlineStr">
        <is>
          <t>not_relevant</t>
        </is>
      </c>
      <c r="M539" t="inlineStr">
        <is>
          <t>not_relevant</t>
        </is>
      </c>
      <c r="N539" t="inlineStr">
        <is>
          <t>not_relevant</t>
        </is>
      </c>
      <c r="O539" t="inlineStr">
        <is>
          <t>not_relevant</t>
        </is>
      </c>
      <c r="P539" t="b">
        <v>1</v>
      </c>
    </row>
    <row r="540">
      <c r="A540" t="inlineStr">
        <is>
          <t>climbing panel 36 inch</t>
        </is>
      </c>
      <c r="B540" t="inlineStr"/>
      <c r="C540" t="n">
        <v>1581189609</v>
      </c>
      <c r="D540">
        <f>HYPERLINK("https://www.etsy.com/listing/1581189609", "link")</f>
        <v/>
      </c>
      <c r="E540">
        <f>HYPERLINK("https://atlas.etsycorp.com/listing/1581189609/lookup", "link")</f>
        <v/>
      </c>
      <c r="F540" t="inlineStr">
        <is>
          <t>Small Pinch Climbing Holds</t>
        </is>
      </c>
      <c r="G540" t="inlineStr">
        <is>
          <t>EuaCb6Yb9f96NlISD_SRHi2T19cc</t>
        </is>
      </c>
      <c r="H540" t="inlineStr">
        <is>
          <t>web</t>
        </is>
      </c>
      <c r="I540" t="inlineStr">
        <is>
          <t>en-US</t>
        </is>
      </c>
      <c r="J540" t="inlineStr">
        <is>
          <t>us_v2-direct_unspecified</t>
        </is>
      </c>
      <c r="K540" t="b">
        <v>1</v>
      </c>
      <c r="L540" t="inlineStr">
        <is>
          <t>partial</t>
        </is>
      </c>
      <c r="M540" t="inlineStr">
        <is>
          <t>partial</t>
        </is>
      </c>
      <c r="N540" t="inlineStr">
        <is>
          <t>partial</t>
        </is>
      </c>
      <c r="O540" t="inlineStr">
        <is>
          <t>partial</t>
        </is>
      </c>
      <c r="P540" t="b">
        <v>1</v>
      </c>
    </row>
    <row r="541">
      <c r="A541" t="inlineStr">
        <is>
          <t>60th birthday cards for women</t>
        </is>
      </c>
      <c r="B541" t="inlineStr"/>
      <c r="C541" t="n">
        <v>1164337655</v>
      </c>
      <c r="D541">
        <f>HYPERLINK("https://www.etsy.com/listing/1164337655", "link")</f>
        <v/>
      </c>
      <c r="E541">
        <f>HYPERLINK("https://atlas.etsycorp.com/listing/1164337655/lookup", "link")</f>
        <v/>
      </c>
      <c r="F541" t="inlineStr">
        <is>
          <t>60th Birthday Card for Woman with Intricate Flower Design | Pink Floral 3D Pop-Up 60th Birthday Card Mum 60th Birthday Card for Dad Gift</t>
        </is>
      </c>
      <c r="G541" t="inlineStr">
        <is>
          <t>EuKWNCbem1ebo6g8yVDIo9sL71ae</t>
        </is>
      </c>
      <c r="H541" t="inlineStr">
        <is>
          <t>web</t>
        </is>
      </c>
      <c r="I541" t="inlineStr">
        <is>
          <t>en-GB</t>
        </is>
      </c>
      <c r="J541" t="inlineStr">
        <is>
          <t>us_v2-direct_unspecified</t>
        </is>
      </c>
      <c r="K541" t="b">
        <v>1</v>
      </c>
      <c r="L541" t="inlineStr">
        <is>
          <t>relevant</t>
        </is>
      </c>
      <c r="M541" t="inlineStr">
        <is>
          <t>relevant</t>
        </is>
      </c>
      <c r="N541" t="inlineStr">
        <is>
          <t>relevant</t>
        </is>
      </c>
      <c r="O541" t="inlineStr">
        <is>
          <t>relevant</t>
        </is>
      </c>
      <c r="P541" t="b">
        <v>1</v>
      </c>
    </row>
    <row r="542">
      <c r="A542" t="inlineStr">
        <is>
          <t>trofeo primer grado</t>
        </is>
      </c>
      <c r="B542" t="inlineStr">
        <is>
          <t>first grade trophy</t>
        </is>
      </c>
      <c r="C542" t="n">
        <v>1033119703</v>
      </c>
      <c r="D542">
        <f>HYPERLINK("https://www.etsy.com/listing/1033119703", "link")</f>
        <v/>
      </c>
      <c r="E542">
        <f>HYPERLINK("https://atlas.etsycorp.com/listing/1033119703/lookup", "link")</f>
        <v/>
      </c>
      <c r="F542" t="inlineStr">
        <is>
          <t>Personalized Graduation Bears-7.5inches- graduation gift- preschool-Kindergarten-5th grade-8th grade-high school-college-2022 gift</t>
        </is>
      </c>
      <c r="G542" t="inlineStr">
        <is>
          <t>EuvDw8AI3AbJ1gJ2TwV3Qt4ugo5e</t>
        </is>
      </c>
      <c r="H542" t="inlineStr">
        <is>
          <t>boe</t>
        </is>
      </c>
      <c r="I542" t="inlineStr">
        <is>
          <t>es</t>
        </is>
      </c>
      <c r="J542" t="inlineStr">
        <is>
          <t>intl-es</t>
        </is>
      </c>
      <c r="K542" t="b">
        <v>1</v>
      </c>
      <c r="L542" t="inlineStr">
        <is>
          <t>not_relevant</t>
        </is>
      </c>
      <c r="M542" t="inlineStr">
        <is>
          <t>partial</t>
        </is>
      </c>
      <c r="N542" t="inlineStr">
        <is>
          <t>not_relevant</t>
        </is>
      </c>
      <c r="O542" t="inlineStr">
        <is>
          <t>not_relevant</t>
        </is>
      </c>
      <c r="P542" t="b">
        <v>1</v>
      </c>
    </row>
    <row r="543">
      <c r="A543" t="inlineStr">
        <is>
          <t>apple decor</t>
        </is>
      </c>
      <c r="B543" t="inlineStr"/>
      <c r="C543" t="n">
        <v>1219641905</v>
      </c>
      <c r="D543">
        <f>HYPERLINK("https://www.etsy.com/listing/1219641905", "link")</f>
        <v/>
      </c>
      <c r="E543">
        <f>HYPERLINK("https://atlas.etsycorp.com/listing/1219641905/lookup", "link")</f>
        <v/>
      </c>
      <c r="F543" t="inlineStr">
        <is>
          <t>Mini Oranges for Tiered TrayMini Fruit Pail for TierFake FruitMini White Flowers for TierMini Love Sign for TierFruit &amp; Flowers Tier</t>
        </is>
      </c>
      <c r="G543" t="inlineStr">
        <is>
          <t>EuUpHDftdGkkpXHbIRNcCO3PdJ38</t>
        </is>
      </c>
      <c r="H543" t="inlineStr">
        <is>
          <t>web</t>
        </is>
      </c>
      <c r="I543" t="inlineStr">
        <is>
          <t>en-US</t>
        </is>
      </c>
      <c r="J543" t="inlineStr">
        <is>
          <t>us_v2-broad</t>
        </is>
      </c>
      <c r="K543" t="b">
        <v>1</v>
      </c>
      <c r="L543" t="inlineStr">
        <is>
          <t>partial</t>
        </is>
      </c>
      <c r="M543" t="inlineStr">
        <is>
          <t>partial</t>
        </is>
      </c>
      <c r="N543" t="inlineStr">
        <is>
          <t>partial</t>
        </is>
      </c>
      <c r="O543" t="inlineStr">
        <is>
          <t>partial</t>
        </is>
      </c>
      <c r="P543" t="b">
        <v>1</v>
      </c>
    </row>
    <row r="544">
      <c r="A544" t="inlineStr">
        <is>
          <t>set of 3 paintings Flowers painting abstraction</t>
        </is>
      </c>
      <c r="B544" t="inlineStr">
        <is>
          <t>set of 3 paintings Flowers painting abstraction</t>
        </is>
      </c>
      <c r="C544" t="n">
        <v>1660747977</v>
      </c>
      <c r="D544">
        <f>HYPERLINK("https://www.etsy.com/listing/1660747977", "link")</f>
        <v/>
      </c>
      <c r="E544">
        <f>HYPERLINK("https://atlas.etsycorp.com/listing/1660747977/lookup", "link")</f>
        <v/>
      </c>
      <c r="F544" t="inlineStr">
        <is>
          <t>Bloom Flower Painting Set of 3 Wall Art - White Orange Color Flower Wall Art Canvas Painting - Cotton Canvas Oil Painting Original Art</t>
        </is>
      </c>
      <c r="G544" t="inlineStr">
        <is>
          <t>Eux4eR4a3lTyrg3nhl939ym1_bef</t>
        </is>
      </c>
      <c r="H544" t="inlineStr">
        <is>
          <t>web</t>
        </is>
      </c>
      <c r="I544" t="inlineStr">
        <is>
          <t>ru</t>
        </is>
      </c>
      <c r="J544" t="inlineStr">
        <is>
          <t>intl-ru</t>
        </is>
      </c>
      <c r="K544" t="b">
        <v>1</v>
      </c>
      <c r="L544" t="inlineStr">
        <is>
          <t>relevant</t>
        </is>
      </c>
      <c r="M544" t="inlineStr">
        <is>
          <t>relevant</t>
        </is>
      </c>
      <c r="N544" t="inlineStr">
        <is>
          <t>relevant</t>
        </is>
      </c>
      <c r="O544" t="inlineStr">
        <is>
          <t>relevant</t>
        </is>
      </c>
      <c r="P544" t="b">
        <v>1</v>
      </c>
    </row>
    <row r="545">
      <c r="A545" t="inlineStr">
        <is>
          <t>gem stones</t>
        </is>
      </c>
      <c r="B545" t="inlineStr"/>
      <c r="C545" t="n">
        <v>1615804914</v>
      </c>
      <c r="D545">
        <f>HYPERLINK("https://www.etsy.com/listing/1615804914", "link")</f>
        <v/>
      </c>
      <c r="E545">
        <f>HYPERLINK("https://atlas.etsycorp.com/listing/1615804914/lookup", "link")</f>
        <v/>
      </c>
      <c r="F545" t="inlineStr">
        <is>
          <t>Crystals, stones 20oz tumbler wrap png digital download</t>
        </is>
      </c>
      <c r="G545" t="inlineStr">
        <is>
          <t>EuUh-xF1bCqg5gFBUtZmhelJWb0a</t>
        </is>
      </c>
      <c r="H545" t="inlineStr">
        <is>
          <t>web</t>
        </is>
      </c>
      <c r="I545" t="inlineStr">
        <is>
          <t>en-US</t>
        </is>
      </c>
      <c r="J545" t="inlineStr">
        <is>
          <t>us_v2-direct_unspecified</t>
        </is>
      </c>
      <c r="K545" t="b">
        <v>1</v>
      </c>
      <c r="L545" t="inlineStr">
        <is>
          <t>not_relevant</t>
        </is>
      </c>
      <c r="M545" t="inlineStr">
        <is>
          <t>relevant</t>
        </is>
      </c>
      <c r="N545" t="inlineStr">
        <is>
          <t>not_relevant</t>
        </is>
      </c>
      <c r="O545" t="inlineStr">
        <is>
          <t>not_relevant</t>
        </is>
      </c>
      <c r="P545" t="b">
        <v>1</v>
      </c>
    </row>
    <row r="546">
      <c r="A546" t="inlineStr">
        <is>
          <t>appa plush keychain</t>
        </is>
      </c>
      <c r="B546" t="inlineStr"/>
      <c r="C546" t="n">
        <v>1618925652</v>
      </c>
      <c r="D546">
        <f>HYPERLINK("https://www.etsy.com/listing/1618925652", "link")</f>
        <v/>
      </c>
      <c r="E546">
        <f>HYPERLINK("https://atlas.etsycorp.com/listing/1618925652/lookup", "link")</f>
        <v/>
      </c>
      <c r="F546" t="inlineStr">
        <is>
          <t>Totoro plush keychains</t>
        </is>
      </c>
      <c r="G546" t="inlineStr">
        <is>
          <t>Eum4__AhUv5_kS4H6okLtu2mLtac</t>
        </is>
      </c>
      <c r="H546" t="inlineStr">
        <is>
          <t>web</t>
        </is>
      </c>
      <c r="I546" t="inlineStr">
        <is>
          <t>en-US</t>
        </is>
      </c>
      <c r="J546" t="inlineStr">
        <is>
          <t>us_v2-direct_specified</t>
        </is>
      </c>
      <c r="K546" t="b">
        <v>1</v>
      </c>
      <c r="L546" t="inlineStr">
        <is>
          <t>partial</t>
        </is>
      </c>
      <c r="M546" t="inlineStr">
        <is>
          <t>partial</t>
        </is>
      </c>
      <c r="N546" t="inlineStr">
        <is>
          <t>partial</t>
        </is>
      </c>
      <c r="O546" t="inlineStr">
        <is>
          <t>partial</t>
        </is>
      </c>
      <c r="P546" t="b">
        <v>1</v>
      </c>
    </row>
    <row r="547">
      <c r="A547" t="inlineStr">
        <is>
          <t>a7 spaarchallenge</t>
        </is>
      </c>
      <c r="B547" t="inlineStr">
        <is>
          <t>a7 savings challenge</t>
        </is>
      </c>
      <c r="C547" t="n">
        <v>1667036860</v>
      </c>
      <c r="D547">
        <f>HYPERLINK("https://www.etsy.com/listing/1667036860", "link")</f>
        <v/>
      </c>
      <c r="E547">
        <f>HYPERLINK("https://atlas.etsycorp.com/listing/1667036860/lookup", "link")</f>
        <v/>
      </c>
      <c r="F547" t="inlineStr">
        <is>
          <t>A7 Cute Guilty Cats 12 Month Cash Tracker, A7 Money Savings Challenge, A7 Cash Envelope, Mini Money Tracker, 52 Week Savings Challenge</t>
        </is>
      </c>
      <c r="G547" t="inlineStr">
        <is>
          <t>EuzXh7zU23_q2lqyHQjZfoSlpSbb</t>
        </is>
      </c>
      <c r="H547" t="inlineStr">
        <is>
          <t>boe</t>
        </is>
      </c>
      <c r="I547" t="inlineStr">
        <is>
          <t>nl</t>
        </is>
      </c>
      <c r="J547" t="inlineStr">
        <is>
          <t>intl-nl</t>
        </is>
      </c>
      <c r="K547" t="b">
        <v>1</v>
      </c>
      <c r="L547" t="inlineStr">
        <is>
          <t>relevant</t>
        </is>
      </c>
      <c r="M547" t="inlineStr">
        <is>
          <t>relevant</t>
        </is>
      </c>
      <c r="N547" t="inlineStr">
        <is>
          <t>relevant</t>
        </is>
      </c>
      <c r="O547" t="inlineStr">
        <is>
          <t>relevant</t>
        </is>
      </c>
      <c r="P547" t="b">
        <v>1</v>
      </c>
    </row>
    <row r="548">
      <c r="A548" t="inlineStr">
        <is>
          <t>BIRTHDay card for him northern soul</t>
        </is>
      </c>
      <c r="B548" t="inlineStr"/>
      <c r="C548" t="n">
        <v>936057596</v>
      </c>
      <c r="D548">
        <f>HYPERLINK("https://www.etsy.com/listing/936057596", "link")</f>
        <v/>
      </c>
      <c r="E548">
        <f>HYPERLINK("https://atlas.etsycorp.com/listing/936057596/lookup", "link")</f>
        <v/>
      </c>
      <c r="F548" t="inlineStr">
        <is>
          <t>Yorkshire Birthday Card - Eeh by Gum Birthday Card - Happy Birthday Card - Yorkshire Gift - Lancashire Gift - Northern Gift - Northern Card</t>
        </is>
      </c>
      <c r="G548" t="inlineStr">
        <is>
          <t>EuvijxHjt3I8SUrcnfXLSmhZPtcc</t>
        </is>
      </c>
      <c r="H548" t="inlineStr">
        <is>
          <t>web</t>
        </is>
      </c>
      <c r="I548" t="inlineStr">
        <is>
          <t>en-GB</t>
        </is>
      </c>
      <c r="J548" t="inlineStr">
        <is>
          <t>us_v2-gift</t>
        </is>
      </c>
      <c r="K548" t="b">
        <v>1</v>
      </c>
      <c r="L548" t="inlineStr">
        <is>
          <t>partial</t>
        </is>
      </c>
      <c r="M548" t="inlineStr">
        <is>
          <t>partial</t>
        </is>
      </c>
      <c r="N548" t="inlineStr">
        <is>
          <t>relevant</t>
        </is>
      </c>
      <c r="O548" t="inlineStr">
        <is>
          <t>partial</t>
        </is>
      </c>
      <c r="P548" t="b">
        <v>1</v>
      </c>
    </row>
    <row r="549">
      <c r="A549" t="inlineStr">
        <is>
          <t>mtg yu gi oh</t>
        </is>
      </c>
      <c r="B549" t="inlineStr">
        <is>
          <t>mtg yu gi oh</t>
        </is>
      </c>
      <c r="C549" t="n">
        <v>1447336698</v>
      </c>
      <c r="D549">
        <f>HYPERLINK("https://www.etsy.com/listing/1447336698", "link")</f>
        <v/>
      </c>
      <c r="E549">
        <f>HYPERLINK("https://atlas.etsycorp.com/listing/1447336698/lookup", "link")</f>
        <v/>
      </c>
      <c r="F549" t="inlineStr">
        <is>
          <t>YGO Playmat Red-Eyes Ultimate Dragon with Free Carry Bag | Premium Fabric Custom Duel TCG Mat | Ultra HD Print with Anti-Slip Surface |</t>
        </is>
      </c>
      <c r="G549" t="inlineStr">
        <is>
          <t>EuiqnSTTEPB9xDQUKj6tcI_XZj9d</t>
        </is>
      </c>
      <c r="H549" t="inlineStr">
        <is>
          <t>web</t>
        </is>
      </c>
      <c r="I549" t="inlineStr">
        <is>
          <t>fr</t>
        </is>
      </c>
      <c r="J549" t="inlineStr">
        <is>
          <t>intl-fr</t>
        </is>
      </c>
      <c r="K549" t="b">
        <v>1</v>
      </c>
      <c r="L549" t="inlineStr">
        <is>
          <t>not_relevant</t>
        </is>
      </c>
      <c r="M549" t="inlineStr">
        <is>
          <t>not_relevant</t>
        </is>
      </c>
      <c r="N549" t="inlineStr">
        <is>
          <t>relevant</t>
        </is>
      </c>
      <c r="O549" t="inlineStr">
        <is>
          <t>not_relevant</t>
        </is>
      </c>
      <c r="P549" t="b">
        <v>1</v>
      </c>
    </row>
    <row r="550">
      <c r="A550" t="inlineStr">
        <is>
          <t>home gifts</t>
        </is>
      </c>
      <c r="B550" t="inlineStr"/>
      <c r="C550" t="n">
        <v>1419531545</v>
      </c>
      <c r="D550">
        <f>HYPERLINK("https://www.etsy.com/listing/1419531545", "link")</f>
        <v/>
      </c>
      <c r="E550">
        <f>HYPERLINK("https://atlas.etsycorp.com/listing/1419531545/lookup", "link")</f>
        <v/>
      </c>
      <c r="F550" t="inlineStr">
        <is>
          <t>Recycled Newspaper Coasters and Holder, Boho Style set of 6 Drink Coaster, Sustainable New Home Eco friendly gift, Upcycled Papermade  Decor</t>
        </is>
      </c>
      <c r="G550" t="inlineStr">
        <is>
          <t>Euv5abBw2XCbPb8vvIKxNl_Q94eb</t>
        </is>
      </c>
      <c r="H550" t="inlineStr">
        <is>
          <t>boe</t>
        </is>
      </c>
      <c r="I550" t="inlineStr">
        <is>
          <t>en-US</t>
        </is>
      </c>
      <c r="J550" t="inlineStr">
        <is>
          <t>us_v2-gift</t>
        </is>
      </c>
      <c r="K550" t="b">
        <v>1</v>
      </c>
      <c r="L550" t="inlineStr">
        <is>
          <t>relevant</t>
        </is>
      </c>
      <c r="M550" t="inlineStr">
        <is>
          <t>relevant</t>
        </is>
      </c>
      <c r="N550" t="inlineStr">
        <is>
          <t>relevant</t>
        </is>
      </c>
      <c r="O550" t="inlineStr">
        <is>
          <t>relevant</t>
        </is>
      </c>
      <c r="P550" t="b">
        <v>1</v>
      </c>
    </row>
    <row r="551">
      <c r="A551" t="inlineStr">
        <is>
          <t>monalisa prendedor</t>
        </is>
      </c>
      <c r="B551" t="inlineStr">
        <is>
          <t>monalisa clip</t>
        </is>
      </c>
      <c r="C551" t="n">
        <v>1617837977</v>
      </c>
      <c r="D551">
        <f>HYPERLINK("https://www.etsy.com/listing/1617837977", "link")</f>
        <v/>
      </c>
      <c r="E551">
        <f>HYPERLINK("https://atlas.etsycorp.com/listing/1617837977/lookup", "link")</f>
        <v/>
      </c>
      <c r="F551" t="inlineStr">
        <is>
          <t>Altered Vintage Art Gift Funny Bathroom Wall Art Decor Woman Stink Oil Painting Toilet Classic Art Humor Alter Portrait Digital Download</t>
        </is>
      </c>
      <c r="G551" t="inlineStr">
        <is>
          <t>Eu8eQqooEV7GyNezAoXzQL79IO07</t>
        </is>
      </c>
      <c r="H551" t="inlineStr">
        <is>
          <t>web</t>
        </is>
      </c>
      <c r="I551" t="inlineStr">
        <is>
          <t>pt</t>
        </is>
      </c>
      <c r="J551" t="inlineStr">
        <is>
          <t>intl-pt</t>
        </is>
      </c>
      <c r="K551" t="b">
        <v>1</v>
      </c>
      <c r="L551" t="inlineStr">
        <is>
          <t>not_relevant</t>
        </is>
      </c>
      <c r="M551" t="inlineStr">
        <is>
          <t>not_relevant</t>
        </is>
      </c>
      <c r="N551" t="inlineStr">
        <is>
          <t>not_relevant</t>
        </is>
      </c>
      <c r="O551" t="inlineStr">
        <is>
          <t>not_relevant</t>
        </is>
      </c>
      <c r="P551" t="b">
        <v>1</v>
      </c>
    </row>
    <row r="552">
      <c r="A552" t="inlineStr">
        <is>
          <t>stickers</t>
        </is>
      </c>
      <c r="B552" t="inlineStr"/>
      <c r="C552" t="n">
        <v>1519472187</v>
      </c>
      <c r="D552">
        <f>HYPERLINK("https://www.etsy.com/listing/1519472187", "link")</f>
        <v/>
      </c>
      <c r="E552">
        <f>HYPERLINK("https://atlas.etsycorp.com/listing/1519472187/lookup", "link")</f>
        <v/>
      </c>
      <c r="F552" t="inlineStr">
        <is>
          <t>Create Your Own Small Sticker Pack|Mini Sticker Pack|Tiny Sticker|Phone Case Sticker|1 inch Sticker|Mini Vinyl Sticker|Small Vinyl Stickers</t>
        </is>
      </c>
      <c r="G552" t="inlineStr">
        <is>
          <t>EuydCWR_9XJnsbeM6kjKh4nsYR06</t>
        </is>
      </c>
      <c r="H552" t="inlineStr">
        <is>
          <t>web</t>
        </is>
      </c>
      <c r="I552" t="inlineStr">
        <is>
          <t>en-US</t>
        </is>
      </c>
      <c r="J552" t="inlineStr">
        <is>
          <t>us_v2-direct_unspecified</t>
        </is>
      </c>
      <c r="K552" t="b">
        <v>1</v>
      </c>
      <c r="L552" t="inlineStr">
        <is>
          <t>relevant</t>
        </is>
      </c>
      <c r="M552" t="inlineStr">
        <is>
          <t>relevant</t>
        </is>
      </c>
      <c r="N552" t="inlineStr">
        <is>
          <t>relevant</t>
        </is>
      </c>
      <c r="O552" t="inlineStr">
        <is>
          <t>relevant</t>
        </is>
      </c>
      <c r="P552" t="b">
        <v>1</v>
      </c>
    </row>
    <row r="553">
      <c r="A553" t="inlineStr">
        <is>
          <t>horse stained glass pattern</t>
        </is>
      </c>
      <c r="B553" t="inlineStr"/>
      <c r="C553" t="n">
        <v>1328884218</v>
      </c>
      <c r="D553">
        <f>HYPERLINK("https://www.etsy.com/listing/1328884218", "link")</f>
        <v/>
      </c>
      <c r="E553">
        <f>HYPERLINK("https://atlas.etsycorp.com/listing/1328884218/lookup", "link")</f>
        <v/>
      </c>
      <c r="F553" t="inlineStr">
        <is>
          <t>Digital Stained Glass Pattern for Download - Honeycomb</t>
        </is>
      </c>
      <c r="G553" t="inlineStr">
        <is>
          <t>Euo4WDjTNZ6BxHPzZWWLQd_hFhf4</t>
        </is>
      </c>
      <c r="H553" t="inlineStr">
        <is>
          <t>boe</t>
        </is>
      </c>
      <c r="I553" t="inlineStr">
        <is>
          <t>en-US</t>
        </is>
      </c>
      <c r="J553" t="inlineStr">
        <is>
          <t>us_v2-direct_specified</t>
        </is>
      </c>
      <c r="K553" t="b">
        <v>1</v>
      </c>
      <c r="L553" t="inlineStr">
        <is>
          <t>partial</t>
        </is>
      </c>
      <c r="M553" t="inlineStr">
        <is>
          <t>partial</t>
        </is>
      </c>
      <c r="N553" t="inlineStr">
        <is>
          <t>partial</t>
        </is>
      </c>
      <c r="O553" t="inlineStr">
        <is>
          <t>partial</t>
        </is>
      </c>
      <c r="P553" t="b">
        <v>1</v>
      </c>
    </row>
    <row r="554">
      <c r="A554" t="inlineStr">
        <is>
          <t>personalized party decor</t>
        </is>
      </c>
      <c r="B554" t="inlineStr">
        <is>
          <t>personalized party decor</t>
        </is>
      </c>
      <c r="C554" t="n">
        <v>1454676692</v>
      </c>
      <c r="D554">
        <f>HYPERLINK("https://www.etsy.com/listing/1454676692", "link")</f>
        <v/>
      </c>
      <c r="E554">
        <f>HYPERLINK("https://atlas.etsycorp.com/listing/1454676692/lookup", "link")</f>
        <v/>
      </c>
      <c r="F554" t="inlineStr">
        <is>
          <t>Wedding Cake Thank You, Dried Flowers, Thank You For Making Our Wedding Cake, Wedding Thank you Cards, Pastri, Home Decor, Personalized Gift</t>
        </is>
      </c>
      <c r="G554" t="inlineStr">
        <is>
          <t>EuHNNuWEtEgGCuV14y0doToZEB23</t>
        </is>
      </c>
      <c r="H554" t="inlineStr">
        <is>
          <t>boe</t>
        </is>
      </c>
      <c r="I554" t="inlineStr">
        <is>
          <t>es</t>
        </is>
      </c>
      <c r="J554" t="inlineStr">
        <is>
          <t>intl-es</t>
        </is>
      </c>
      <c r="K554" t="b">
        <v>1</v>
      </c>
      <c r="L554" t="inlineStr">
        <is>
          <t>relevant</t>
        </is>
      </c>
      <c r="M554" t="inlineStr">
        <is>
          <t>relevant</t>
        </is>
      </c>
      <c r="N554" t="inlineStr">
        <is>
          <t>relevant</t>
        </is>
      </c>
      <c r="O554" t="inlineStr">
        <is>
          <t>relevant</t>
        </is>
      </c>
      <c r="P554" t="b">
        <v>1</v>
      </c>
    </row>
    <row r="555">
      <c r="A555" t="inlineStr">
        <is>
          <t>funny door sticker</t>
        </is>
      </c>
      <c r="B555" t="inlineStr">
        <is>
          <t>funny by sticker</t>
        </is>
      </c>
      <c r="C555" t="n">
        <v>814883678</v>
      </c>
      <c r="D555">
        <f>HYPERLINK("https://www.etsy.com/listing/814883678", "link")</f>
        <v/>
      </c>
      <c r="E555">
        <f>HYPERLINK("https://atlas.etsycorp.com/listing/814883678/lookup", "link")</f>
        <v/>
      </c>
      <c r="F555" t="inlineStr">
        <is>
          <t>remember your why sticker, funny stickers, motivation laptop decals, motivational tumbler stickers, water bottle sticker, water bottle decal</t>
        </is>
      </c>
      <c r="G555" t="inlineStr">
        <is>
          <t>EuKhYHFcUVGVtusqNizWZp9-wNb7</t>
        </is>
      </c>
      <c r="H555" t="inlineStr">
        <is>
          <t>web</t>
        </is>
      </c>
      <c r="I555" t="inlineStr">
        <is>
          <t>nl</t>
        </is>
      </c>
      <c r="J555" t="inlineStr">
        <is>
          <t>intl-nl</t>
        </is>
      </c>
      <c r="K555" t="b">
        <v>1</v>
      </c>
      <c r="L555" t="inlineStr">
        <is>
          <t>relevant</t>
        </is>
      </c>
      <c r="M555" t="inlineStr">
        <is>
          <t>relevant</t>
        </is>
      </c>
      <c r="N555" t="inlineStr">
        <is>
          <t>relevant</t>
        </is>
      </c>
      <c r="O555" t="inlineStr">
        <is>
          <t>partial</t>
        </is>
      </c>
      <c r="P555" t="b">
        <v>1</v>
      </c>
    </row>
    <row r="556">
      <c r="A556" t="inlineStr">
        <is>
          <t>vintage wallpaper peel and stick</t>
        </is>
      </c>
      <c r="B556" t="inlineStr">
        <is>
          <t>vintage wallpaper peel and stick</t>
        </is>
      </c>
      <c r="C556" t="n">
        <v>1564068248</v>
      </c>
      <c r="D556">
        <f>HYPERLINK("https://www.etsy.com/listing/1564068248", "link")</f>
        <v/>
      </c>
      <c r="E556">
        <f>HYPERLINK("https://atlas.etsycorp.com/listing/1564068248/lookup", "link")</f>
        <v/>
      </c>
      <c r="F556" t="inlineStr">
        <is>
          <t>vintage landscape wallpaper, scenic wall mural wallpaper landscape, dark landscape wall paper, removable peel and stick vintage wallpaper</t>
        </is>
      </c>
      <c r="G556" t="inlineStr">
        <is>
          <t>EuGw29ZCKyRDorZ4s7cJk3Inr308</t>
        </is>
      </c>
      <c r="H556" t="inlineStr">
        <is>
          <t>web</t>
        </is>
      </c>
      <c r="I556" t="inlineStr">
        <is>
          <t>es</t>
        </is>
      </c>
      <c r="J556" t="inlineStr">
        <is>
          <t>intl-es</t>
        </is>
      </c>
      <c r="K556" t="b">
        <v>1</v>
      </c>
      <c r="L556" t="inlineStr">
        <is>
          <t>relevant</t>
        </is>
      </c>
      <c r="M556" t="inlineStr">
        <is>
          <t>relevant</t>
        </is>
      </c>
      <c r="N556" t="inlineStr">
        <is>
          <t>relevant</t>
        </is>
      </c>
      <c r="O556" t="inlineStr">
        <is>
          <t>relevant</t>
        </is>
      </c>
      <c r="P556" t="b">
        <v>1</v>
      </c>
    </row>
    <row r="557">
      <c r="A557" t="inlineStr">
        <is>
          <t>debra schoch</t>
        </is>
      </c>
      <c r="B557" t="inlineStr"/>
      <c r="C557" t="n">
        <v>1040480875</v>
      </c>
      <c r="D557">
        <f>HYPERLINK("https://www.etsy.com/listing/1040480875", "link")</f>
        <v/>
      </c>
      <c r="E557">
        <f>HYPERLINK("https://atlas.etsycorp.com/listing/1040480875/lookup", "link")</f>
        <v/>
      </c>
      <c r="F557" t="inlineStr">
        <is>
          <t>Vintage Weathered Salvage Wood Furniture Spindle Leg, Salvage Legs, Furniture Restoration Hardware Supplies, DIY, Architectural Salvage</t>
        </is>
      </c>
      <c r="G557" t="inlineStr">
        <is>
          <t>EuHLAA84u5SsjiHQiHoY5JV0kN87</t>
        </is>
      </c>
      <c r="H557" t="inlineStr">
        <is>
          <t>web</t>
        </is>
      </c>
      <c r="I557" t="inlineStr">
        <is>
          <t>en-US</t>
        </is>
      </c>
      <c r="J557" t="inlineStr">
        <is>
          <t>us_v2-broad</t>
        </is>
      </c>
      <c r="K557" t="b">
        <v>1</v>
      </c>
      <c r="L557" t="inlineStr">
        <is>
          <t>not_relevant</t>
        </is>
      </c>
      <c r="M557" t="inlineStr">
        <is>
          <t>not_relevant</t>
        </is>
      </c>
      <c r="N557" t="inlineStr">
        <is>
          <t>not_relevant</t>
        </is>
      </c>
      <c r="O557" t="inlineStr">
        <is>
          <t>not_relevant</t>
        </is>
      </c>
      <c r="P557" t="b">
        <v>1</v>
      </c>
    </row>
    <row r="558">
      <c r="A558" t="inlineStr">
        <is>
          <t>personalized wedding gifts christmas ornaments</t>
        </is>
      </c>
      <c r="B558" t="inlineStr"/>
      <c r="C558" t="n">
        <v>1142187270</v>
      </c>
      <c r="D558">
        <f>HYPERLINK("https://www.etsy.com/listing/1142187270", "link")</f>
        <v/>
      </c>
      <c r="E558">
        <f>HYPERLINK("https://atlas.etsycorp.com/listing/1142187270/lookup", "link")</f>
        <v/>
      </c>
      <c r="F558" t="inlineStr">
        <is>
          <t>Heart holiday ornament - Personalized felt embroidered decoration - Family ornament - Mothers day gift</t>
        </is>
      </c>
      <c r="G558" t="inlineStr">
        <is>
          <t>Eu8eHCbofHWkeDaDQvhb3MNwtM0c</t>
        </is>
      </c>
      <c r="H558" t="inlineStr">
        <is>
          <t>web</t>
        </is>
      </c>
      <c r="I558" t="inlineStr">
        <is>
          <t>en-GB</t>
        </is>
      </c>
      <c r="J558" t="inlineStr">
        <is>
          <t>us_v2-gift</t>
        </is>
      </c>
      <c r="K558" t="b">
        <v>1</v>
      </c>
      <c r="L558" t="inlineStr">
        <is>
          <t>not_relevant</t>
        </is>
      </c>
      <c r="M558" t="inlineStr">
        <is>
          <t>not_relevant</t>
        </is>
      </c>
      <c r="N558" t="inlineStr">
        <is>
          <t>not_relevant</t>
        </is>
      </c>
      <c r="O558" t="inlineStr">
        <is>
          <t>not_relevant</t>
        </is>
      </c>
      <c r="P558" t="b">
        <v>1</v>
      </c>
    </row>
    <row r="559">
      <c r="A559" t="inlineStr">
        <is>
          <t>targhetta non toccare passeggino</t>
        </is>
      </c>
      <c r="B559" t="inlineStr">
        <is>
          <t>do not touch stroller label</t>
        </is>
      </c>
      <c r="C559" t="n">
        <v>1499858402</v>
      </c>
      <c r="D559">
        <f>HYPERLINK("https://www.etsy.com/listing/1499858402", "link")</f>
        <v/>
      </c>
      <c r="E559">
        <f>HYPERLINK("https://atlas.etsycorp.com/listing/1499858402/lookup", "link")</f>
        <v/>
      </c>
      <c r="F559" t="inlineStr">
        <is>
          <t>Mutsy Universal Footmuff for Car Seat</t>
        </is>
      </c>
      <c r="G559" t="inlineStr">
        <is>
          <t>Eu2PJbwTTOAR7PlIZLSwbWh2OJa8</t>
        </is>
      </c>
      <c r="H559" t="inlineStr">
        <is>
          <t>boe</t>
        </is>
      </c>
      <c r="I559" t="inlineStr">
        <is>
          <t>it</t>
        </is>
      </c>
      <c r="J559" t="inlineStr">
        <is>
          <t>intl-it</t>
        </is>
      </c>
      <c r="K559" t="b">
        <v>1</v>
      </c>
      <c r="L559" t="inlineStr">
        <is>
          <t>not_relevant</t>
        </is>
      </c>
      <c r="M559" t="inlineStr">
        <is>
          <t>not_relevant</t>
        </is>
      </c>
      <c r="N559" t="inlineStr">
        <is>
          <t>not_relevant</t>
        </is>
      </c>
      <c r="O559" t="inlineStr">
        <is>
          <t>not_relevant</t>
        </is>
      </c>
      <c r="P559" t="b">
        <v>1</v>
      </c>
    </row>
    <row r="560">
      <c r="A560" t="inlineStr">
        <is>
          <t>valentines goodie bags</t>
        </is>
      </c>
      <c r="B560" t="inlineStr"/>
      <c r="C560" t="n">
        <v>1625166632</v>
      </c>
      <c r="D560">
        <f>HYPERLINK("https://www.etsy.com/listing/1625166632", "link")</f>
        <v/>
      </c>
      <c r="E560">
        <f>HYPERLINK("https://atlas.etsycorp.com/listing/1625166632/lookup", "link")</f>
        <v/>
      </c>
      <c r="F560" t="inlineStr">
        <is>
          <t>Happy Valentine&amp;#39;s Day Gift Card Holder, Coffee Cup Gift Card Holder, Valentines Day Teacher Gift, How Sweet it is to be Taught by You</t>
        </is>
      </c>
      <c r="G560" t="inlineStr">
        <is>
          <t>EumlRhlDr-ibHeuYPLzt8R-jZj1b</t>
        </is>
      </c>
      <c r="H560" t="inlineStr">
        <is>
          <t>boe</t>
        </is>
      </c>
      <c r="I560" t="inlineStr">
        <is>
          <t>en-US</t>
        </is>
      </c>
      <c r="J560" t="inlineStr">
        <is>
          <t>us_v2-direct_unspecified</t>
        </is>
      </c>
      <c r="K560" t="b">
        <v>1</v>
      </c>
      <c r="L560" t="inlineStr">
        <is>
          <t>partial</t>
        </is>
      </c>
      <c r="M560" t="inlineStr">
        <is>
          <t>partial</t>
        </is>
      </c>
      <c r="N560" t="inlineStr">
        <is>
          <t>not_relevant</t>
        </is>
      </c>
      <c r="O560" t="inlineStr">
        <is>
          <t>partial</t>
        </is>
      </c>
      <c r="P560" t="b">
        <v>1</v>
      </c>
    </row>
    <row r="561">
      <c r="A561" t="inlineStr">
        <is>
          <t>bonvon</t>
        </is>
      </c>
      <c r="B561" t="inlineStr">
        <is>
          <t>bonbon</t>
        </is>
      </c>
      <c r="C561" t="n">
        <v>724865774</v>
      </c>
      <c r="D561">
        <f>HYPERLINK("https://www.etsy.com/listing/724865774", "link")</f>
        <v/>
      </c>
      <c r="E561">
        <f>HYPERLINK("https://atlas.etsycorp.com/listing/724865774/lookup", "link")</f>
        <v/>
      </c>
      <c r="F561" t="inlineStr">
        <is>
          <t>Orange Bon Bon earrings Ball drop Pom Pom Earrings Long thread earrings Les bonbons Earrings Thread fringed earrings Yellow BonBon earrings</t>
        </is>
      </c>
      <c r="G561" t="inlineStr">
        <is>
          <t>EuHkh2tpMYw809P34zqUx1C5cEb4</t>
        </is>
      </c>
      <c r="H561" t="inlineStr">
        <is>
          <t>boe</t>
        </is>
      </c>
      <c r="I561" t="inlineStr">
        <is>
          <t>fr</t>
        </is>
      </c>
      <c r="J561" t="inlineStr">
        <is>
          <t>intl-fr</t>
        </is>
      </c>
      <c r="K561" t="b">
        <v>1</v>
      </c>
      <c r="L561" t="inlineStr">
        <is>
          <t>relevant</t>
        </is>
      </c>
      <c r="M561" t="inlineStr">
        <is>
          <t>not_relevant</t>
        </is>
      </c>
      <c r="N561" t="inlineStr">
        <is>
          <t>relevant</t>
        </is>
      </c>
      <c r="O561" t="inlineStr">
        <is>
          <t>relevant</t>
        </is>
      </c>
      <c r="P561" t="b">
        <v>1</v>
      </c>
    </row>
    <row r="562">
      <c r="A562" t="inlineStr">
        <is>
          <t>herramientas carpinteria</t>
        </is>
      </c>
      <c r="B562" t="inlineStr">
        <is>
          <t>carpentry tools</t>
        </is>
      </c>
      <c r="C562" t="n">
        <v>1332729648</v>
      </c>
      <c r="D562">
        <f>HYPERLINK("https://www.etsy.com/listing/1332729648", "link")</f>
        <v/>
      </c>
      <c r="E562">
        <f>HYPERLINK("https://atlas.etsycorp.com/listing/1332729648/lookup", "link")</f>
        <v/>
      </c>
      <c r="F562" t="inlineStr">
        <is>
          <t>Tool Rack Plywood Tool Storage Rack Tools Knives Chisels Holder Modular Brown Organizer BeaverCraft OFFICIAL TH20</t>
        </is>
      </c>
      <c r="G562" t="inlineStr">
        <is>
          <t>Eu-HmoHqKL-LoBQZsnoBmS4-Md37</t>
        </is>
      </c>
      <c r="H562" t="inlineStr">
        <is>
          <t>web</t>
        </is>
      </c>
      <c r="I562" t="inlineStr">
        <is>
          <t>es</t>
        </is>
      </c>
      <c r="J562" t="inlineStr">
        <is>
          <t>intl-es</t>
        </is>
      </c>
      <c r="K562" t="b">
        <v>1</v>
      </c>
      <c r="L562" t="inlineStr">
        <is>
          <t>partial</t>
        </is>
      </c>
      <c r="M562" t="inlineStr">
        <is>
          <t>partial</t>
        </is>
      </c>
      <c r="N562" t="inlineStr">
        <is>
          <t>partial</t>
        </is>
      </c>
      <c r="O562" t="inlineStr">
        <is>
          <t>relevant</t>
        </is>
      </c>
      <c r="P562" t="b">
        <v>1</v>
      </c>
    </row>
    <row r="563">
      <c r="A563" t="inlineStr">
        <is>
          <t>knitting gifts for women</t>
        </is>
      </c>
      <c r="B563" t="inlineStr"/>
      <c r="C563" t="n">
        <v>1279419723</v>
      </c>
      <c r="D563">
        <f>HYPERLINK("https://www.etsy.com/listing/1279419723", "link")</f>
        <v/>
      </c>
      <c r="E563">
        <f>HYPERLINK("https://atlas.etsycorp.com/listing/1279419723/lookup", "link")</f>
        <v/>
      </c>
      <c r="F563" t="inlineStr">
        <is>
          <t>Knitting Tote Bag, Personalized Knitting Tote Bag, Knitting Gifts For Women, Gift For Mom, Custom Tote, Custom Knitting Bag, Mother Gift</t>
        </is>
      </c>
      <c r="G563" t="inlineStr">
        <is>
          <t>Eu0IF6r7mgd2NL4EZ0EiCLAHNp69</t>
        </is>
      </c>
      <c r="H563" t="inlineStr">
        <is>
          <t>web</t>
        </is>
      </c>
      <c r="I563" t="inlineStr">
        <is>
          <t>en-US</t>
        </is>
      </c>
      <c r="J563" t="inlineStr">
        <is>
          <t>us_v2-gift</t>
        </is>
      </c>
      <c r="K563" t="b">
        <v>1</v>
      </c>
      <c r="L563" t="inlineStr">
        <is>
          <t>relevant</t>
        </is>
      </c>
      <c r="M563" t="inlineStr">
        <is>
          <t>relevant</t>
        </is>
      </c>
      <c r="N563" t="inlineStr">
        <is>
          <t>relevant</t>
        </is>
      </c>
      <c r="O563" t="inlineStr">
        <is>
          <t>relevant</t>
        </is>
      </c>
      <c r="P563" t="b">
        <v>1</v>
      </c>
    </row>
    <row r="564">
      <c r="A564" t="inlineStr">
        <is>
          <t>produit digital</t>
        </is>
      </c>
      <c r="B564" t="inlineStr">
        <is>
          <t>digital product</t>
        </is>
      </c>
      <c r="C564" t="n">
        <v>1349118533</v>
      </c>
      <c r="D564">
        <f>HYPERLINK("https://www.etsy.com/listing/1349118533", "link")</f>
        <v/>
      </c>
      <c r="E564">
        <f>HYPERLINK("https://atlas.etsycorp.com/listing/1349118533/lookup", "link")</f>
        <v/>
      </c>
      <c r="F564" t="inlineStr">
        <is>
          <t>530PCS Vintage Concert Poster, Retro Band Poster, Classic Rock Posters, Vintage Music Posters, Aesthetic Wall Collage Kit, Rock Musıc Decor</t>
        </is>
      </c>
      <c r="G564" t="inlineStr">
        <is>
          <t>Eu9hp731R9oqdyXEEj8dBtT2CX07</t>
        </is>
      </c>
      <c r="H564" t="inlineStr">
        <is>
          <t>web</t>
        </is>
      </c>
      <c r="I564" t="inlineStr">
        <is>
          <t>fr</t>
        </is>
      </c>
      <c r="J564" t="inlineStr">
        <is>
          <t>intl-fr</t>
        </is>
      </c>
      <c r="K564" t="b">
        <v>1</v>
      </c>
      <c r="L564" t="inlineStr">
        <is>
          <t>relevant</t>
        </is>
      </c>
      <c r="M564" t="inlineStr">
        <is>
          <t>relevant</t>
        </is>
      </c>
      <c r="N564" t="inlineStr">
        <is>
          <t>partial</t>
        </is>
      </c>
      <c r="O564" t="inlineStr">
        <is>
          <t>relevant</t>
        </is>
      </c>
      <c r="P564" t="b">
        <v>1</v>
      </c>
    </row>
    <row r="565">
      <c r="A565" t="inlineStr">
        <is>
          <t>pillow persona 5</t>
        </is>
      </c>
      <c r="B565" t="inlineStr"/>
      <c r="C565" t="n">
        <v>1152110703</v>
      </c>
      <c r="D565">
        <f>HYPERLINK("https://www.etsy.com/listing/1152110703", "link")</f>
        <v/>
      </c>
      <c r="E565">
        <f>HYPERLINK("https://atlas.etsycorp.com/listing/1152110703/lookup", "link")</f>
        <v/>
      </c>
      <c r="F565" t="inlineStr">
        <is>
          <t>Persona 3 Pin Buttons 2.25&amp;quot;</t>
        </is>
      </c>
      <c r="G565" t="inlineStr">
        <is>
          <t>EuLO-fVyanWyIASWpHDOGI14OF79</t>
        </is>
      </c>
      <c r="H565" t="inlineStr">
        <is>
          <t>boe</t>
        </is>
      </c>
      <c r="I565" t="inlineStr">
        <is>
          <t>en-GB</t>
        </is>
      </c>
      <c r="J565" t="inlineStr">
        <is>
          <t>us_v2-direct_unspecified</t>
        </is>
      </c>
      <c r="K565" t="b">
        <v>1</v>
      </c>
      <c r="L565" t="inlineStr">
        <is>
          <t>not_relevant</t>
        </is>
      </c>
      <c r="M565" t="inlineStr">
        <is>
          <t>partial</t>
        </is>
      </c>
      <c r="N565" t="inlineStr">
        <is>
          <t>not_relevant</t>
        </is>
      </c>
      <c r="O565" t="inlineStr">
        <is>
          <t>not_relevant</t>
        </is>
      </c>
      <c r="P565" t="b">
        <v>1</v>
      </c>
    </row>
    <row r="566">
      <c r="A566" t="inlineStr">
        <is>
          <t>Personalized birthday gift mug</t>
        </is>
      </c>
      <c r="B566" t="inlineStr"/>
      <c r="C566" t="n">
        <v>1002351653</v>
      </c>
      <c r="D566">
        <f>HYPERLINK("https://www.etsy.com/listing/1002351653", "link")</f>
        <v/>
      </c>
      <c r="E566">
        <f>HYPERLINK("https://atlas.etsycorp.com/listing/1002351653/lookup", "link")</f>
        <v/>
      </c>
      <c r="F566" t="inlineStr">
        <is>
          <t>Mug 11oz personalized printable custom, modern ceramic mug, best friend print pottery mug, friendship mug best friend gift</t>
        </is>
      </c>
      <c r="G566" t="inlineStr">
        <is>
          <t>Eu7IoC8f8W-2F6qNyUb3H6FkQJ89</t>
        </is>
      </c>
      <c r="H566" t="inlineStr">
        <is>
          <t>web</t>
        </is>
      </c>
      <c r="I566" t="inlineStr">
        <is>
          <t>en-US</t>
        </is>
      </c>
      <c r="J566" t="inlineStr">
        <is>
          <t>us_v2-gift</t>
        </is>
      </c>
      <c r="K566" t="b">
        <v>1</v>
      </c>
      <c r="L566" t="inlineStr">
        <is>
          <t>not_relevant</t>
        </is>
      </c>
      <c r="M566" t="inlineStr">
        <is>
          <t>not_relevant</t>
        </is>
      </c>
      <c r="N566" t="inlineStr">
        <is>
          <t>not_relevant</t>
        </is>
      </c>
      <c r="O566" t="inlineStr">
        <is>
          <t>not_relevant</t>
        </is>
      </c>
      <c r="P566" t="b">
        <v>1</v>
      </c>
    </row>
    <row r="567">
      <c r="A567" t="inlineStr">
        <is>
          <t>unique gifts for her</t>
        </is>
      </c>
      <c r="B567" t="inlineStr">
        <is>
          <t>unique gifts for her</t>
        </is>
      </c>
      <c r="C567" t="n">
        <v>1470951207</v>
      </c>
      <c r="D567">
        <f>HYPERLINK("https://www.etsy.com/listing/1470951207", "link")</f>
        <v/>
      </c>
      <c r="E567">
        <f>HYPERLINK("https://atlas.etsycorp.com/listing/1470951207/lookup", "link")</f>
        <v/>
      </c>
      <c r="F567" t="inlineStr">
        <is>
          <t>Personalized jute bag MOM-GRANDMA | Market bag | Gift | Individual gifts | Mother&amp;#39;s Day | Gift for mom | Mother&amp;#39;s Day gift</t>
        </is>
      </c>
      <c r="G567" t="inlineStr">
        <is>
          <t>Eu0dyTXhwPmHk4lRivKvpavhmi22</t>
        </is>
      </c>
      <c r="H567" t="inlineStr">
        <is>
          <t>boe</t>
        </is>
      </c>
      <c r="I567" t="inlineStr">
        <is>
          <t>fr</t>
        </is>
      </c>
      <c r="J567" t="inlineStr">
        <is>
          <t>intl-fr</t>
        </is>
      </c>
      <c r="K567" t="b">
        <v>1</v>
      </c>
      <c r="L567" t="inlineStr">
        <is>
          <t>relevant</t>
        </is>
      </c>
      <c r="M567" t="inlineStr">
        <is>
          <t>relevant</t>
        </is>
      </c>
      <c r="N567" t="inlineStr">
        <is>
          <t>relevant</t>
        </is>
      </c>
      <c r="O567" t="inlineStr">
        <is>
          <t>relevant</t>
        </is>
      </c>
      <c r="P567" t="b">
        <v>1</v>
      </c>
    </row>
    <row r="568">
      <c r="A568" t="inlineStr">
        <is>
          <t>botão de volume de teclado</t>
        </is>
      </c>
      <c r="B568" t="inlineStr">
        <is>
          <t>keyboard volume button</t>
        </is>
      </c>
      <c r="C568" t="n">
        <v>1274198477</v>
      </c>
      <c r="D568">
        <f>HYPERLINK("https://www.etsy.com/listing/1274198477", "link")</f>
        <v/>
      </c>
      <c r="E568">
        <f>HYPERLINK("https://atlas.etsycorp.com/listing/1274198477/lookup", "link")</f>
        <v/>
      </c>
      <c r="F568" t="inlineStr">
        <is>
          <t>Custom Animated TikTok Follow Overlay for Videos</t>
        </is>
      </c>
      <c r="G568" t="inlineStr">
        <is>
          <t>Eu343zkq6rVPjoRi5MONK6xwoCa1</t>
        </is>
      </c>
      <c r="H568" t="inlineStr">
        <is>
          <t>web</t>
        </is>
      </c>
      <c r="I568" t="inlineStr">
        <is>
          <t>pt</t>
        </is>
      </c>
      <c r="J568" t="inlineStr">
        <is>
          <t>intl-pt</t>
        </is>
      </c>
      <c r="K568" t="b">
        <v>1</v>
      </c>
      <c r="L568" t="inlineStr">
        <is>
          <t>not_relevant</t>
        </is>
      </c>
      <c r="M568" t="inlineStr">
        <is>
          <t>not_relevant</t>
        </is>
      </c>
      <c r="N568" t="inlineStr">
        <is>
          <t>not_relevant</t>
        </is>
      </c>
      <c r="O568" t="inlineStr">
        <is>
          <t>not_relevant</t>
        </is>
      </c>
      <c r="P568" t="b">
        <v>1</v>
      </c>
    </row>
    <row r="569">
      <c r="A569" t="inlineStr">
        <is>
          <t>happy birthday floral pop up</t>
        </is>
      </c>
      <c r="B569" t="inlineStr"/>
      <c r="C569" t="n">
        <v>1331888767</v>
      </c>
      <c r="D569">
        <f>HYPERLINK("https://www.etsy.com/listing/1331888767", "link")</f>
        <v/>
      </c>
      <c r="E569">
        <f>HYPERLINK("https://atlas.etsycorp.com/listing/1331888767/lookup", "link")</f>
        <v/>
      </c>
      <c r="F569" t="inlineStr">
        <is>
          <t>Personalised Juke Box 3D Pop Up Greeting card, 3D Dancer card for him and her,  laser cut- hand assembled, paper art, Make someone smile</t>
        </is>
      </c>
      <c r="G569" t="inlineStr">
        <is>
          <t>EuF2gD3s0GmDDf7TWcHUEFp5AKe7</t>
        </is>
      </c>
      <c r="H569" t="inlineStr">
        <is>
          <t>web</t>
        </is>
      </c>
      <c r="I569" t="inlineStr">
        <is>
          <t>en-GB</t>
        </is>
      </c>
      <c r="J569" t="inlineStr">
        <is>
          <t>us_v2-broad</t>
        </is>
      </c>
      <c r="K569" t="b">
        <v>1</v>
      </c>
      <c r="L569" t="inlineStr">
        <is>
          <t>partial</t>
        </is>
      </c>
      <c r="M569" t="inlineStr">
        <is>
          <t>partial</t>
        </is>
      </c>
      <c r="N569" t="inlineStr">
        <is>
          <t>partial</t>
        </is>
      </c>
      <c r="O569" t="inlineStr">
        <is>
          <t>partial</t>
        </is>
      </c>
      <c r="P569" t="b">
        <v>1</v>
      </c>
    </row>
    <row r="570">
      <c r="A570" t="inlineStr">
        <is>
          <t>dekko nordisch</t>
        </is>
      </c>
      <c r="B570" t="inlineStr">
        <is>
          <t>dekko nordic</t>
        </is>
      </c>
      <c r="C570" t="n">
        <v>1652872879</v>
      </c>
      <c r="D570">
        <f>HYPERLINK("https://www.etsy.com/listing/1652872879", "link")</f>
        <v/>
      </c>
      <c r="E570">
        <f>HYPERLINK("https://atlas.etsycorp.com/listing/1652872879/lookup", "link")</f>
        <v/>
      </c>
      <c r="F570" t="inlineStr">
        <is>
          <t>Folk Art Blue Flowers Clipart, Scandinavian Prints, Bedroom Living Room Cafe Decor, 30 PNG Instant Download for Commercial Use</t>
        </is>
      </c>
      <c r="G570" t="inlineStr">
        <is>
          <t>EuMMUd674S6uO9GWwt1hPalCwp4f</t>
        </is>
      </c>
      <c r="H570" t="inlineStr">
        <is>
          <t>web</t>
        </is>
      </c>
      <c r="I570" t="inlineStr">
        <is>
          <t>de</t>
        </is>
      </c>
      <c r="J570" t="inlineStr">
        <is>
          <t>intl-de</t>
        </is>
      </c>
      <c r="K570" t="b">
        <v>1</v>
      </c>
      <c r="L570" t="inlineStr">
        <is>
          <t>not_relevant</t>
        </is>
      </c>
      <c r="M570" t="inlineStr">
        <is>
          <t>partial</t>
        </is>
      </c>
      <c r="N570" t="inlineStr">
        <is>
          <t>not_relevant</t>
        </is>
      </c>
      <c r="O570" t="inlineStr">
        <is>
          <t>not_relevant</t>
        </is>
      </c>
      <c r="P570" t="b">
        <v>1</v>
      </c>
    </row>
    <row r="571">
      <c r="A571" t="inlineStr">
        <is>
          <t>zone 9</t>
        </is>
      </c>
      <c r="B571" t="inlineStr"/>
      <c r="C571" t="n">
        <v>1566775476</v>
      </c>
      <c r="D571">
        <f>HYPERLINK("https://www.etsy.com/listing/1566775476", "link")</f>
        <v/>
      </c>
      <c r="E571">
        <f>HYPERLINK("https://atlas.etsycorp.com/listing/1566775476/lookup", "link")</f>
        <v/>
      </c>
      <c r="F571" t="inlineStr">
        <is>
          <t>Fairy Dust Hibiscus Seeds - Perennial Flower Seed - Easy to Grow - Huge 10-12 Inch Flowers</t>
        </is>
      </c>
      <c r="G571" t="inlineStr">
        <is>
          <t>Eu1T44bwU1Uhlh1asgdRhWCx7w05</t>
        </is>
      </c>
      <c r="H571" t="inlineStr">
        <is>
          <t>boe</t>
        </is>
      </c>
      <c r="I571" t="inlineStr">
        <is>
          <t>en-US</t>
        </is>
      </c>
      <c r="J571" t="inlineStr">
        <is>
          <t>us_v2-broad</t>
        </is>
      </c>
      <c r="K571" t="b">
        <v>1</v>
      </c>
      <c r="L571" t="inlineStr">
        <is>
          <t>not_relevant</t>
        </is>
      </c>
      <c r="M571" t="inlineStr">
        <is>
          <t>not_relevant</t>
        </is>
      </c>
      <c r="N571" t="inlineStr">
        <is>
          <t>not_relevant</t>
        </is>
      </c>
      <c r="O571" t="inlineStr">
        <is>
          <t>not_relevant</t>
        </is>
      </c>
      <c r="P571" t="b">
        <v>1</v>
      </c>
    </row>
    <row r="572">
      <c r="A572" t="inlineStr">
        <is>
          <t>lego gifts</t>
        </is>
      </c>
      <c r="B572" t="inlineStr"/>
      <c r="C572" t="n">
        <v>1337649000</v>
      </c>
      <c r="D572">
        <f>HYPERLINK("https://www.etsy.com/listing/1337649000", "link")</f>
        <v/>
      </c>
      <c r="E572">
        <f>HYPERLINK("https://atlas.etsycorp.com/listing/1337649000/lookup", "link")</f>
        <v/>
      </c>
      <c r="F572" t="inlineStr">
        <is>
          <t>Personalized Master Builder Ornament, Building Blocks Christmas Ornament 2023, Custom Xmas Gift for Kids Toddler</t>
        </is>
      </c>
      <c r="G572" t="inlineStr">
        <is>
          <t>Eubi6n7YU-3qOeYhHTiZoyTn4U5d</t>
        </is>
      </c>
      <c r="H572" t="inlineStr">
        <is>
          <t>web</t>
        </is>
      </c>
      <c r="I572" t="inlineStr">
        <is>
          <t>en-US</t>
        </is>
      </c>
      <c r="J572" t="inlineStr">
        <is>
          <t>us_v2-gift</t>
        </is>
      </c>
      <c r="K572" t="b">
        <v>1</v>
      </c>
      <c r="L572" t="inlineStr">
        <is>
          <t>not_relevant</t>
        </is>
      </c>
      <c r="M572" t="inlineStr">
        <is>
          <t>not_relevant</t>
        </is>
      </c>
      <c r="N572" t="inlineStr">
        <is>
          <t>not_relevant</t>
        </is>
      </c>
      <c r="O572" t="inlineStr">
        <is>
          <t>relevant</t>
        </is>
      </c>
      <c r="P572" t="b">
        <v>1</v>
      </c>
    </row>
    <row r="573">
      <c r="A573" t="inlineStr">
        <is>
          <t>Find shirts</t>
        </is>
      </c>
      <c r="B573" t="inlineStr">
        <is>
          <t>Find shirts</t>
        </is>
      </c>
      <c r="C573" t="n">
        <v>1571009774</v>
      </c>
      <c r="D573">
        <f>HYPERLINK("https://www.etsy.com/listing/1571009774", "link")</f>
        <v/>
      </c>
      <c r="E573">
        <f>HYPERLINK("https://atlas.etsycorp.com/listing/1571009774/lookup", "link")</f>
        <v/>
      </c>
      <c r="F573" t="inlineStr">
        <is>
          <t>Find N Out Gender Reveal, Squad Logos, PNG images! Personal Use Only! Transparent Background. Teal/Aqua Blue and Purple! Personal Use ONLY!</t>
        </is>
      </c>
      <c r="G573" t="inlineStr">
        <is>
          <t>EuAy8ikzNbC_CkToP0f_7FtEVyd3</t>
        </is>
      </c>
      <c r="H573" t="inlineStr">
        <is>
          <t>web</t>
        </is>
      </c>
      <c r="I573" t="inlineStr">
        <is>
          <t>es</t>
        </is>
      </c>
      <c r="J573" t="inlineStr">
        <is>
          <t>intl-es</t>
        </is>
      </c>
      <c r="K573" t="b">
        <v>1</v>
      </c>
      <c r="L573" t="inlineStr">
        <is>
          <t>partial</t>
        </is>
      </c>
      <c r="M573" t="inlineStr">
        <is>
          <t>partial</t>
        </is>
      </c>
      <c r="N573" t="inlineStr">
        <is>
          <t>partial</t>
        </is>
      </c>
      <c r="O573" t="inlineStr">
        <is>
          <t>partial</t>
        </is>
      </c>
      <c r="P573" t="b">
        <v>1</v>
      </c>
    </row>
    <row r="574">
      <c r="A574" t="inlineStr">
        <is>
          <t>schwebender nachttisch schwarz schmal</t>
        </is>
      </c>
      <c r="B574" t="inlineStr">
        <is>
          <t>floating bedside table black narrow</t>
        </is>
      </c>
      <c r="C574" t="n">
        <v>1725655924</v>
      </c>
      <c r="D574">
        <f>HYPERLINK("https://www.etsy.com/listing/1725655924", "link")</f>
        <v/>
      </c>
      <c r="E574">
        <f>HYPERLINK("https://atlas.etsycorp.com/listing/1725655924/lookup", "link")</f>
        <v/>
      </c>
      <c r="F574" t="inlineStr">
        <is>
          <t>Sleek Metal Floating Nightstand - Modern Bedside Table, Minimalist Shelf, Bedroom Organizer, White bedside table</t>
        </is>
      </c>
      <c r="G574" t="inlineStr">
        <is>
          <t>EuSPLKUgbRlaJzUT7syfdbVII7a0</t>
        </is>
      </c>
      <c r="H574" t="inlineStr">
        <is>
          <t>web</t>
        </is>
      </c>
      <c r="I574" t="inlineStr">
        <is>
          <t>de</t>
        </is>
      </c>
      <c r="J574" t="inlineStr">
        <is>
          <t>intl-de</t>
        </is>
      </c>
      <c r="K574" t="b">
        <v>1</v>
      </c>
      <c r="L574" t="inlineStr">
        <is>
          <t>partial</t>
        </is>
      </c>
      <c r="M574" t="inlineStr">
        <is>
          <t>partial</t>
        </is>
      </c>
      <c r="N574" t="inlineStr">
        <is>
          <t>partial</t>
        </is>
      </c>
      <c r="O574" t="inlineStr">
        <is>
          <t>relevant</t>
        </is>
      </c>
      <c r="P574" t="b">
        <v>1</v>
      </c>
    </row>
    <row r="575">
      <c r="A575" t="inlineStr">
        <is>
          <t>charles and colvard moissanite 6mm</t>
        </is>
      </c>
      <c r="B575" t="inlineStr"/>
      <c r="C575" t="n">
        <v>1255731600</v>
      </c>
      <c r="D575">
        <f>HYPERLINK("https://www.etsy.com/listing/1255731600", "link")</f>
        <v/>
      </c>
      <c r="E575">
        <f>HYPERLINK("https://atlas.etsycorp.com/listing/1255731600/lookup", "link")</f>
        <v/>
      </c>
      <c r="F575" t="inlineStr">
        <is>
          <t>3.00CT Moissanite Engagement Ring Cushion Cut Moissanite Engagement Ring 14K White Gold Engagement Ring Hidden Halo Moissanite Ring For Her</t>
        </is>
      </c>
      <c r="G575" t="inlineStr">
        <is>
          <t>EuaSkqTMQRMwgH_g-Qugoec17-20</t>
        </is>
      </c>
      <c r="H575" t="inlineStr">
        <is>
          <t>boe</t>
        </is>
      </c>
      <c r="I575" t="inlineStr">
        <is>
          <t>en-US</t>
        </is>
      </c>
      <c r="J575" t="inlineStr">
        <is>
          <t>us_v2-broad</t>
        </is>
      </c>
      <c r="K575" t="b">
        <v>1</v>
      </c>
      <c r="L575" t="inlineStr">
        <is>
          <t>partial</t>
        </is>
      </c>
      <c r="M575" t="inlineStr">
        <is>
          <t>partial</t>
        </is>
      </c>
      <c r="N575" t="inlineStr">
        <is>
          <t>partial</t>
        </is>
      </c>
      <c r="O575" t="inlineStr">
        <is>
          <t>relevant</t>
        </is>
      </c>
      <c r="P575" t="b">
        <v>1</v>
      </c>
    </row>
    <row r="576">
      <c r="A576" t="inlineStr">
        <is>
          <t>sewn items</t>
        </is>
      </c>
      <c r="B576" t="inlineStr"/>
      <c r="C576" t="n">
        <v>502003564</v>
      </c>
      <c r="D576">
        <f>HYPERLINK("https://www.etsy.com/listing/502003564", "link")</f>
        <v/>
      </c>
      <c r="E576">
        <f>HYPERLINK("https://atlas.etsycorp.com/listing/502003564/lookup", "link")</f>
        <v/>
      </c>
      <c r="F576" t="inlineStr">
        <is>
          <t>You Can Learn A Lot Of Things From The Flowers</t>
        </is>
      </c>
      <c r="G576" t="inlineStr">
        <is>
          <t>EuCow_GXgiiVxmjXMwJtpZfM3Aaa</t>
        </is>
      </c>
      <c r="H576" t="inlineStr">
        <is>
          <t>boe</t>
        </is>
      </c>
      <c r="I576" t="inlineStr">
        <is>
          <t>en-GB</t>
        </is>
      </c>
      <c r="J576" t="inlineStr">
        <is>
          <t>us_v2-direct_unspecified</t>
        </is>
      </c>
      <c r="K576" t="b">
        <v>1</v>
      </c>
      <c r="L576" t="inlineStr">
        <is>
          <t>not_relevant</t>
        </is>
      </c>
      <c r="M576" t="inlineStr">
        <is>
          <t>relevant</t>
        </is>
      </c>
      <c r="N576" t="inlineStr">
        <is>
          <t>not_relevant</t>
        </is>
      </c>
      <c r="O576" t="inlineStr">
        <is>
          <t>not_relevant</t>
        </is>
      </c>
      <c r="P576" t="b">
        <v>1</v>
      </c>
    </row>
    <row r="577">
      <c r="A577" t="inlineStr">
        <is>
          <t>reusable perfume bottle</t>
        </is>
      </c>
      <c r="B577" t="inlineStr"/>
      <c r="C577" t="n">
        <v>1536392546</v>
      </c>
      <c r="D577">
        <f>HYPERLINK("https://www.etsy.com/listing/1536392546", "link")</f>
        <v/>
      </c>
      <c r="E577">
        <f>HYPERLINK("https://atlas.etsycorp.com/listing/1536392546/lookup", "link")</f>
        <v/>
      </c>
      <c r="F577" t="inlineStr">
        <is>
          <t>10ml Travel Perfume Atomiser Bottle Spray Twist Pocket-Size Refillable Alcohol Spray Fragrance</t>
        </is>
      </c>
      <c r="G577" t="inlineStr">
        <is>
          <t>EuUYB3YxEyxuLPSScvuLSmlaYm5c</t>
        </is>
      </c>
      <c r="H577" t="inlineStr">
        <is>
          <t>web</t>
        </is>
      </c>
      <c r="I577" t="inlineStr">
        <is>
          <t>en-GB</t>
        </is>
      </c>
      <c r="J577" t="inlineStr">
        <is>
          <t>us_v2-direct_unspecified</t>
        </is>
      </c>
      <c r="K577" t="b">
        <v>1</v>
      </c>
      <c r="L577" t="inlineStr">
        <is>
          <t>relevant</t>
        </is>
      </c>
      <c r="M577" t="inlineStr">
        <is>
          <t>partial</t>
        </is>
      </c>
      <c r="N577" t="inlineStr">
        <is>
          <t>relevant</t>
        </is>
      </c>
      <c r="O577" t="inlineStr">
        <is>
          <t>relevant</t>
        </is>
      </c>
      <c r="P577" t="b">
        <v>1</v>
      </c>
    </row>
    <row r="578">
      <c r="A578" t="inlineStr">
        <is>
          <t>vintage usa trucker hat</t>
        </is>
      </c>
      <c r="B578" t="inlineStr"/>
      <c r="C578" t="n">
        <v>1038834967</v>
      </c>
      <c r="D578">
        <f>HYPERLINK("https://www.etsy.com/listing/1038834967", "link")</f>
        <v/>
      </c>
      <c r="E578">
        <f>HYPERLINK("https://atlas.etsycorp.com/listing/1038834967/lookup", "link")</f>
        <v/>
      </c>
      <c r="F578" t="inlineStr">
        <is>
          <t>Support Day Drinking Hat | Day Drinking | 4th of July Trucker Hat | 4th of July | America Hat | USA Hat | 4th Of July | USA Trucker Hat</t>
        </is>
      </c>
      <c r="G578" t="inlineStr">
        <is>
          <t>Euvd6-Bfalt8deyXu983C9VeaPe7</t>
        </is>
      </c>
      <c r="H578" t="inlineStr">
        <is>
          <t>web</t>
        </is>
      </c>
      <c r="I578" t="inlineStr">
        <is>
          <t>en-US</t>
        </is>
      </c>
      <c r="J578" t="inlineStr">
        <is>
          <t>us_v2-direct_specified</t>
        </is>
      </c>
      <c r="K578" t="b">
        <v>1</v>
      </c>
      <c r="L578" t="inlineStr">
        <is>
          <t>relevant</t>
        </is>
      </c>
      <c r="M578" t="inlineStr">
        <is>
          <t>relevant</t>
        </is>
      </c>
      <c r="N578" t="inlineStr">
        <is>
          <t>relevant</t>
        </is>
      </c>
      <c r="O578" t="inlineStr">
        <is>
          <t>partial</t>
        </is>
      </c>
      <c r="P578" t="b">
        <v>1</v>
      </c>
    </row>
    <row r="579">
      <c r="A579" t="inlineStr">
        <is>
          <t>emballage tablette  papa</t>
        </is>
      </c>
      <c r="B579" t="inlineStr">
        <is>
          <t>dad tablet packaging</t>
        </is>
      </c>
      <c r="C579" t="n">
        <v>934411679</v>
      </c>
      <c r="D579">
        <f>HYPERLINK("https://www.etsy.com/listing/934411679", "link")</f>
        <v/>
      </c>
      <c r="E579">
        <f>HYPERLINK("https://atlas.etsycorp.com/listing/934411679/lookup", "link")</f>
        <v/>
      </c>
      <c r="F579" t="inlineStr">
        <is>
          <t>Smartphone stand, steampunk, business card holder, mobile phone stand, mobile phone holder, tablet stand, industrial decor, anniversary</t>
        </is>
      </c>
      <c r="G579" t="inlineStr">
        <is>
          <t>EugwnQO8QM_PaMYXPO-hcI1P--05</t>
        </is>
      </c>
      <c r="H579" t="inlineStr">
        <is>
          <t>boe</t>
        </is>
      </c>
      <c r="I579" t="inlineStr">
        <is>
          <t>fr</t>
        </is>
      </c>
      <c r="J579" t="inlineStr">
        <is>
          <t>intl-fr</t>
        </is>
      </c>
      <c r="K579" t="b">
        <v>1</v>
      </c>
      <c r="L579" t="inlineStr">
        <is>
          <t>not_relevant</t>
        </is>
      </c>
      <c r="M579" t="inlineStr">
        <is>
          <t>not_relevant</t>
        </is>
      </c>
      <c r="N579" t="inlineStr">
        <is>
          <t>not_relevant</t>
        </is>
      </c>
      <c r="O579" t="inlineStr">
        <is>
          <t>not_relevant</t>
        </is>
      </c>
      <c r="P579" t="b">
        <v>1</v>
      </c>
    </row>
    <row r="580">
      <c r="A580" t="inlineStr">
        <is>
          <t>cadre personnalise main</t>
        </is>
      </c>
      <c r="B580" t="inlineStr">
        <is>
          <t>hand personalized frame</t>
        </is>
      </c>
      <c r="C580" t="n">
        <v>1592014481</v>
      </c>
      <c r="D580">
        <f>HYPERLINK("https://www.etsy.com/listing/1592014481", "link")</f>
        <v/>
      </c>
      <c r="E580">
        <f>HYPERLINK("https://atlas.etsycorp.com/listing/1592014481/lookup", "link")</f>
        <v/>
      </c>
      <c r="F580" t="inlineStr">
        <is>
          <t>family portrait poster, personalized family poster for a gift to give on a birthday or as a Christmas gift, family poster</t>
        </is>
      </c>
      <c r="G580" t="inlineStr">
        <is>
          <t>EuecDMfMJ5TT_CmkgL60Ca98z-f9</t>
        </is>
      </c>
      <c r="H580" t="inlineStr">
        <is>
          <t>boe</t>
        </is>
      </c>
      <c r="I580" t="inlineStr">
        <is>
          <t>fr</t>
        </is>
      </c>
      <c r="J580" t="inlineStr">
        <is>
          <t>intl-fr</t>
        </is>
      </c>
      <c r="K580" t="b">
        <v>1</v>
      </c>
      <c r="L580" t="inlineStr">
        <is>
          <t>partial</t>
        </is>
      </c>
      <c r="M580" t="inlineStr">
        <is>
          <t>partial</t>
        </is>
      </c>
      <c r="N580" t="inlineStr">
        <is>
          <t>partial</t>
        </is>
      </c>
      <c r="O580" t="inlineStr">
        <is>
          <t>not_relevant</t>
        </is>
      </c>
      <c r="P580" t="b">
        <v>1</v>
      </c>
    </row>
    <row r="581">
      <c r="A581" t="inlineStr">
        <is>
          <t>personalized gift</t>
        </is>
      </c>
      <c r="B581" t="inlineStr"/>
      <c r="C581" t="n">
        <v>1215408499</v>
      </c>
      <c r="D581">
        <f>HYPERLINK("https://www.etsy.com/listing/1215408499", "link")</f>
        <v/>
      </c>
      <c r="E581">
        <f>HYPERLINK("https://atlas.etsycorp.com/listing/1215408499/lookup", "link")</f>
        <v/>
      </c>
      <c r="F581" t="inlineStr">
        <is>
          <t>Dainty Engraved Flower Ring by CaitlynMinimalist • Personalized Stackable Ring • Custom Friendship Ring • Best Friend Gift for Her • RM21</t>
        </is>
      </c>
      <c r="G581" t="inlineStr">
        <is>
          <t>EueSyUI185RVEzaxgrRBAQsWFu1f</t>
        </is>
      </c>
      <c r="H581" t="inlineStr">
        <is>
          <t>boe</t>
        </is>
      </c>
      <c r="I581" t="inlineStr">
        <is>
          <t>en-US</t>
        </is>
      </c>
      <c r="J581" t="inlineStr">
        <is>
          <t>us_v2-gift</t>
        </is>
      </c>
      <c r="K581" t="b">
        <v>1</v>
      </c>
      <c r="L581" t="inlineStr">
        <is>
          <t>relevant</t>
        </is>
      </c>
      <c r="M581" t="inlineStr">
        <is>
          <t>relevant</t>
        </is>
      </c>
      <c r="N581" t="inlineStr">
        <is>
          <t>relevant</t>
        </is>
      </c>
      <c r="O581" t="inlineStr">
        <is>
          <t>not_relevant</t>
        </is>
      </c>
      <c r="P581" t="b">
        <v>1</v>
      </c>
    </row>
    <row r="582">
      <c r="A582" t="inlineStr">
        <is>
          <t>tweedelig shorts blazer</t>
        </is>
      </c>
      <c r="B582" t="inlineStr">
        <is>
          <t>two piece shorts blazer</t>
        </is>
      </c>
      <c r="C582" t="n">
        <v>1220616976</v>
      </c>
      <c r="D582">
        <f>HYPERLINK("https://www.etsy.com/listing/1220616976", "link")</f>
        <v/>
      </c>
      <c r="E582">
        <f>HYPERLINK("https://atlas.etsycorp.com/listing/1220616976/lookup", "link")</f>
        <v/>
      </c>
      <c r="F582" t="inlineStr">
        <is>
          <t>Vintage Eastern European Embroidered Folk Skirt Set Small to Medium | Bohemian Black Cotton Geometric Motif Shirt &amp; Midi Skirt</t>
        </is>
      </c>
      <c r="G582" t="inlineStr">
        <is>
          <t>EuwofDP1Qk6FwXI1N2snRaDafNde</t>
        </is>
      </c>
      <c r="H582" t="inlineStr">
        <is>
          <t>web</t>
        </is>
      </c>
      <c r="I582" t="inlineStr">
        <is>
          <t>nl</t>
        </is>
      </c>
      <c r="J582" t="inlineStr">
        <is>
          <t>intl-nl</t>
        </is>
      </c>
      <c r="K582" t="b">
        <v>1</v>
      </c>
      <c r="L582" t="inlineStr">
        <is>
          <t>not_relevant</t>
        </is>
      </c>
      <c r="M582" t="inlineStr">
        <is>
          <t>not_relevant</t>
        </is>
      </c>
      <c r="N582" t="inlineStr">
        <is>
          <t>not_relevant</t>
        </is>
      </c>
      <c r="O582" t="inlineStr">
        <is>
          <t>not_relevant</t>
        </is>
      </c>
      <c r="P582" t="b">
        <v>1</v>
      </c>
    </row>
    <row r="583">
      <c r="A583" t="inlineStr">
        <is>
          <t>curta calculator</t>
        </is>
      </c>
      <c r="B583" t="inlineStr"/>
      <c r="C583" t="n">
        <v>836912017</v>
      </c>
      <c r="D583">
        <f>HYPERLINK("https://www.etsy.com/listing/836912017", "link")</f>
        <v/>
      </c>
      <c r="E583">
        <f>HYPERLINK("https://atlas.etsycorp.com/listing/836912017/lookup", "link")</f>
        <v/>
      </c>
      <c r="F583" t="inlineStr">
        <is>
          <t>Vintage Chicago Comptometer Flag Pin developed 1887 premium advertising</t>
        </is>
      </c>
      <c r="G583" t="inlineStr">
        <is>
          <t>EuXd2g6QoPESy9maBe2Inrxi2S78</t>
        </is>
      </c>
      <c r="H583" t="inlineStr">
        <is>
          <t>web</t>
        </is>
      </c>
      <c r="I583" t="inlineStr">
        <is>
          <t>en-US</t>
        </is>
      </c>
      <c r="J583" t="inlineStr">
        <is>
          <t>us_v2-direct_unspecified</t>
        </is>
      </c>
      <c r="K583" t="b">
        <v>1</v>
      </c>
      <c r="L583" t="inlineStr">
        <is>
          <t>not_relevant</t>
        </is>
      </c>
      <c r="M583" t="inlineStr">
        <is>
          <t>not_relevant</t>
        </is>
      </c>
      <c r="N583" t="inlineStr">
        <is>
          <t>not_relevant</t>
        </is>
      </c>
      <c r="O583" t="inlineStr">
        <is>
          <t>not_relevant</t>
        </is>
      </c>
      <c r="P583" t="b">
        <v>1</v>
      </c>
    </row>
    <row r="584">
      <c r="A584" t="inlineStr">
        <is>
          <t>iinside my head</t>
        </is>
      </c>
      <c r="B584" t="inlineStr">
        <is>
          <t>inside my head</t>
        </is>
      </c>
      <c r="C584" t="n">
        <v>1461679994</v>
      </c>
      <c r="D584">
        <f>HYPERLINK("https://www.etsy.com/listing/1461679994", "link")</f>
        <v/>
      </c>
      <c r="E584">
        <f>HYPERLINK("https://atlas.etsycorp.com/listing/1461679994/lookup", "link")</f>
        <v/>
      </c>
      <c r="F584" t="inlineStr">
        <is>
          <t>Non-Verbal Communication Cards for Selective Mutism, Adults and Children, Basic Conversation Tool, Speaking Difficulties, Non Speaking AAC,</t>
        </is>
      </c>
      <c r="G584" t="inlineStr">
        <is>
          <t>EuEmlWnoeSwsd7mZoIEpTtB08_d4</t>
        </is>
      </c>
      <c r="H584" t="inlineStr">
        <is>
          <t>web</t>
        </is>
      </c>
      <c r="I584" t="inlineStr">
        <is>
          <t>nl</t>
        </is>
      </c>
      <c r="J584" t="inlineStr">
        <is>
          <t>intl-nl</t>
        </is>
      </c>
      <c r="K584" t="b">
        <v>1</v>
      </c>
      <c r="L584" t="inlineStr">
        <is>
          <t>not_relevant</t>
        </is>
      </c>
      <c r="M584" t="inlineStr">
        <is>
          <t>not_relevant</t>
        </is>
      </c>
      <c r="N584" t="inlineStr">
        <is>
          <t>not_relevant</t>
        </is>
      </c>
      <c r="O584" t="inlineStr">
        <is>
          <t>relevant</t>
        </is>
      </c>
      <c r="P584" t="b">
        <v>1</v>
      </c>
    </row>
    <row r="585">
      <c r="A585" t="inlineStr">
        <is>
          <t>movie prop kits</t>
        </is>
      </c>
      <c r="B585" t="inlineStr"/>
      <c r="C585" t="n">
        <v>1092683169</v>
      </c>
      <c r="D585">
        <f>HYPERLINK("https://www.etsy.com/listing/1092683169", "link")</f>
        <v/>
      </c>
      <c r="E585">
        <f>HYPERLINK("https://atlas.etsycorp.com/listing/1092683169/lookup", "link")</f>
        <v/>
      </c>
      <c r="F585" t="inlineStr">
        <is>
          <t>Ghostbusters LifeGard II - Replica Prop</t>
        </is>
      </c>
      <c r="G585" t="inlineStr">
        <is>
          <t>Eu6D-tuOt4G5uNQrBr2ie9YJz335</t>
        </is>
      </c>
      <c r="H585" t="inlineStr">
        <is>
          <t>boe</t>
        </is>
      </c>
      <c r="I585" t="inlineStr">
        <is>
          <t>en-GB</t>
        </is>
      </c>
      <c r="J585" t="inlineStr">
        <is>
          <t>us_v2-direct_unspecified</t>
        </is>
      </c>
      <c r="K585" t="b">
        <v>1</v>
      </c>
      <c r="L585" t="inlineStr">
        <is>
          <t>not_relevant</t>
        </is>
      </c>
      <c r="M585" t="inlineStr">
        <is>
          <t>not_relevant</t>
        </is>
      </c>
      <c r="N585" t="inlineStr">
        <is>
          <t>not_relevant</t>
        </is>
      </c>
      <c r="O585" t="inlineStr">
        <is>
          <t>not_relevant</t>
        </is>
      </c>
      <c r="P585" t="b">
        <v>1</v>
      </c>
    </row>
    <row r="586">
      <c r="A586" t="inlineStr">
        <is>
          <t>travel accessories</t>
        </is>
      </c>
      <c r="B586" t="inlineStr">
        <is>
          <t>travel accessories</t>
        </is>
      </c>
      <c r="C586" t="n">
        <v>1079978628</v>
      </c>
      <c r="D586">
        <f>HYPERLINK("https://www.etsy.com/listing/1079978628", "link")</f>
        <v/>
      </c>
      <c r="E586">
        <f>HYPERLINK("https://atlas.etsycorp.com/listing/1079978628/lookup", "link")</f>
        <v/>
      </c>
      <c r="F586" t="inlineStr">
        <is>
          <t>US Travel Map, Push Pin Map, Wood Map Of United States, Apartment Decor New Apartment Gift, USA Wooden Wall Map</t>
        </is>
      </c>
      <c r="G586" t="inlineStr">
        <is>
          <t>Eu08CiTJQphd4vaAjmpblJbgo382</t>
        </is>
      </c>
      <c r="H586" t="inlineStr">
        <is>
          <t>boe</t>
        </is>
      </c>
      <c r="I586" t="inlineStr">
        <is>
          <t>it</t>
        </is>
      </c>
      <c r="J586" t="inlineStr">
        <is>
          <t>intl-it</t>
        </is>
      </c>
      <c r="K586" t="b">
        <v>1</v>
      </c>
      <c r="L586" t="inlineStr">
        <is>
          <t>partial</t>
        </is>
      </c>
      <c r="M586" t="inlineStr">
        <is>
          <t>partial</t>
        </is>
      </c>
      <c r="N586" t="inlineStr">
        <is>
          <t>partial</t>
        </is>
      </c>
      <c r="O586" t="inlineStr">
        <is>
          <t>partial</t>
        </is>
      </c>
      <c r="P586" t="b">
        <v>1</v>
      </c>
    </row>
    <row r="587">
      <c r="A587" t="inlineStr">
        <is>
          <t>digital download prints</t>
        </is>
      </c>
      <c r="B587" t="inlineStr"/>
      <c r="C587" t="n">
        <v>1513309231</v>
      </c>
      <c r="D587">
        <f>HYPERLINK("https://www.etsy.com/listing/1513309231", "link")</f>
        <v/>
      </c>
      <c r="E587">
        <f>HYPERLINK("https://atlas.etsycorp.com/listing/1513309231/lookup", "link")</f>
        <v/>
      </c>
      <c r="F587" t="inlineStr">
        <is>
          <t>More Amor Por Favor Print Minimalist Heart Poster Aesthetic Living Room Art Love Wall Decor Eclectic Art Print Digital Download 1 Print</t>
        </is>
      </c>
      <c r="G587" t="inlineStr">
        <is>
          <t>Eu2eMnFhwj53khnVKR57WxmirR2a</t>
        </is>
      </c>
      <c r="H587" t="inlineStr">
        <is>
          <t>boe</t>
        </is>
      </c>
      <c r="I587" t="inlineStr">
        <is>
          <t>en-US</t>
        </is>
      </c>
      <c r="J587" t="inlineStr">
        <is>
          <t>us_v2-direct_unspecified</t>
        </is>
      </c>
      <c r="K587" t="b">
        <v>1</v>
      </c>
      <c r="L587" t="inlineStr">
        <is>
          <t>relevant</t>
        </is>
      </c>
      <c r="M587" t="inlineStr">
        <is>
          <t>relevant</t>
        </is>
      </c>
      <c r="N587" t="inlineStr">
        <is>
          <t>relevant</t>
        </is>
      </c>
      <c r="O587" t="inlineStr">
        <is>
          <t>relevant</t>
        </is>
      </c>
      <c r="P587" t="b">
        <v>1</v>
      </c>
    </row>
    <row r="588">
      <c r="A588" t="inlineStr">
        <is>
          <t>ohrringe</t>
        </is>
      </c>
      <c r="B588" t="inlineStr">
        <is>
          <t>earrings</t>
        </is>
      </c>
      <c r="C588" t="n">
        <v>1119471818</v>
      </c>
      <c r="D588">
        <f>HYPERLINK("https://www.etsy.com/listing/1119471818", "link")</f>
        <v/>
      </c>
      <c r="E588">
        <f>HYPERLINK("https://atlas.etsycorp.com/listing/1119471818/lookup", "link")</f>
        <v/>
      </c>
      <c r="F588" t="inlineStr">
        <is>
          <t>Ohrringe, Ohrhänger, filigran, Schneeflocke, Stern, Weihnachten, Winter, Edelstahl-Ohrringe, Schmuck, goldfarben, Damenohrring,</t>
        </is>
      </c>
      <c r="G588" t="inlineStr">
        <is>
          <t>EuEB9qkWeookvx8t_txN098gCCcd</t>
        </is>
      </c>
      <c r="H588" t="inlineStr">
        <is>
          <t>web</t>
        </is>
      </c>
      <c r="I588" t="inlineStr">
        <is>
          <t>de</t>
        </is>
      </c>
      <c r="J588" t="inlineStr">
        <is>
          <t>intl-de</t>
        </is>
      </c>
      <c r="K588" t="b">
        <v>1</v>
      </c>
      <c r="L588" t="inlineStr">
        <is>
          <t>relevant</t>
        </is>
      </c>
      <c r="M588" t="inlineStr">
        <is>
          <t>relevant</t>
        </is>
      </c>
      <c r="N588" t="inlineStr">
        <is>
          <t>relevant</t>
        </is>
      </c>
      <c r="O588" t="inlineStr">
        <is>
          <t>relevant</t>
        </is>
      </c>
      <c r="P588" t="b">
        <v>1</v>
      </c>
    </row>
    <row r="589">
      <c r="A589" t="inlineStr">
        <is>
          <t>trakers budget</t>
        </is>
      </c>
      <c r="B589" t="inlineStr">
        <is>
          <t>budget trakers</t>
        </is>
      </c>
      <c r="C589" t="n">
        <v>1684482441</v>
      </c>
      <c r="D589">
        <f>HYPERLINK("https://www.etsy.com/listing/1684482441", "link")</f>
        <v/>
      </c>
      <c r="E589">
        <f>HYPERLINK("https://atlas.etsycorp.com/listing/1684482441/lookup", "link")</f>
        <v/>
      </c>
      <c r="F589" t="inlineStr">
        <is>
          <t>12 Low budget FLOWER OF THE MONTH Challenge + Zipped envelope (Budget envelope challenge // Mini challenge for A6 zipped envelope)</t>
        </is>
      </c>
      <c r="G589" t="inlineStr">
        <is>
          <t>EuUpt7NOE_RGRKfClkMutLVLdo58</t>
        </is>
      </c>
      <c r="H589" t="inlineStr">
        <is>
          <t>web</t>
        </is>
      </c>
      <c r="I589" t="inlineStr">
        <is>
          <t>fr</t>
        </is>
      </c>
      <c r="J589" t="inlineStr">
        <is>
          <t>intl-fr</t>
        </is>
      </c>
      <c r="K589" t="b">
        <v>1</v>
      </c>
      <c r="L589" t="inlineStr">
        <is>
          <t>partial</t>
        </is>
      </c>
      <c r="M589" t="inlineStr">
        <is>
          <t>partial</t>
        </is>
      </c>
      <c r="N589" t="inlineStr">
        <is>
          <t>partial</t>
        </is>
      </c>
      <c r="O589" t="inlineStr">
        <is>
          <t>relevant</t>
        </is>
      </c>
      <c r="P589" t="b">
        <v>1</v>
      </c>
    </row>
    <row r="590">
      <c r="A590" t="inlineStr">
        <is>
          <t>baby hair slides</t>
        </is>
      </c>
      <c r="B590" t="inlineStr"/>
      <c r="C590" t="n">
        <v>1253748573</v>
      </c>
      <c r="D590">
        <f>HYPERLINK("https://www.etsy.com/listing/1253748573", "link")</f>
        <v/>
      </c>
      <c r="E590">
        <f>HYPERLINK("https://atlas.etsycorp.com/listing/1253748573/lookup", "link")</f>
        <v/>
      </c>
      <c r="F590" t="inlineStr">
        <is>
          <t>Baby Mulberry Silk Scrunchies</t>
        </is>
      </c>
      <c r="G590" t="inlineStr">
        <is>
          <t>Eu_SxaYC40TA0HLh_rWgm4FvDica</t>
        </is>
      </c>
      <c r="H590" t="inlineStr">
        <is>
          <t>web</t>
        </is>
      </c>
      <c r="I590" t="inlineStr">
        <is>
          <t>en-GB</t>
        </is>
      </c>
      <c r="J590" t="inlineStr">
        <is>
          <t>us_v2-direct_unspecified</t>
        </is>
      </c>
      <c r="K590" t="b">
        <v>1</v>
      </c>
      <c r="L590" t="inlineStr">
        <is>
          <t>partial</t>
        </is>
      </c>
      <c r="M590" t="inlineStr">
        <is>
          <t>partial</t>
        </is>
      </c>
      <c r="N590" t="inlineStr">
        <is>
          <t>not_relevant</t>
        </is>
      </c>
      <c r="O590" t="inlineStr">
        <is>
          <t>partial</t>
        </is>
      </c>
      <c r="P590" t="b">
        <v>1</v>
      </c>
    </row>
    <row r="591">
      <c r="A591" t="inlineStr">
        <is>
          <t>metal camisetas</t>
        </is>
      </c>
      <c r="B591" t="inlineStr">
        <is>
          <t>metal t-shirts</t>
        </is>
      </c>
      <c r="C591" t="n">
        <v>1254550363</v>
      </c>
      <c r="D591">
        <f>HYPERLINK("https://www.etsy.com/listing/1254550363", "link")</f>
        <v/>
      </c>
      <c r="E591">
        <f>HYPERLINK("https://atlas.etsycorp.com/listing/1254550363/lookup", "link")</f>
        <v/>
      </c>
      <c r="F591" t="inlineStr">
        <is>
          <t>Vintage 90s 1992 THE PIXIES trompe le monde album tour singles american rock band indie grunge punk metal shoegaze rare nice promo t-shirts</t>
        </is>
      </c>
      <c r="G591" t="inlineStr">
        <is>
          <t>EuUNX9CQcESbav0EuqmZFAtWiD09</t>
        </is>
      </c>
      <c r="H591" t="inlineStr">
        <is>
          <t>web</t>
        </is>
      </c>
      <c r="I591" t="inlineStr">
        <is>
          <t>es</t>
        </is>
      </c>
      <c r="J591" t="inlineStr">
        <is>
          <t>intl-es</t>
        </is>
      </c>
      <c r="K591" t="b">
        <v>1</v>
      </c>
      <c r="L591" t="inlineStr">
        <is>
          <t>relevant</t>
        </is>
      </c>
      <c r="M591" t="inlineStr">
        <is>
          <t>relevant</t>
        </is>
      </c>
      <c r="N591" t="inlineStr">
        <is>
          <t>relevant</t>
        </is>
      </c>
      <c r="O591" t="inlineStr">
        <is>
          <t>relevant</t>
        </is>
      </c>
      <c r="P591" t="b">
        <v>1</v>
      </c>
    </row>
    <row r="592">
      <c r="A592" t="inlineStr">
        <is>
          <t>abschiedsgeschenk kollegen</t>
        </is>
      </c>
      <c r="B592" t="inlineStr">
        <is>
          <t>farewell gift colleagues</t>
        </is>
      </c>
      <c r="C592" t="n">
        <v>1499956409</v>
      </c>
      <c r="D592">
        <f>HYPERLINK("https://www.etsy.com/listing/1499956409", "link")</f>
        <v/>
      </c>
      <c r="E592">
        <f>HYPERLINK("https://atlas.etsycorp.com/listing/1499956409/lookup", "link")</f>
        <v/>
      </c>
      <c r="F592" t="inlineStr">
        <is>
          <t>Farewell gift colleague cup, gift colleague farewell mug thank you, job change colleagues, retirement | Christmas present colleagues</t>
        </is>
      </c>
      <c r="G592" t="inlineStr">
        <is>
          <t>EuhzMx0ffOH7B3fkB1RSM1JngM2e</t>
        </is>
      </c>
      <c r="H592" t="inlineStr">
        <is>
          <t>boe</t>
        </is>
      </c>
      <c r="I592" t="inlineStr">
        <is>
          <t>de</t>
        </is>
      </c>
      <c r="J592" t="inlineStr">
        <is>
          <t>intl-de</t>
        </is>
      </c>
      <c r="K592" t="b">
        <v>1</v>
      </c>
      <c r="L592" t="inlineStr">
        <is>
          <t>relevant</t>
        </is>
      </c>
      <c r="M592" t="inlineStr">
        <is>
          <t>relevant</t>
        </is>
      </c>
      <c r="N592" t="inlineStr">
        <is>
          <t>relevant</t>
        </is>
      </c>
      <c r="O592" t="inlineStr">
        <is>
          <t>relevant</t>
        </is>
      </c>
      <c r="P592" t="b">
        <v>1</v>
      </c>
    </row>
    <row r="593">
      <c r="A593" t="inlineStr">
        <is>
          <t>sidewalk sign</t>
        </is>
      </c>
      <c r="B593" t="inlineStr">
        <is>
          <t>sidewalk sign</t>
        </is>
      </c>
      <c r="C593" t="n">
        <v>1196149610</v>
      </c>
      <c r="D593">
        <f>HYPERLINK("https://www.etsy.com/listing/1196149610", "link")</f>
        <v/>
      </c>
      <c r="E593">
        <f>HYPERLINK("https://atlas.etsycorp.com/listing/1196149610/lookup", "link")</f>
        <v/>
      </c>
      <c r="F593" t="inlineStr">
        <is>
          <t>Realistic Reflection Storefront Store Vinyl Window Decal PSD Mockup | Smart Object Mockup | Retail Store Branding Template for Photoshop</t>
        </is>
      </c>
      <c r="G593" t="inlineStr">
        <is>
          <t>Eu37fAT6VvhP0b8MP3KPzhn8p7e1</t>
        </is>
      </c>
      <c r="H593" t="inlineStr">
        <is>
          <t>web</t>
        </is>
      </c>
      <c r="I593" t="inlineStr">
        <is>
          <t>nl</t>
        </is>
      </c>
      <c r="J593" t="inlineStr">
        <is>
          <t>intl-nl</t>
        </is>
      </c>
      <c r="K593" t="b">
        <v>1</v>
      </c>
      <c r="L593" t="inlineStr">
        <is>
          <t>partial</t>
        </is>
      </c>
      <c r="M593" t="inlineStr">
        <is>
          <t>partial</t>
        </is>
      </c>
      <c r="N593" t="inlineStr">
        <is>
          <t>partial</t>
        </is>
      </c>
      <c r="O593" t="inlineStr">
        <is>
          <t>partial</t>
        </is>
      </c>
      <c r="P593" t="b">
        <v>1</v>
      </c>
    </row>
    <row r="594">
      <c r="A594" t="inlineStr">
        <is>
          <t>elephant crochet</t>
        </is>
      </c>
      <c r="B594" t="inlineStr">
        <is>
          <t>elephant crochet</t>
        </is>
      </c>
      <c r="C594" t="n">
        <v>1417419069</v>
      </c>
      <c r="D594">
        <f>HYPERLINK("https://www.etsy.com/listing/1417419069", "link")</f>
        <v/>
      </c>
      <c r="E594">
        <f>HYPERLINK("https://atlas.etsycorp.com/listing/1417419069/lookup", "link")</f>
        <v/>
      </c>
      <c r="F594" t="inlineStr">
        <is>
          <t>Line Art Elephant Sculpture, Minimalist Home Decor, Tabletop Ornament, Housewarming Gift</t>
        </is>
      </c>
      <c r="G594" t="inlineStr">
        <is>
          <t>EuA-96lGPtvlo59xB9MAarjFDR7c</t>
        </is>
      </c>
      <c r="H594" t="inlineStr">
        <is>
          <t>boe</t>
        </is>
      </c>
      <c r="I594" t="inlineStr">
        <is>
          <t>es</t>
        </is>
      </c>
      <c r="J594" t="inlineStr">
        <is>
          <t>intl-es</t>
        </is>
      </c>
      <c r="K594" t="b">
        <v>1</v>
      </c>
      <c r="L594" t="inlineStr">
        <is>
          <t>partial</t>
        </is>
      </c>
      <c r="M594" t="inlineStr">
        <is>
          <t>partial</t>
        </is>
      </c>
      <c r="N594" t="inlineStr">
        <is>
          <t>partial</t>
        </is>
      </c>
      <c r="O594" t="inlineStr">
        <is>
          <t>partial</t>
        </is>
      </c>
      <c r="P594" t="b">
        <v>1</v>
      </c>
    </row>
    <row r="595">
      <c r="A595" t="inlineStr">
        <is>
          <t>bracelet pour montre femme 1cm</t>
        </is>
      </c>
      <c r="B595" t="inlineStr">
        <is>
          <t>bracelet for women's watch 1cm</t>
        </is>
      </c>
      <c r="C595" t="n">
        <v>1042075811</v>
      </c>
      <c r="D595">
        <f>HYPERLINK("https://www.etsy.com/listing/1042075811", "link")</f>
        <v/>
      </c>
      <c r="E595">
        <f>HYPERLINK("https://atlas.etsycorp.com/listing/1042075811/lookup", "link")</f>
        <v/>
      </c>
      <c r="F595" t="inlineStr">
        <is>
          <t>Mahogany wood desk organizer, two watch jewelry tray, docking station, watch case, personalized box, watch jewelry display, holder box</t>
        </is>
      </c>
      <c r="G595" t="inlineStr">
        <is>
          <t>EuGQjDTmaJq6BAoPuKJnGxrEHVdb</t>
        </is>
      </c>
      <c r="H595" t="inlineStr">
        <is>
          <t>web</t>
        </is>
      </c>
      <c r="I595" t="inlineStr">
        <is>
          <t>fr</t>
        </is>
      </c>
      <c r="J595" t="inlineStr">
        <is>
          <t>intl-fr</t>
        </is>
      </c>
      <c r="K595" t="b">
        <v>1</v>
      </c>
      <c r="L595" t="inlineStr">
        <is>
          <t>partial</t>
        </is>
      </c>
      <c r="M595" t="inlineStr">
        <is>
          <t>partial</t>
        </is>
      </c>
      <c r="N595" t="inlineStr">
        <is>
          <t>partial</t>
        </is>
      </c>
      <c r="O595" t="inlineStr">
        <is>
          <t>partial</t>
        </is>
      </c>
      <c r="P595" t="b">
        <v>1</v>
      </c>
    </row>
    <row r="596">
      <c r="A596" t="inlineStr">
        <is>
          <t>logo R300</t>
        </is>
      </c>
      <c r="B596" t="inlineStr">
        <is>
          <t>R300 logo</t>
        </is>
      </c>
      <c r="C596" t="n">
        <v>1670750627</v>
      </c>
      <c r="D596">
        <f>HYPERLINK("https://www.etsy.com/listing/1670750627", "link")</f>
        <v/>
      </c>
      <c r="E596">
        <f>HYPERLINK("https://atlas.etsycorp.com/listing/1670750627/lookup", "link")</f>
        <v/>
      </c>
      <c r="F596" t="inlineStr">
        <is>
          <t>Thrustmaster T300 pedals magnet MOD 4pcs - 10x3mm N42 magnets glued! FORCE - 1,8kg each magnet, GENUINE 3M tape</t>
        </is>
      </c>
      <c r="G596" t="inlineStr">
        <is>
          <t>Eu5EDdHf9cx304iu67_tohDrBb63</t>
        </is>
      </c>
      <c r="H596" t="inlineStr">
        <is>
          <t>boe</t>
        </is>
      </c>
      <c r="I596" t="inlineStr">
        <is>
          <t>fr</t>
        </is>
      </c>
      <c r="J596" t="inlineStr">
        <is>
          <t>intl-fr</t>
        </is>
      </c>
      <c r="K596" t="b">
        <v>1</v>
      </c>
      <c r="L596" t="inlineStr">
        <is>
          <t>not_relevant</t>
        </is>
      </c>
      <c r="M596" t="inlineStr">
        <is>
          <t>not_relevant</t>
        </is>
      </c>
      <c r="N596" t="inlineStr">
        <is>
          <t>not_relevant</t>
        </is>
      </c>
      <c r="O596" t="inlineStr">
        <is>
          <t>not_relevant</t>
        </is>
      </c>
      <c r="P596" t="b">
        <v>1</v>
      </c>
    </row>
    <row r="597">
      <c r="A597" t="inlineStr">
        <is>
          <t>fallout 4 onsie</t>
        </is>
      </c>
      <c r="B597" t="inlineStr"/>
      <c r="C597" t="n">
        <v>1515350100</v>
      </c>
      <c r="D597">
        <f>HYPERLINK("https://www.etsy.com/listing/1515350100", "link")</f>
        <v/>
      </c>
      <c r="E597">
        <f>HYPERLINK("https://atlas.etsycorp.com/listing/1515350100/lookup", "link")</f>
        <v/>
      </c>
      <c r="F597" t="inlineStr">
        <is>
          <t>Vault Boy Embroidered Hoodie</t>
        </is>
      </c>
      <c r="G597" t="inlineStr">
        <is>
          <t>Eu98AO-2FHJrMeDvs26BgVdMUvaa</t>
        </is>
      </c>
      <c r="H597" t="inlineStr">
        <is>
          <t>boe</t>
        </is>
      </c>
      <c r="I597" t="inlineStr">
        <is>
          <t>en-US</t>
        </is>
      </c>
      <c r="J597" t="inlineStr">
        <is>
          <t>us_v2-broad</t>
        </is>
      </c>
      <c r="K597" t="b">
        <v>1</v>
      </c>
      <c r="L597" t="inlineStr">
        <is>
          <t>not_relevant</t>
        </is>
      </c>
      <c r="M597" t="inlineStr">
        <is>
          <t>partial</t>
        </is>
      </c>
      <c r="N597" t="inlineStr">
        <is>
          <t>not_relevant</t>
        </is>
      </c>
      <c r="O597" t="inlineStr">
        <is>
          <t>not_relevant</t>
        </is>
      </c>
      <c r="P597" t="b">
        <v>1</v>
      </c>
    </row>
    <row r="598">
      <c r="A598" t="inlineStr">
        <is>
          <t>wood dragon pin</t>
        </is>
      </c>
      <c r="B598" t="inlineStr"/>
      <c r="C598" t="n">
        <v>1101260234</v>
      </c>
      <c r="D598">
        <f>HYPERLINK("https://www.etsy.com/listing/1101260234", "link")</f>
        <v/>
      </c>
      <c r="E598">
        <f>HYPERLINK("https://atlas.etsycorp.com/listing/1101260234/lookup", "link")</f>
        <v/>
      </c>
      <c r="F598" t="inlineStr">
        <is>
          <t>Dragon Toothless  STL File 3D Printable</t>
        </is>
      </c>
      <c r="G598" t="inlineStr">
        <is>
          <t>EuyIZLyeGWuXgoNUUHEZdYZDjfdb</t>
        </is>
      </c>
      <c r="H598" t="inlineStr">
        <is>
          <t>web</t>
        </is>
      </c>
      <c r="I598" t="inlineStr">
        <is>
          <t>en-GB</t>
        </is>
      </c>
      <c r="J598" t="inlineStr">
        <is>
          <t>us_v2-direct_specified</t>
        </is>
      </c>
      <c r="K598" t="b">
        <v>1</v>
      </c>
      <c r="L598" t="inlineStr">
        <is>
          <t>not_relevant</t>
        </is>
      </c>
      <c r="M598" t="inlineStr">
        <is>
          <t>partial</t>
        </is>
      </c>
      <c r="N598" t="inlineStr">
        <is>
          <t>not_relevant</t>
        </is>
      </c>
      <c r="O598" t="inlineStr">
        <is>
          <t>not_relevant</t>
        </is>
      </c>
      <c r="P598" t="b">
        <v>1</v>
      </c>
    </row>
    <row r="599">
      <c r="A599" t="inlineStr">
        <is>
          <t>savon mariage</t>
        </is>
      </c>
      <c r="B599" t="inlineStr">
        <is>
          <t>wedding soap</t>
        </is>
      </c>
      <c r="C599" t="n">
        <v>1688201497</v>
      </c>
      <c r="D599">
        <f>HYPERLINK("https://www.etsy.com/listing/1688201497", "link")</f>
        <v/>
      </c>
      <c r="E599">
        <f>HYPERLINK("https://atlas.etsycorp.com/listing/1688201497/lookup", "link")</f>
        <v/>
      </c>
      <c r="F599" t="inlineStr">
        <is>
          <t>Handmade Baby Shower Scented Soap Favors, Wedding Favors for Guests in Bulk, Rustic Wedding Favors, Bridal Shower Soaps, Baptism Soap Favors</t>
        </is>
      </c>
      <c r="G599" t="inlineStr">
        <is>
          <t>EuQzNVYd_9PwCMcI4lRmdW3veR0d</t>
        </is>
      </c>
      <c r="H599" t="inlineStr">
        <is>
          <t>web</t>
        </is>
      </c>
      <c r="I599" t="inlineStr">
        <is>
          <t>fr</t>
        </is>
      </c>
      <c r="J599" t="inlineStr">
        <is>
          <t>intl-fr</t>
        </is>
      </c>
      <c r="K599" t="b">
        <v>1</v>
      </c>
      <c r="L599" t="inlineStr">
        <is>
          <t>relevant</t>
        </is>
      </c>
      <c r="M599" t="inlineStr">
        <is>
          <t>relevant</t>
        </is>
      </c>
      <c r="N599" t="inlineStr">
        <is>
          <t>relevant</t>
        </is>
      </c>
      <c r="O599" t="inlineStr">
        <is>
          <t>relevant</t>
        </is>
      </c>
      <c r="P599" t="b">
        <v>1</v>
      </c>
    </row>
    <row r="600">
      <c r="A600" t="inlineStr">
        <is>
          <t>sarape decoración de mesa</t>
        </is>
      </c>
      <c r="B600" t="inlineStr">
        <is>
          <t>serape table decoration</t>
        </is>
      </c>
      <c r="C600" t="n">
        <v>1687718968</v>
      </c>
      <c r="D600">
        <f>HYPERLINK("https://www.etsy.com/listing/1687718968", "link")</f>
        <v/>
      </c>
      <c r="E600">
        <f>HYPERLINK("https://atlas.etsycorp.com/listing/1687718968/lookup", "link")</f>
        <v/>
      </c>
      <c r="F600" t="inlineStr">
        <is>
          <t>Custom Papel Picado Banner, Personalized Banner, Party Decoration Banner, Baby Banner, Wedding Banner, Latin Vibes Decor, Fiesta Decoration</t>
        </is>
      </c>
      <c r="G600" t="inlineStr">
        <is>
          <t>Eum83TxiE3OJrSv-jKhN1Tt-lL0c</t>
        </is>
      </c>
      <c r="H600" t="inlineStr">
        <is>
          <t>boe</t>
        </is>
      </c>
      <c r="I600" t="inlineStr">
        <is>
          <t>es</t>
        </is>
      </c>
      <c r="J600" t="inlineStr">
        <is>
          <t>intl-es</t>
        </is>
      </c>
      <c r="K600" t="b">
        <v>1</v>
      </c>
      <c r="L600" t="inlineStr">
        <is>
          <t>not_relevant</t>
        </is>
      </c>
      <c r="M600" t="inlineStr">
        <is>
          <t>not_relevant</t>
        </is>
      </c>
      <c r="N600" t="inlineStr">
        <is>
          <t>not_relevant</t>
        </is>
      </c>
      <c r="O600" t="inlineStr">
        <is>
          <t>not_relevant</t>
        </is>
      </c>
      <c r="P600" t="b">
        <v>1</v>
      </c>
    </row>
    <row r="601">
      <c r="A601" t="inlineStr">
        <is>
          <t>point de croix abeille</t>
        </is>
      </c>
      <c r="B601" t="inlineStr">
        <is>
          <t>bee cross stitch</t>
        </is>
      </c>
      <c r="C601" t="n">
        <v>1678821998</v>
      </c>
      <c r="D601">
        <f>HYPERLINK("https://www.etsy.com/listing/1678821998", "link")</f>
        <v/>
      </c>
      <c r="E601">
        <f>HYPERLINK("https://atlas.etsycorp.com/listing/1678821998/lookup", "link")</f>
        <v/>
      </c>
      <c r="F601" t="inlineStr">
        <is>
          <t>Bumble Bee Cross Stitch Pattern Sewing Modern Embroidery Instant Download Dark X-Stitch Cottagecore Witchy Witchcraft Goth Floral Boho</t>
        </is>
      </c>
      <c r="G601" t="inlineStr">
        <is>
          <t>EuDdNtjhWpchsSzpRpTBR2H0Nm55</t>
        </is>
      </c>
      <c r="H601" t="inlineStr">
        <is>
          <t>boe</t>
        </is>
      </c>
      <c r="I601" t="inlineStr">
        <is>
          <t>fr</t>
        </is>
      </c>
      <c r="J601" t="inlineStr">
        <is>
          <t>intl-fr</t>
        </is>
      </c>
      <c r="K601" t="b">
        <v>1</v>
      </c>
      <c r="L601" t="inlineStr">
        <is>
          <t>relevant</t>
        </is>
      </c>
      <c r="M601" t="inlineStr">
        <is>
          <t>relevant</t>
        </is>
      </c>
      <c r="N601" t="inlineStr">
        <is>
          <t>relevant</t>
        </is>
      </c>
      <c r="O601" t="inlineStr">
        <is>
          <t>relevant</t>
        </is>
      </c>
      <c r="P601" t="b">
        <v>1</v>
      </c>
    </row>
    <row r="602">
      <c r="A602" t="inlineStr">
        <is>
          <t>barcelona</t>
        </is>
      </c>
      <c r="B602" t="inlineStr"/>
      <c r="C602" t="n">
        <v>1472974500</v>
      </c>
      <c r="D602">
        <f>HYPERLINK("https://www.etsy.com/listing/1472974500", "link")</f>
        <v/>
      </c>
      <c r="E602">
        <f>HYPERLINK("https://atlas.etsycorp.com/listing/1472974500/lookup", "link")</f>
        <v/>
      </c>
      <c r="F602" t="inlineStr">
        <is>
          <t>Barcelona Print, Barcelona Poster, Barcelona Wall Art, Spain Art Print, Barcelona Photo</t>
        </is>
      </c>
      <c r="G602" t="inlineStr">
        <is>
          <t>EutioNWUU9clK7bmFFdmrBglayc4</t>
        </is>
      </c>
      <c r="H602" t="inlineStr">
        <is>
          <t>boe</t>
        </is>
      </c>
      <c r="I602" t="inlineStr">
        <is>
          <t>en-US</t>
        </is>
      </c>
      <c r="J602" t="inlineStr">
        <is>
          <t>us_v2-broad</t>
        </is>
      </c>
      <c r="K602" t="b">
        <v>1</v>
      </c>
      <c r="L602" t="inlineStr">
        <is>
          <t>relevant</t>
        </is>
      </c>
      <c r="M602" t="inlineStr">
        <is>
          <t>relevant</t>
        </is>
      </c>
      <c r="N602" t="inlineStr">
        <is>
          <t>relevant</t>
        </is>
      </c>
      <c r="O602" t="inlineStr">
        <is>
          <t>relevant</t>
        </is>
      </c>
      <c r="P602" t="b">
        <v>1</v>
      </c>
    </row>
    <row r="603">
      <c r="A603" t="inlineStr">
        <is>
          <t>custom printed insoles</t>
        </is>
      </c>
      <c r="B603" t="inlineStr"/>
      <c r="C603" t="n">
        <v>1541501487</v>
      </c>
      <c r="D603">
        <f>HYPERLINK("https://www.etsy.com/listing/1541501487", "link")</f>
        <v/>
      </c>
      <c r="E603">
        <f>HYPERLINK("https://atlas.etsycorp.com/listing/1541501487/lookup", "link")</f>
        <v/>
      </c>
      <c r="F603" t="inlineStr">
        <is>
          <t>Customize Your Style with Printed Name and Picture LOGO for Sneakers Shoelace,for Fit All Sneakers,Boots,Gift For Him/Her</t>
        </is>
      </c>
      <c r="G603" t="inlineStr">
        <is>
          <t>EuGffQBPzIAz_-MHGIvFFcYbd230</t>
        </is>
      </c>
      <c r="H603" t="inlineStr">
        <is>
          <t>web</t>
        </is>
      </c>
      <c r="I603" t="inlineStr">
        <is>
          <t>en-US</t>
        </is>
      </c>
      <c r="J603" t="inlineStr">
        <is>
          <t>us_v2-direct_specified</t>
        </is>
      </c>
      <c r="K603" t="b">
        <v>1</v>
      </c>
      <c r="L603" t="inlineStr">
        <is>
          <t>not_relevant</t>
        </is>
      </c>
      <c r="M603" t="inlineStr">
        <is>
          <t>not_relevant</t>
        </is>
      </c>
      <c r="N603" t="inlineStr">
        <is>
          <t>not_relevant</t>
        </is>
      </c>
      <c r="O603" t="inlineStr">
        <is>
          <t>partial</t>
        </is>
      </c>
      <c r="P603" t="b">
        <v>1</v>
      </c>
    </row>
    <row r="604">
      <c r="A604" t="inlineStr">
        <is>
          <t>Find shirts</t>
        </is>
      </c>
      <c r="B604" t="inlineStr">
        <is>
          <t>Find shirts</t>
        </is>
      </c>
      <c r="C604" t="n">
        <v>1250129035</v>
      </c>
      <c r="D604">
        <f>HYPERLINK("https://www.etsy.com/listing/1250129035", "link")</f>
        <v/>
      </c>
      <c r="E604">
        <f>HYPERLINK("https://atlas.etsycorp.com/listing/1250129035/lookup", "link")</f>
        <v/>
      </c>
      <c r="F604" t="inlineStr">
        <is>
          <t>Adventure TShirt, Adventure Shirt, Camping Shirts, Mountain TShirt, Hiker TShirts, Nature Lover Shirt, Camping Gift, Vacation Shirt</t>
        </is>
      </c>
      <c r="G604" t="inlineStr">
        <is>
          <t>EuOanlJAEiDgAOVkOIRVHI9m7r77</t>
        </is>
      </c>
      <c r="H604" t="inlineStr">
        <is>
          <t>web</t>
        </is>
      </c>
      <c r="I604" t="inlineStr">
        <is>
          <t>es</t>
        </is>
      </c>
      <c r="J604" t="inlineStr">
        <is>
          <t>intl-es</t>
        </is>
      </c>
      <c r="K604" t="b">
        <v>1</v>
      </c>
      <c r="L604" t="inlineStr">
        <is>
          <t>partial</t>
        </is>
      </c>
      <c r="M604" t="inlineStr">
        <is>
          <t>partial</t>
        </is>
      </c>
      <c r="N604" t="inlineStr">
        <is>
          <t>relevant</t>
        </is>
      </c>
      <c r="O604" t="inlineStr">
        <is>
          <t>partial</t>
        </is>
      </c>
      <c r="P604" t="b">
        <v>1</v>
      </c>
    </row>
    <row r="605">
      <c r="A605" t="inlineStr">
        <is>
          <t>womens clergy stole</t>
        </is>
      </c>
      <c r="B605" t="inlineStr"/>
      <c r="C605" t="n">
        <v>941256127</v>
      </c>
      <c r="D605">
        <f>HYPERLINK("https://www.etsy.com/listing/941256127", "link")</f>
        <v/>
      </c>
      <c r="E605">
        <f>HYPERLINK("https://atlas.etsycorp.com/listing/941256127/lookup", "link")</f>
        <v/>
      </c>
      <c r="F605" t="inlineStr">
        <is>
          <t>Lovely minister&amp;#39;s Christmas stole in rich red Gingko leaf print, with gold metallic outlines</t>
        </is>
      </c>
      <c r="G605" t="inlineStr">
        <is>
          <t>EuNmrkNdzE53zYTc_o4OM3bmxMad</t>
        </is>
      </c>
      <c r="H605" t="inlineStr">
        <is>
          <t>boe</t>
        </is>
      </c>
      <c r="I605" t="inlineStr">
        <is>
          <t>en-US</t>
        </is>
      </c>
      <c r="J605" t="inlineStr">
        <is>
          <t>us_v2-direct_unspecified</t>
        </is>
      </c>
      <c r="K605" t="b">
        <v>1</v>
      </c>
      <c r="L605" t="inlineStr">
        <is>
          <t>partial</t>
        </is>
      </c>
      <c r="M605" t="inlineStr">
        <is>
          <t>partial</t>
        </is>
      </c>
      <c r="N605" t="inlineStr">
        <is>
          <t>partial</t>
        </is>
      </c>
      <c r="O605" t="inlineStr">
        <is>
          <t>partial</t>
        </is>
      </c>
      <c r="P605" t="b">
        <v>1</v>
      </c>
    </row>
    <row r="606">
      <c r="A606" t="inlineStr">
        <is>
          <t>botão de volume de teclado</t>
        </is>
      </c>
      <c r="B606" t="inlineStr">
        <is>
          <t>keyboard volume button</t>
        </is>
      </c>
      <c r="C606" t="n">
        <v>522390424</v>
      </c>
      <c r="D606">
        <f>HYPERLINK("https://www.etsy.com/listing/522390424", "link")</f>
        <v/>
      </c>
      <c r="E606">
        <f>HYPERLINK("https://atlas.etsycorp.com/listing/522390424/lookup", "link")</f>
        <v/>
      </c>
      <c r="F606" t="inlineStr">
        <is>
          <t>15 Different Color pieces Linen Cotton Fabric Solid Color Bundle Patchwork Squares Of 20*25cm(CTJZ21-FSLS-202515)</t>
        </is>
      </c>
      <c r="G606" t="inlineStr">
        <is>
          <t>Eu343zkq6rVPjoRi5MONK6xwoCa1</t>
        </is>
      </c>
      <c r="H606" t="inlineStr">
        <is>
          <t>web</t>
        </is>
      </c>
      <c r="I606" t="inlineStr">
        <is>
          <t>pt</t>
        </is>
      </c>
      <c r="J606" t="inlineStr">
        <is>
          <t>intl-pt</t>
        </is>
      </c>
      <c r="K606" t="b">
        <v>1</v>
      </c>
      <c r="L606" t="inlineStr">
        <is>
          <t>not_relevant</t>
        </is>
      </c>
      <c r="M606" t="inlineStr">
        <is>
          <t>not_relevant</t>
        </is>
      </c>
      <c r="N606" t="inlineStr">
        <is>
          <t>not_relevant</t>
        </is>
      </c>
      <c r="O606" t="inlineStr">
        <is>
          <t>not_relevant</t>
        </is>
      </c>
      <c r="P606" t="b">
        <v>1</v>
      </c>
    </row>
    <row r="607">
      <c r="A607" t="inlineStr">
        <is>
          <t>gifts for women</t>
        </is>
      </c>
      <c r="B607" t="inlineStr"/>
      <c r="C607" t="n">
        <v>885066911</v>
      </c>
      <c r="D607">
        <f>HYPERLINK("https://www.etsy.com/listing/885066911", "link")</f>
        <v/>
      </c>
      <c r="E607">
        <f>HYPERLINK("https://atlas.etsycorp.com/listing/885066911/lookup", "link")</f>
        <v/>
      </c>
      <c r="F607" t="inlineStr">
        <is>
          <t>Trust in New Beginnings Gift, Affirmation Uplifting Gifts For Women, Scented Frosted Candle</t>
        </is>
      </c>
      <c r="G607" t="inlineStr">
        <is>
          <t>EupABLg2jX8g3N07r4VghCcauu61</t>
        </is>
      </c>
      <c r="H607" t="inlineStr">
        <is>
          <t>boe</t>
        </is>
      </c>
      <c r="I607" t="inlineStr">
        <is>
          <t>en-GB</t>
        </is>
      </c>
      <c r="J607" t="inlineStr">
        <is>
          <t>us_v2-gift</t>
        </is>
      </c>
      <c r="K607" t="b">
        <v>1</v>
      </c>
      <c r="L607" t="inlineStr">
        <is>
          <t>relevant</t>
        </is>
      </c>
      <c r="M607" t="inlineStr">
        <is>
          <t>relevant</t>
        </is>
      </c>
      <c r="N607" t="inlineStr">
        <is>
          <t>relevant</t>
        </is>
      </c>
      <c r="O607" t="inlineStr">
        <is>
          <t>relevant</t>
        </is>
      </c>
      <c r="P607" t="b">
        <v>1</v>
      </c>
    </row>
    <row r="608">
      <c r="A608" t="inlineStr">
        <is>
          <t>cowgirl brooches</t>
        </is>
      </c>
      <c r="B608" t="inlineStr"/>
      <c r="C608" t="n">
        <v>938679039</v>
      </c>
      <c r="D608">
        <f>HYPERLINK("https://www.etsy.com/listing/938679039", "link")</f>
        <v/>
      </c>
      <c r="E608">
        <f>HYPERLINK("https://atlas.etsycorp.com/listing/938679039/lookup", "link")</f>
        <v/>
      </c>
      <c r="F608" t="inlineStr">
        <is>
          <t>Vintage Cowboy Boot Brooch Pin Teal Enamel with Rhinestones Western Mate 18K Gold FInish</t>
        </is>
      </c>
      <c r="G608" t="inlineStr">
        <is>
          <t>Eu6gF_mgeZcXjunN8YXMmiupt191</t>
        </is>
      </c>
      <c r="H608" t="inlineStr">
        <is>
          <t>web</t>
        </is>
      </c>
      <c r="I608" t="inlineStr">
        <is>
          <t>en-US</t>
        </is>
      </c>
      <c r="J608" t="inlineStr">
        <is>
          <t>us_v2-direct_unspecified</t>
        </is>
      </c>
      <c r="K608" t="b">
        <v>1</v>
      </c>
      <c r="L608" t="inlineStr">
        <is>
          <t>partial</t>
        </is>
      </c>
      <c r="M608" t="inlineStr">
        <is>
          <t>relevant</t>
        </is>
      </c>
      <c r="N608" t="inlineStr">
        <is>
          <t>partial</t>
        </is>
      </c>
      <c r="O608" t="inlineStr">
        <is>
          <t>partial</t>
        </is>
      </c>
      <c r="P608" t="b">
        <v>1</v>
      </c>
    </row>
    <row r="609">
      <c r="A609" t="inlineStr">
        <is>
          <t>cigar band ribg</t>
        </is>
      </c>
      <c r="B609" t="inlineStr">
        <is>
          <t>cigar band ribg</t>
        </is>
      </c>
      <c r="C609" t="n">
        <v>1359208120</v>
      </c>
      <c r="D609">
        <f>HYPERLINK("https://www.etsy.com/listing/1359208120", "link")</f>
        <v/>
      </c>
      <c r="E609">
        <f>HYPERLINK("https://atlas.etsycorp.com/listing/1359208120/lookup", "link")</f>
        <v/>
      </c>
      <c r="F609" t="inlineStr">
        <is>
          <t>3 Set Dome Ring, 925 Sterling Silver, Minimalist Ring, Designer Unique Style Ring, Handmade Ring , Chunky Dome Ring, Wide Band Ring Jewelry</t>
        </is>
      </c>
      <c r="G609" t="inlineStr">
        <is>
          <t>EuH4SrzW9q3a0xLzjUCbD4yzfb2f</t>
        </is>
      </c>
      <c r="H609" t="inlineStr">
        <is>
          <t>web</t>
        </is>
      </c>
      <c r="I609" t="inlineStr">
        <is>
          <t>nl</t>
        </is>
      </c>
      <c r="J609" t="inlineStr">
        <is>
          <t>intl-nl</t>
        </is>
      </c>
      <c r="K609" t="b">
        <v>1</v>
      </c>
      <c r="L609" t="inlineStr">
        <is>
          <t>partial</t>
        </is>
      </c>
      <c r="M609" t="inlineStr">
        <is>
          <t>relevant</t>
        </is>
      </c>
      <c r="N609" t="inlineStr">
        <is>
          <t>partial</t>
        </is>
      </c>
      <c r="O609" t="inlineStr">
        <is>
          <t>partial</t>
        </is>
      </c>
      <c r="P609" t="b">
        <v>1</v>
      </c>
    </row>
    <row r="610">
      <c r="A610" t="inlineStr">
        <is>
          <t>family calendar</t>
        </is>
      </c>
      <c r="B610" t="inlineStr"/>
      <c r="C610" t="n">
        <v>1646175071</v>
      </c>
      <c r="D610">
        <f>HYPERLINK("https://www.etsy.com/listing/1646175071", "link")</f>
        <v/>
      </c>
      <c r="E610">
        <f>HYPERLINK("https://atlas.etsycorp.com/listing/1646175071/lookup", "link")</f>
        <v/>
      </c>
      <c r="F610" t="inlineStr">
        <is>
          <t>2024 Magnet Calendar | Home Decor | Fridge Magnet</t>
        </is>
      </c>
      <c r="G610" t="inlineStr">
        <is>
          <t>Eu048tMmuoLLp1ChU9FJVavxGX40</t>
        </is>
      </c>
      <c r="H610" t="inlineStr">
        <is>
          <t>boe</t>
        </is>
      </c>
      <c r="I610" t="inlineStr">
        <is>
          <t>en-US</t>
        </is>
      </c>
      <c r="J610" t="inlineStr">
        <is>
          <t>us_v2-direct_unspecified</t>
        </is>
      </c>
      <c r="K610" t="b">
        <v>1</v>
      </c>
      <c r="L610" t="inlineStr">
        <is>
          <t>partial</t>
        </is>
      </c>
      <c r="M610" t="inlineStr">
        <is>
          <t>partial</t>
        </is>
      </c>
      <c r="N610" t="inlineStr">
        <is>
          <t>partial</t>
        </is>
      </c>
      <c r="O610" t="inlineStr">
        <is>
          <t>partial</t>
        </is>
      </c>
      <c r="P610" t="b">
        <v>1</v>
      </c>
    </row>
    <row r="611">
      <c r="A611" t="inlineStr">
        <is>
          <t>g initial necklace</t>
        </is>
      </c>
      <c r="B611" t="inlineStr"/>
      <c r="C611" t="n">
        <v>736358883</v>
      </c>
      <c r="D611">
        <f>HYPERLINK("https://www.etsy.com/listing/736358883", "link")</f>
        <v/>
      </c>
      <c r="E611">
        <f>HYPERLINK("https://atlas.etsycorp.com/listing/736358883/lookup", "link")</f>
        <v/>
      </c>
      <c r="F611" t="inlineStr">
        <is>
          <t>Tiny Letter G Charms with Zircon, Cute Letter Pendant, Initials Pendants, 14K Gold Plated, 2 Pieces</t>
        </is>
      </c>
      <c r="G611" t="inlineStr">
        <is>
          <t>EuSbiqu6jwcgcDnBvos3o1UQDHd0</t>
        </is>
      </c>
      <c r="H611" t="inlineStr">
        <is>
          <t>boe</t>
        </is>
      </c>
      <c r="I611" t="inlineStr">
        <is>
          <t>en-US</t>
        </is>
      </c>
      <c r="J611" t="inlineStr">
        <is>
          <t>us_v2-direct_specified</t>
        </is>
      </c>
      <c r="K611" t="b">
        <v>1</v>
      </c>
      <c r="L611" t="inlineStr">
        <is>
          <t>partial</t>
        </is>
      </c>
      <c r="M611" t="inlineStr">
        <is>
          <t>partial</t>
        </is>
      </c>
      <c r="N611" t="inlineStr">
        <is>
          <t>partial</t>
        </is>
      </c>
      <c r="O611" t="inlineStr">
        <is>
          <t>relevant</t>
        </is>
      </c>
      <c r="P611" t="b">
        <v>1</v>
      </c>
    </row>
    <row r="612">
      <c r="A612" t="inlineStr">
        <is>
          <t>dog tshirt</t>
        </is>
      </c>
      <c r="B612" t="inlineStr"/>
      <c r="C612" t="n">
        <v>1645941962</v>
      </c>
      <c r="D612">
        <f>HYPERLINK("https://www.etsy.com/listing/1645941962", "link")</f>
        <v/>
      </c>
      <c r="E612">
        <f>HYPERLINK("https://atlas.etsycorp.com/listing/1645941962/lookup", "link")</f>
        <v/>
      </c>
      <c r="F612" t="inlineStr">
        <is>
          <t>Weimaraner Dog Shirt - Book Shirt, Dog Shirt, Personalised Shirt, Reading Shirt, Dog Lovers, Book Lovers, Dog Mom Shirt</t>
        </is>
      </c>
      <c r="G612" t="inlineStr">
        <is>
          <t>EuWUt1LEcNtH0fdQ3KlPGQUjvg02</t>
        </is>
      </c>
      <c r="H612" t="inlineStr">
        <is>
          <t>web</t>
        </is>
      </c>
      <c r="I612" t="inlineStr">
        <is>
          <t>en-GB</t>
        </is>
      </c>
      <c r="J612" t="inlineStr">
        <is>
          <t>us_v2-direct_unspecified</t>
        </is>
      </c>
      <c r="K612" t="b">
        <v>1</v>
      </c>
      <c r="L612" t="inlineStr">
        <is>
          <t>relevant</t>
        </is>
      </c>
      <c r="M612" t="inlineStr">
        <is>
          <t>relevant</t>
        </is>
      </c>
      <c r="N612" t="inlineStr">
        <is>
          <t>relevant</t>
        </is>
      </c>
      <c r="O612" t="inlineStr">
        <is>
          <t>relevant</t>
        </is>
      </c>
      <c r="P612" t="b">
        <v>1</v>
      </c>
    </row>
    <row r="613">
      <c r="A613" t="inlineStr">
        <is>
          <t>gold herringbone necklace</t>
        </is>
      </c>
      <c r="B613" t="inlineStr"/>
      <c r="C613" t="n">
        <v>1264225822</v>
      </c>
      <c r="D613">
        <f>HYPERLINK("https://www.etsy.com/listing/1264225822", "link")</f>
        <v/>
      </c>
      <c r="E613">
        <f>HYPERLINK("https://atlas.etsycorp.com/listing/1264225822/lookup", "link")</f>
        <v/>
      </c>
      <c r="F613" t="inlineStr">
        <is>
          <t>9ct Yellow Gold 1.7mm Flat Snake Link Chain Various Lengths 16&amp;quot; to 18&amp;quot; (577)</t>
        </is>
      </c>
      <c r="G613" t="inlineStr">
        <is>
          <t>EuvWobQZBncN6uqKUFSE48ggF3dd</t>
        </is>
      </c>
      <c r="H613" t="inlineStr">
        <is>
          <t>boe</t>
        </is>
      </c>
      <c r="I613" t="inlineStr">
        <is>
          <t>en-US</t>
        </is>
      </c>
      <c r="J613" t="inlineStr">
        <is>
          <t>us_v2-direct_specified</t>
        </is>
      </c>
      <c r="K613" t="b">
        <v>1</v>
      </c>
      <c r="L613" t="inlineStr">
        <is>
          <t>partial</t>
        </is>
      </c>
      <c r="M613" t="inlineStr">
        <is>
          <t>partial</t>
        </is>
      </c>
      <c r="N613" t="inlineStr">
        <is>
          <t>partial</t>
        </is>
      </c>
      <c r="O613" t="inlineStr">
        <is>
          <t>partial</t>
        </is>
      </c>
      <c r="P613" t="b">
        <v>1</v>
      </c>
    </row>
    <row r="614">
      <c r="A614" t="inlineStr">
        <is>
          <t>crash dummies toy</t>
        </is>
      </c>
      <c r="B614" t="inlineStr">
        <is>
          <t>crash dummies toy</t>
        </is>
      </c>
      <c r="C614" t="n">
        <v>1154402739</v>
      </c>
      <c r="D614">
        <f>HYPERLINK("https://www.etsy.com/listing/1154402739", "link")</f>
        <v/>
      </c>
      <c r="E614">
        <f>HYPERLINK("https://atlas.etsycorp.com/listing/1154402739/lookup", "link")</f>
        <v/>
      </c>
      <c r="F614" t="inlineStr">
        <is>
          <t>James Root Mask All Hope Is Gone Slipknot</t>
        </is>
      </c>
      <c r="G614" t="inlineStr">
        <is>
          <t>Eu__nqFOyamV-NnYYVgsrdVfDq91</t>
        </is>
      </c>
      <c r="H614" t="inlineStr">
        <is>
          <t>boe</t>
        </is>
      </c>
      <c r="I614" t="inlineStr">
        <is>
          <t>nl</t>
        </is>
      </c>
      <c r="J614" t="inlineStr">
        <is>
          <t>intl-nl</t>
        </is>
      </c>
      <c r="K614" t="b">
        <v>1</v>
      </c>
      <c r="L614" t="inlineStr">
        <is>
          <t>not_relevant</t>
        </is>
      </c>
      <c r="M614" t="inlineStr">
        <is>
          <t>not_relevant</t>
        </is>
      </c>
      <c r="N614" t="inlineStr">
        <is>
          <t>not_relevant</t>
        </is>
      </c>
      <c r="O614" t="inlineStr">
        <is>
          <t>not_relevant</t>
        </is>
      </c>
      <c r="P614" t="b">
        <v>1</v>
      </c>
    </row>
    <row r="615">
      <c r="A615" t="inlineStr">
        <is>
          <t>savon mariage</t>
        </is>
      </c>
      <c r="B615" t="inlineStr">
        <is>
          <t>wedding soap</t>
        </is>
      </c>
      <c r="C615" t="n">
        <v>1321793361</v>
      </c>
      <c r="D615">
        <f>HYPERLINK("https://www.etsy.com/listing/1321793361", "link")</f>
        <v/>
      </c>
      <c r="E615">
        <f>HYPERLINK("https://atlas.etsycorp.com/listing/1321793361/lookup", "link")</f>
        <v/>
      </c>
      <c r="F615" t="inlineStr">
        <is>
          <t>100 pcs Personalized Wedding bubble Labels Bubble Wand Clear Label ,party Favor Stickers -not include tube</t>
        </is>
      </c>
      <c r="G615" t="inlineStr">
        <is>
          <t>EuQzNVYd_9PwCMcI4lRmdW3veR0d</t>
        </is>
      </c>
      <c r="H615" t="inlineStr">
        <is>
          <t>web</t>
        </is>
      </c>
      <c r="I615" t="inlineStr">
        <is>
          <t>fr</t>
        </is>
      </c>
      <c r="J615" t="inlineStr">
        <is>
          <t>intl-fr</t>
        </is>
      </c>
      <c r="K615" t="b">
        <v>1</v>
      </c>
      <c r="L615" t="inlineStr">
        <is>
          <t>not_relevant</t>
        </is>
      </c>
      <c r="M615" t="inlineStr">
        <is>
          <t>not_relevant</t>
        </is>
      </c>
      <c r="N615" t="inlineStr">
        <is>
          <t>relevant</t>
        </is>
      </c>
      <c r="O615" t="inlineStr">
        <is>
          <t>not_relevant</t>
        </is>
      </c>
      <c r="P615" t="b">
        <v>1</v>
      </c>
    </row>
    <row r="616">
      <c r="A616" t="inlineStr">
        <is>
          <t>procreate brushes desert</t>
        </is>
      </c>
      <c r="B616" t="inlineStr"/>
      <c r="C616" t="n">
        <v>1298347746</v>
      </c>
      <c r="D616">
        <f>HYPERLINK("https://www.etsy.com/listing/1298347746", "link")</f>
        <v/>
      </c>
      <c r="E616">
        <f>HYPERLINK("https://atlas.etsycorp.com/listing/1298347746/lookup", "link")</f>
        <v/>
      </c>
      <c r="F616" t="inlineStr">
        <is>
          <t>Hand drawn Western Desert Elements</t>
        </is>
      </c>
      <c r="G616" t="inlineStr">
        <is>
          <t>EuAYlhb7jys0zBUEECtlGVQJ_f22</t>
        </is>
      </c>
      <c r="H616" t="inlineStr">
        <is>
          <t>web</t>
        </is>
      </c>
      <c r="I616" t="inlineStr">
        <is>
          <t>en-US</t>
        </is>
      </c>
      <c r="J616" t="inlineStr">
        <is>
          <t>us_v2-direct_specified</t>
        </is>
      </c>
      <c r="K616" t="b">
        <v>1</v>
      </c>
      <c r="L616" t="inlineStr">
        <is>
          <t>relevant</t>
        </is>
      </c>
      <c r="M616" t="inlineStr">
        <is>
          <t>partial</t>
        </is>
      </c>
      <c r="N616" t="inlineStr">
        <is>
          <t>relevant</t>
        </is>
      </c>
      <c r="O616" t="inlineStr">
        <is>
          <t>relevant</t>
        </is>
      </c>
      <c r="P616" t="b">
        <v>1</v>
      </c>
    </row>
    <row r="617">
      <c r="A617" t="inlineStr">
        <is>
          <t>pip boy</t>
        </is>
      </c>
      <c r="B617" t="inlineStr"/>
      <c r="C617" t="n">
        <v>1421989142</v>
      </c>
      <c r="D617">
        <f>HYPERLINK("https://www.etsy.com/listing/1421989142", "link")</f>
        <v/>
      </c>
      <c r="E617">
        <f>HYPERLINK("https://atlas.etsycorp.com/listing/1421989142/lookup", "link")</f>
        <v/>
      </c>
      <c r="F617" t="inlineStr">
        <is>
          <t>pulowski preservation shelter fallout shaker acrylic charm fallout 76 fallout 4</t>
        </is>
      </c>
      <c r="G617" t="inlineStr">
        <is>
          <t>EuYDmQm48uRP0Y2FxqCQJsGtjn6b</t>
        </is>
      </c>
      <c r="H617" t="inlineStr">
        <is>
          <t>boe</t>
        </is>
      </c>
      <c r="I617" t="inlineStr">
        <is>
          <t>en-US</t>
        </is>
      </c>
      <c r="J617" t="inlineStr">
        <is>
          <t>us_v2-broad</t>
        </is>
      </c>
      <c r="K617" t="b">
        <v>1</v>
      </c>
      <c r="L617" t="inlineStr">
        <is>
          <t>not_relevant</t>
        </is>
      </c>
      <c r="M617" t="inlineStr">
        <is>
          <t>not_relevant</t>
        </is>
      </c>
      <c r="N617" t="inlineStr">
        <is>
          <t>not_relevant</t>
        </is>
      </c>
      <c r="O617" t="inlineStr">
        <is>
          <t>not_relevant</t>
        </is>
      </c>
      <c r="P617" t="b">
        <v>1</v>
      </c>
    </row>
    <row r="618">
      <c r="A618" t="inlineStr">
        <is>
          <t>vintage style</t>
        </is>
      </c>
      <c r="B618" t="inlineStr">
        <is>
          <t>vintage style</t>
        </is>
      </c>
      <c r="C618" t="n">
        <v>1040638617</v>
      </c>
      <c r="D618">
        <f>HYPERLINK("https://www.etsy.com/listing/1040638617", "link")</f>
        <v/>
      </c>
      <c r="E618">
        <f>HYPERLINK("https://atlas.etsycorp.com/listing/1040638617/lookup", "link")</f>
        <v/>
      </c>
      <c r="F618" t="inlineStr">
        <is>
          <t>1.5CT Oval Natural Moss Agate Engagement Ring  Cluster Diamond Aquatic Agate Wedding Ring Art Deco Marquise Moissanite Green Crystal Ring</t>
        </is>
      </c>
      <c r="G618" t="inlineStr">
        <is>
          <t>Eu5NQGaS-cHqZIJJ9IVwgCkMOD42</t>
        </is>
      </c>
      <c r="H618" t="inlineStr">
        <is>
          <t>boe</t>
        </is>
      </c>
      <c r="I618" t="inlineStr">
        <is>
          <t>it</t>
        </is>
      </c>
      <c r="J618" t="inlineStr">
        <is>
          <t>intl-it</t>
        </is>
      </c>
      <c r="K618" t="b">
        <v>1</v>
      </c>
      <c r="L618" t="inlineStr">
        <is>
          <t>not_relevant</t>
        </is>
      </c>
      <c r="M618" t="inlineStr">
        <is>
          <t>not_relevant</t>
        </is>
      </c>
      <c r="N618" t="inlineStr">
        <is>
          <t>not_relevant</t>
        </is>
      </c>
      <c r="O618" t="inlineStr">
        <is>
          <t>not_relevant</t>
        </is>
      </c>
      <c r="P618" t="b">
        <v>1</v>
      </c>
    </row>
    <row r="619">
      <c r="A619" t="inlineStr">
        <is>
          <t>paper theater anime</t>
        </is>
      </c>
      <c r="B619" t="inlineStr">
        <is>
          <t>paper theater anime</t>
        </is>
      </c>
      <c r="C619" t="n">
        <v>1165102602</v>
      </c>
      <c r="D619">
        <f>HYPERLINK("https://www.etsy.com/listing/1165102602", "link")</f>
        <v/>
      </c>
      <c r="E619">
        <f>HYPERLINK("https://atlas.etsycorp.com/listing/1165102602/lookup", "link")</f>
        <v/>
      </c>
      <c r="F619" t="inlineStr">
        <is>
          <t>Teddy bear baby Paper doll digital Dress up paper doll Honey bear bee Woodland theme Woodland birthday Woodland centerpiece Bumble Bear</t>
        </is>
      </c>
      <c r="G619" t="inlineStr">
        <is>
          <t>Euq1E_QG45sxZ-fzsYvnDYwHnR1b</t>
        </is>
      </c>
      <c r="H619" t="inlineStr">
        <is>
          <t>boe</t>
        </is>
      </c>
      <c r="I619" t="inlineStr">
        <is>
          <t>es</t>
        </is>
      </c>
      <c r="J619" t="inlineStr">
        <is>
          <t>intl-es</t>
        </is>
      </c>
      <c r="K619" t="b">
        <v>1</v>
      </c>
      <c r="L619" t="inlineStr">
        <is>
          <t>not_relevant</t>
        </is>
      </c>
      <c r="M619" t="inlineStr">
        <is>
          <t>not_relevant</t>
        </is>
      </c>
      <c r="N619" t="inlineStr">
        <is>
          <t>not_relevant</t>
        </is>
      </c>
      <c r="O619" t="inlineStr">
        <is>
          <t>not_relevant</t>
        </is>
      </c>
      <c r="P619" t="b">
        <v>1</v>
      </c>
    </row>
    <row r="620">
      <c r="A620" t="inlineStr">
        <is>
          <t>ephod ring</t>
        </is>
      </c>
      <c r="B620" t="inlineStr"/>
      <c r="C620" t="n">
        <v>591946766</v>
      </c>
      <c r="D620">
        <f>HYPERLINK("https://www.etsy.com/listing/591946766", "link")</f>
        <v/>
      </c>
      <c r="E620">
        <f>HYPERLINK("https://atlas.etsycorp.com/listing/591946766/lookup", "link")</f>
        <v/>
      </c>
      <c r="F620" t="inlineStr">
        <is>
          <t>Kabbalah Ring, Ani Ledodi, Men Women Ring, Engagement Ring, Jewish Ring jewelry, Proposal Ring, Gold Silver Ring, Hebrew Ring, 72 names</t>
        </is>
      </c>
      <c r="G620" t="inlineStr">
        <is>
          <t>EusTH43OP-rOwG0g6v5es-gb2M04</t>
        </is>
      </c>
      <c r="H620" t="inlineStr">
        <is>
          <t>web</t>
        </is>
      </c>
      <c r="I620" t="inlineStr">
        <is>
          <t>en-US</t>
        </is>
      </c>
      <c r="J620" t="inlineStr">
        <is>
          <t>us_v2-direct_unspecified</t>
        </is>
      </c>
      <c r="K620" t="b">
        <v>1</v>
      </c>
      <c r="L620" t="inlineStr">
        <is>
          <t>partial</t>
        </is>
      </c>
      <c r="M620" t="inlineStr">
        <is>
          <t>partial</t>
        </is>
      </c>
      <c r="N620" t="inlineStr">
        <is>
          <t>partial</t>
        </is>
      </c>
      <c r="O620" t="inlineStr">
        <is>
          <t>partial</t>
        </is>
      </c>
      <c r="P620" t="b">
        <v>1</v>
      </c>
    </row>
    <row r="621">
      <c r="A621" t="inlineStr">
        <is>
          <t>mosaic art</t>
        </is>
      </c>
      <c r="B621" t="inlineStr"/>
      <c r="C621" t="n">
        <v>1064204365</v>
      </c>
      <c r="D621">
        <f>HYPERLINK("https://www.etsy.com/listing/1064204365", "link")</f>
        <v/>
      </c>
      <c r="E621">
        <f>HYPERLINK("https://atlas.etsycorp.com/listing/1064204365/lookup", "link")</f>
        <v/>
      </c>
      <c r="F621" t="inlineStr">
        <is>
          <t>Beginner macrame wall hanging kit. Craft kits for adults and kids. Bohemian home and wall decor diy kit</t>
        </is>
      </c>
      <c r="G621" t="inlineStr">
        <is>
          <t>EuaKKv1HylHPRoDUBBcHWyzmKq15</t>
        </is>
      </c>
      <c r="H621" t="inlineStr">
        <is>
          <t>boe</t>
        </is>
      </c>
      <c r="I621" t="inlineStr">
        <is>
          <t>en-US</t>
        </is>
      </c>
      <c r="J621" t="inlineStr">
        <is>
          <t>us_v2-direct_specified</t>
        </is>
      </c>
      <c r="K621" t="b">
        <v>1</v>
      </c>
      <c r="L621" t="inlineStr">
        <is>
          <t>not_relevant</t>
        </is>
      </c>
      <c r="M621" t="inlineStr">
        <is>
          <t>not_relevant</t>
        </is>
      </c>
      <c r="N621" t="inlineStr">
        <is>
          <t>not_relevant</t>
        </is>
      </c>
      <c r="O621" t="inlineStr">
        <is>
          <t>not_relevant</t>
        </is>
      </c>
      <c r="P621" t="b">
        <v>1</v>
      </c>
    </row>
    <row r="622">
      <c r="A622" t="inlineStr">
        <is>
          <t>ottoman vest</t>
        </is>
      </c>
      <c r="B622" t="inlineStr"/>
      <c r="C622" t="n">
        <v>1401990309</v>
      </c>
      <c r="D622">
        <f>HYPERLINK("https://www.etsy.com/listing/1401990309", "link")</f>
        <v/>
      </c>
      <c r="E622">
        <f>HYPERLINK("https://atlas.etsycorp.com/listing/1401990309/lookup", "link")</f>
        <v/>
      </c>
      <c r="F622" t="inlineStr">
        <is>
          <t>Antique Ottoman Hand Embroidered Cropped Jacket, traditional clothing, local women&amp;#39;s clothing with hand stitched, Antique Ethnic Jacket</t>
        </is>
      </c>
      <c r="G622" t="inlineStr">
        <is>
          <t>EuqgpWxibRCUCH3KN0uZfsxV5t1b</t>
        </is>
      </c>
      <c r="H622" t="inlineStr">
        <is>
          <t>web</t>
        </is>
      </c>
      <c r="I622" t="inlineStr">
        <is>
          <t>en-GB</t>
        </is>
      </c>
      <c r="J622" t="inlineStr">
        <is>
          <t>us_v2-direct_unspecified</t>
        </is>
      </c>
      <c r="K622" t="b">
        <v>1</v>
      </c>
      <c r="L622" t="inlineStr">
        <is>
          <t>partial</t>
        </is>
      </c>
      <c r="M622" t="inlineStr">
        <is>
          <t>partial</t>
        </is>
      </c>
      <c r="N622" t="inlineStr">
        <is>
          <t>relevant</t>
        </is>
      </c>
      <c r="O622" t="inlineStr">
        <is>
          <t>partial</t>
        </is>
      </c>
      <c r="P622" t="b">
        <v>1</v>
      </c>
    </row>
    <row r="623">
      <c r="A623" t="inlineStr">
        <is>
          <t>swedish candy bubs</t>
        </is>
      </c>
      <c r="B623" t="inlineStr"/>
      <c r="C623" t="n">
        <v>1569624786</v>
      </c>
      <c r="D623">
        <f>HYPERLINK("https://www.etsy.com/listing/1569624786", "link")</f>
        <v/>
      </c>
      <c r="E623">
        <f>HYPERLINK("https://atlas.etsycorp.com/listing/1569624786/lookup", "link")</f>
        <v/>
      </c>
      <c r="F623" t="inlineStr">
        <is>
          <t>Pick n Mix box</t>
        </is>
      </c>
      <c r="G623" t="inlineStr">
        <is>
          <t>EujokvvB0IWJ9lnSz3nzQMl24H42</t>
        </is>
      </c>
      <c r="H623" t="inlineStr">
        <is>
          <t>boe</t>
        </is>
      </c>
      <c r="I623" t="inlineStr">
        <is>
          <t>en-US</t>
        </is>
      </c>
      <c r="J623" t="inlineStr">
        <is>
          <t>us_v2-direct_specified</t>
        </is>
      </c>
      <c r="K623" t="b">
        <v>1</v>
      </c>
      <c r="L623" t="inlineStr">
        <is>
          <t>partial</t>
        </is>
      </c>
      <c r="M623" t="inlineStr">
        <is>
          <t>partial</t>
        </is>
      </c>
      <c r="N623" t="inlineStr">
        <is>
          <t>partial</t>
        </is>
      </c>
      <c r="O623" t="inlineStr">
        <is>
          <t>partial</t>
        </is>
      </c>
      <c r="P623" t="b">
        <v>1</v>
      </c>
    </row>
    <row r="624">
      <c r="A624" t="inlineStr">
        <is>
          <t>wish disney</t>
        </is>
      </c>
      <c r="B624" t="inlineStr">
        <is>
          <t>wish disney</t>
        </is>
      </c>
      <c r="C624" t="n">
        <v>1566991850</v>
      </c>
      <c r="D624">
        <f>HYPERLINK("https://www.etsy.com/listing/1566991850", "link")</f>
        <v/>
      </c>
      <c r="E624">
        <f>HYPERLINK("https://atlas.etsycorp.com/listing/1566991850/lookup", "link")</f>
        <v/>
      </c>
      <c r="F624" t="inlineStr">
        <is>
          <t>Wish Christmas Font | Wish Textured Font | Wishes Font | SVG | AI | OTF | Musical Typography | Wish Letters | Instant Download</t>
        </is>
      </c>
      <c r="G624" t="inlineStr">
        <is>
          <t>EueZdFaDT2z_J0ApfsLmE3y-Qh2d</t>
        </is>
      </c>
      <c r="H624" t="inlineStr">
        <is>
          <t>boe</t>
        </is>
      </c>
      <c r="I624" t="inlineStr">
        <is>
          <t>fr</t>
        </is>
      </c>
      <c r="J624" t="inlineStr">
        <is>
          <t>intl-fr</t>
        </is>
      </c>
      <c r="K624" t="b">
        <v>1</v>
      </c>
      <c r="L624" t="inlineStr">
        <is>
          <t>not_relevant</t>
        </is>
      </c>
      <c r="M624" t="inlineStr">
        <is>
          <t>not_relevant</t>
        </is>
      </c>
      <c r="N624" t="inlineStr">
        <is>
          <t>partial</t>
        </is>
      </c>
      <c r="O624" t="inlineStr">
        <is>
          <t>not_relevant</t>
        </is>
      </c>
      <c r="P624" t="b">
        <v>1</v>
      </c>
    </row>
    <row r="625">
      <c r="A625" t="inlineStr">
        <is>
          <t>Mammon</t>
        </is>
      </c>
      <c r="B625" t="inlineStr">
        <is>
          <t>Mammon</t>
        </is>
      </c>
      <c r="C625" t="n">
        <v>1169441273</v>
      </c>
      <c r="D625">
        <f>HYPERLINK("https://www.etsy.com/listing/1169441273", "link")</f>
        <v/>
      </c>
      <c r="E625">
        <f>HYPERLINK("https://atlas.etsycorp.com/listing/1169441273/lookup", "link")</f>
        <v/>
      </c>
      <c r="F625" t="inlineStr">
        <is>
          <t>2&amp;quot; Enamel Pins: Alastor Heart</t>
        </is>
      </c>
      <c r="G625" t="inlineStr">
        <is>
          <t>EuXzczWhE5M0740IBitgiV2CIwab</t>
        </is>
      </c>
      <c r="H625" t="inlineStr">
        <is>
          <t>boe</t>
        </is>
      </c>
      <c r="I625" t="inlineStr">
        <is>
          <t>pt</t>
        </is>
      </c>
      <c r="J625" t="inlineStr">
        <is>
          <t>intl-pt</t>
        </is>
      </c>
      <c r="K625" t="b">
        <v>1</v>
      </c>
      <c r="L625" t="inlineStr">
        <is>
          <t>not_relevant</t>
        </is>
      </c>
      <c r="M625" t="inlineStr">
        <is>
          <t>not_relevant</t>
        </is>
      </c>
      <c r="N625" t="inlineStr">
        <is>
          <t>not_relevant</t>
        </is>
      </c>
      <c r="O625" t="inlineStr">
        <is>
          <t>not_relevant</t>
        </is>
      </c>
      <c r="P625" t="b">
        <v>1</v>
      </c>
    </row>
    <row r="626">
      <c r="A626" t="inlineStr">
        <is>
          <t>Wallet and backpacks</t>
        </is>
      </c>
      <c r="B626" t="inlineStr"/>
      <c r="C626" t="n">
        <v>874429257</v>
      </c>
      <c r="D626">
        <f>HYPERLINK("https://www.etsy.com/listing/874429257", "link")</f>
        <v/>
      </c>
      <c r="E626">
        <f>HYPERLINK("https://atlas.etsycorp.com/listing/874429257/lookup", "link")</f>
        <v/>
      </c>
      <c r="F626" t="inlineStr">
        <is>
          <t>Leaf Wallet , Gift Birthday Anniversary , Christmas , Summer bag</t>
        </is>
      </c>
      <c r="G626" t="inlineStr">
        <is>
          <t>EuKy7QJBWRIwGKMB28-M7-o5D8a4</t>
        </is>
      </c>
      <c r="H626" t="inlineStr">
        <is>
          <t>web</t>
        </is>
      </c>
      <c r="I626" t="inlineStr">
        <is>
          <t>en-US</t>
        </is>
      </c>
      <c r="J626" t="inlineStr">
        <is>
          <t>us_v2-direct_unspecified</t>
        </is>
      </c>
      <c r="K626" t="b">
        <v>1</v>
      </c>
      <c r="L626" t="inlineStr">
        <is>
          <t>partial</t>
        </is>
      </c>
      <c r="M626" t="inlineStr">
        <is>
          <t>partial</t>
        </is>
      </c>
      <c r="N626" t="inlineStr">
        <is>
          <t>not_relevant</t>
        </is>
      </c>
      <c r="O626" t="inlineStr">
        <is>
          <t>partial</t>
        </is>
      </c>
      <c r="P626" t="b">
        <v>1</v>
      </c>
    </row>
    <row r="627">
      <c r="A627" t="inlineStr">
        <is>
          <t>nanny and grandad baby grow</t>
        </is>
      </c>
      <c r="B627" t="inlineStr"/>
      <c r="C627" t="n">
        <v>1013630958</v>
      </c>
      <c r="D627">
        <f>HYPERLINK("https://www.etsy.com/listing/1013630958", "link")</f>
        <v/>
      </c>
      <c r="E627">
        <f>HYPERLINK("https://atlas.etsycorp.com/listing/1013630958/lookup", "link")</f>
        <v/>
      </c>
      <c r="F627" t="inlineStr">
        <is>
          <t>Only The Best Parents Get Promoted To Grandparents Wooden Disc | You&amp;#39;re Going To Be Grandparents | Pregnancy Announcement Gift Present Idea</t>
        </is>
      </c>
      <c r="G627" t="inlineStr">
        <is>
          <t>EuOsgdKf3tdWWkt3oP9aq3thB367</t>
        </is>
      </c>
      <c r="H627" t="inlineStr">
        <is>
          <t>web</t>
        </is>
      </c>
      <c r="I627" t="inlineStr">
        <is>
          <t>en-GB</t>
        </is>
      </c>
      <c r="J627" t="inlineStr">
        <is>
          <t>us_v2-broad</t>
        </is>
      </c>
      <c r="K627" t="b">
        <v>1</v>
      </c>
      <c r="L627" t="inlineStr">
        <is>
          <t>partial</t>
        </is>
      </c>
      <c r="M627" t="inlineStr">
        <is>
          <t>partial</t>
        </is>
      </c>
      <c r="N627" t="inlineStr">
        <is>
          <t>partial</t>
        </is>
      </c>
      <c r="O627" t="inlineStr">
        <is>
          <t>partial</t>
        </is>
      </c>
      <c r="P627" t="b">
        <v>1</v>
      </c>
    </row>
    <row r="628">
      <c r="A628" t="inlineStr">
        <is>
          <t>pet memorial gift</t>
        </is>
      </c>
      <c r="B628" t="inlineStr"/>
      <c r="C628" t="n">
        <v>766971224</v>
      </c>
      <c r="D628">
        <f>HYPERLINK("https://www.etsy.com/listing/766971224", "link")</f>
        <v/>
      </c>
      <c r="E628">
        <f>HYPERLINK("https://atlas.etsycorp.com/listing/766971224/lookup", "link")</f>
        <v/>
      </c>
      <c r="F628" t="inlineStr">
        <is>
          <t>Red flowers hair memorial ring, Bespoke keepsake jewellery, Lock of hair ring, Custom Memorial Gift, Horse hair ring, Loss of Mum Dad</t>
        </is>
      </c>
      <c r="G628" t="inlineStr">
        <is>
          <t>Eu5JqUcq6Gpz90KoaoETru8ux5b7</t>
        </is>
      </c>
      <c r="H628" t="inlineStr">
        <is>
          <t>boe</t>
        </is>
      </c>
      <c r="I628" t="inlineStr">
        <is>
          <t>en-US</t>
        </is>
      </c>
      <c r="J628" t="inlineStr">
        <is>
          <t>us_v2-gift</t>
        </is>
      </c>
      <c r="K628" t="b">
        <v>1</v>
      </c>
      <c r="L628" t="inlineStr">
        <is>
          <t>not_relevant</t>
        </is>
      </c>
      <c r="M628" t="inlineStr">
        <is>
          <t>not_relevant</t>
        </is>
      </c>
      <c r="N628" t="inlineStr">
        <is>
          <t>not_relevant</t>
        </is>
      </c>
      <c r="O628" t="inlineStr">
        <is>
          <t>not_relevant</t>
        </is>
      </c>
      <c r="P628" t="b">
        <v>1</v>
      </c>
    </row>
    <row r="629">
      <c r="A629" t="inlineStr">
        <is>
          <t>hacienda bench</t>
        </is>
      </c>
      <c r="B629" t="inlineStr"/>
      <c r="C629" t="n">
        <v>1392637457</v>
      </c>
      <c r="D629">
        <f>HYPERLINK("https://www.etsy.com/listing/1392637457", "link")</f>
        <v/>
      </c>
      <c r="E629">
        <f>HYPERLINK("https://atlas.etsycorp.com/listing/1392637457/lookup", "link")</f>
        <v/>
      </c>
      <c r="F629" t="inlineStr">
        <is>
          <t>Vintage Twin Size Headboard with Faux Bamboo Carving and Castors - 2 of 2</t>
        </is>
      </c>
      <c r="G629" t="inlineStr">
        <is>
          <t>Eu8IURZRzPApUigpHZUkacW5o59b</t>
        </is>
      </c>
      <c r="H629" t="inlineStr">
        <is>
          <t>boe</t>
        </is>
      </c>
      <c r="I629" t="inlineStr">
        <is>
          <t>en-US</t>
        </is>
      </c>
      <c r="J629" t="inlineStr">
        <is>
          <t>us_v2-direct_unspecified</t>
        </is>
      </c>
      <c r="K629" t="b">
        <v>1</v>
      </c>
      <c r="L629" t="inlineStr">
        <is>
          <t>partial</t>
        </is>
      </c>
      <c r="M629" t="inlineStr">
        <is>
          <t>not_relevant</t>
        </is>
      </c>
      <c r="N629" t="inlineStr">
        <is>
          <t>partial</t>
        </is>
      </c>
      <c r="O629" t="inlineStr">
        <is>
          <t>partial</t>
        </is>
      </c>
      <c r="P629" t="b">
        <v>1</v>
      </c>
    </row>
    <row r="630">
      <c r="A630" t="inlineStr">
        <is>
          <t>golden wedding garden gifts</t>
        </is>
      </c>
      <c r="B630" t="inlineStr"/>
      <c r="C630" t="n">
        <v>1493101315</v>
      </c>
      <c r="D630">
        <f>HYPERLINK("https://www.etsy.com/listing/1493101315", "link")</f>
        <v/>
      </c>
      <c r="E630">
        <f>HYPERLINK("https://atlas.etsycorp.com/listing/1493101315/lookup", "link")</f>
        <v/>
      </c>
      <c r="F630" t="inlineStr">
        <is>
          <t>Clear Gold Zircon &amp; Mirrors Organza Zari Embroidered Indian Embellished Lace Trim for Dupatta Sari Lehenga Gown Dress Plazo, 5 Cm Wide</t>
        </is>
      </c>
      <c r="G630" t="inlineStr">
        <is>
          <t>Eu4_gde60jASZg0KWiBkAm6Ztbc2</t>
        </is>
      </c>
      <c r="H630" t="inlineStr">
        <is>
          <t>web</t>
        </is>
      </c>
      <c r="I630" t="inlineStr">
        <is>
          <t>en-US</t>
        </is>
      </c>
      <c r="J630" t="inlineStr">
        <is>
          <t>us_v2-gift</t>
        </is>
      </c>
      <c r="K630" t="b">
        <v>1</v>
      </c>
      <c r="L630" t="inlineStr">
        <is>
          <t>not_relevant</t>
        </is>
      </c>
      <c r="M630" t="inlineStr">
        <is>
          <t>not_relevant</t>
        </is>
      </c>
      <c r="N630" t="inlineStr">
        <is>
          <t>not_relevant</t>
        </is>
      </c>
      <c r="O630" t="inlineStr">
        <is>
          <t>not_relevant</t>
        </is>
      </c>
      <c r="P630" t="b">
        <v>1</v>
      </c>
    </row>
    <row r="631">
      <c r="A631" t="inlineStr">
        <is>
          <t>jga verlauf</t>
        </is>
      </c>
      <c r="B631" t="inlineStr">
        <is>
          <t>jga course</t>
        </is>
      </c>
      <c r="C631" t="n">
        <v>1251570325</v>
      </c>
      <c r="D631">
        <f>HYPERLINK("https://www.etsy.com/listing/1251570325", "link")</f>
        <v/>
      </c>
      <c r="E631">
        <f>HYPERLINK("https://atlas.etsycorp.com/listing/1251570325/lookup", "link")</f>
        <v/>
      </c>
      <c r="F631" t="inlineStr">
        <is>
          <t>5 JGA games, set; JGA women; printable games; Digital templates in DIN A4; Hen party games</t>
        </is>
      </c>
      <c r="G631" t="inlineStr">
        <is>
          <t>Eur4uITzQx0t9r0UkLpsoxHE8x7e</t>
        </is>
      </c>
      <c r="H631" t="inlineStr">
        <is>
          <t>boe</t>
        </is>
      </c>
      <c r="I631" t="inlineStr">
        <is>
          <t>de</t>
        </is>
      </c>
      <c r="J631" t="inlineStr">
        <is>
          <t>intl-de</t>
        </is>
      </c>
      <c r="K631" t="b">
        <v>1</v>
      </c>
      <c r="L631" t="inlineStr">
        <is>
          <t>relevant</t>
        </is>
      </c>
      <c r="M631" t="inlineStr">
        <is>
          <t>relevant</t>
        </is>
      </c>
      <c r="N631" t="inlineStr">
        <is>
          <t>relevant</t>
        </is>
      </c>
      <c r="O631" t="inlineStr">
        <is>
          <t>partial</t>
        </is>
      </c>
      <c r="P631" t="b">
        <v>1</v>
      </c>
    </row>
    <row r="632">
      <c r="A632" t="inlineStr">
        <is>
          <t>Custom womens clothing</t>
        </is>
      </c>
      <c r="B632" t="inlineStr">
        <is>
          <t>Custom womens clothing</t>
        </is>
      </c>
      <c r="C632" t="n">
        <v>770386336</v>
      </c>
      <c r="D632">
        <f>HYPERLINK("https://www.etsy.com/listing/770386336", "link")</f>
        <v/>
      </c>
      <c r="E632">
        <f>HYPERLINK("https://atlas.etsycorp.com/listing/770386336/lookup", "link")</f>
        <v/>
      </c>
      <c r="F632" t="inlineStr">
        <is>
          <t xml:space="preserve">Custom Family Portrait, Family Illustration, Personalized Portrait, Anniversary Gift, Fathers Day, Mothers Day, Family Art Print </t>
        </is>
      </c>
      <c r="G632" t="inlineStr">
        <is>
          <t>Eu9p9d4VugBaThBiNFdjdyFBms50</t>
        </is>
      </c>
      <c r="H632" t="inlineStr">
        <is>
          <t>boe</t>
        </is>
      </c>
      <c r="I632" t="inlineStr">
        <is>
          <t>fr</t>
        </is>
      </c>
      <c r="J632" t="inlineStr">
        <is>
          <t>intl-fr</t>
        </is>
      </c>
      <c r="K632" t="b">
        <v>1</v>
      </c>
      <c r="L632" t="inlineStr">
        <is>
          <t>not_relevant</t>
        </is>
      </c>
      <c r="M632" t="inlineStr">
        <is>
          <t>not_relevant</t>
        </is>
      </c>
      <c r="N632" t="inlineStr">
        <is>
          <t>not_relevant</t>
        </is>
      </c>
      <c r="O632" t="inlineStr">
        <is>
          <t>not_relevant</t>
        </is>
      </c>
      <c r="P632" t="b">
        <v>1</v>
      </c>
    </row>
    <row r="633">
      <c r="A633" t="inlineStr">
        <is>
          <t>baseball card binder</t>
        </is>
      </c>
      <c r="B633" t="inlineStr"/>
      <c r="C633" t="n">
        <v>1543739922</v>
      </c>
      <c r="D633">
        <f>HYPERLINK("https://www.etsy.com/listing/1543739922", "link")</f>
        <v/>
      </c>
      <c r="E633">
        <f>HYPERLINK("https://atlas.etsycorp.com/listing/1543739922/lookup", "link")</f>
        <v/>
      </c>
      <c r="F633" t="inlineStr">
        <is>
          <t>Personalized Christmas Card Holder, Greeting Card Keeper, Birthday, Wedding Card Display Storage, Card Album, Christmas Keepsake Card book</t>
        </is>
      </c>
      <c r="G633" t="inlineStr">
        <is>
          <t>EurjskWLzhcMR1IVUYAcsRgv15bd</t>
        </is>
      </c>
      <c r="H633" t="inlineStr">
        <is>
          <t>web</t>
        </is>
      </c>
      <c r="I633" t="inlineStr">
        <is>
          <t>en-US</t>
        </is>
      </c>
      <c r="J633" t="inlineStr">
        <is>
          <t>us_v2-direct_unspecified</t>
        </is>
      </c>
      <c r="K633" t="b">
        <v>1</v>
      </c>
      <c r="L633" t="inlineStr">
        <is>
          <t>partial</t>
        </is>
      </c>
      <c r="M633" t="inlineStr">
        <is>
          <t>not_relevant</t>
        </is>
      </c>
      <c r="N633" t="inlineStr">
        <is>
          <t>partial</t>
        </is>
      </c>
      <c r="O633" t="inlineStr">
        <is>
          <t>partial</t>
        </is>
      </c>
      <c r="P633" t="b">
        <v>1</v>
      </c>
    </row>
    <row r="634">
      <c r="A634" t="inlineStr">
        <is>
          <t>engraved dog tag</t>
        </is>
      </c>
      <c r="B634" t="inlineStr"/>
      <c r="C634" t="n">
        <v>1157168266</v>
      </c>
      <c r="D634">
        <f>HYPERLINK("https://www.etsy.com/listing/1157168266", "link")</f>
        <v/>
      </c>
      <c r="E634">
        <f>HYPERLINK("https://atlas.etsycorp.com/listing/1157168266/lookup", "link")</f>
        <v/>
      </c>
      <c r="F634" t="inlineStr">
        <is>
          <t>Personalised Dogtag Necklace for a Man, Paw, Cat, Dog Loss, Memorial,  Engraved, Sympathy  Gift</t>
        </is>
      </c>
      <c r="G634" t="inlineStr">
        <is>
          <t>Euk0dPODxLH2yvXmHG3rIVYX4685</t>
        </is>
      </c>
      <c r="H634" t="inlineStr">
        <is>
          <t>boe</t>
        </is>
      </c>
      <c r="I634" t="inlineStr">
        <is>
          <t>en-GB</t>
        </is>
      </c>
      <c r="J634" t="inlineStr">
        <is>
          <t>us_v2-direct_specified</t>
        </is>
      </c>
      <c r="K634" t="b">
        <v>1</v>
      </c>
      <c r="L634" t="inlineStr">
        <is>
          <t>relevant</t>
        </is>
      </c>
      <c r="M634" t="inlineStr">
        <is>
          <t>relevant</t>
        </is>
      </c>
      <c r="N634" t="inlineStr">
        <is>
          <t>relevant</t>
        </is>
      </c>
      <c r="O634" t="inlineStr">
        <is>
          <t>relevant</t>
        </is>
      </c>
      <c r="P634" t="b">
        <v>1</v>
      </c>
    </row>
    <row r="635">
      <c r="A635" t="inlineStr">
        <is>
          <t>rectangular cushion covers uk</t>
        </is>
      </c>
      <c r="B635" t="inlineStr"/>
      <c r="C635" t="n">
        <v>1340337007</v>
      </c>
      <c r="D635">
        <f>HYPERLINK("https://www.etsy.com/listing/1340337007", "link")</f>
        <v/>
      </c>
      <c r="E635">
        <f>HYPERLINK("https://atlas.etsycorp.com/listing/1340337007/lookup", "link")</f>
        <v/>
      </c>
      <c r="F635" t="inlineStr">
        <is>
          <t>Satin TEAL Cushion Cover Rectangle Bolster Size 12&amp;quot;x20&amp;quot; Luxury Collection Harlequin Fabric Double Sided Handmade in UK Satin Textured Look</t>
        </is>
      </c>
      <c r="G635" t="inlineStr">
        <is>
          <t>EuGtgPFuJZNy7abLpqR78YC57Qc8</t>
        </is>
      </c>
      <c r="H635" t="inlineStr">
        <is>
          <t>web</t>
        </is>
      </c>
      <c r="I635" t="inlineStr">
        <is>
          <t>en-GB</t>
        </is>
      </c>
      <c r="J635" t="inlineStr">
        <is>
          <t>us_v2-direct_specified</t>
        </is>
      </c>
      <c r="K635" t="b">
        <v>1</v>
      </c>
      <c r="L635" t="inlineStr">
        <is>
          <t>relevant</t>
        </is>
      </c>
      <c r="M635" t="inlineStr">
        <is>
          <t>relevant</t>
        </is>
      </c>
      <c r="N635" t="inlineStr">
        <is>
          <t>relevant</t>
        </is>
      </c>
      <c r="O635" t="inlineStr">
        <is>
          <t>relevant</t>
        </is>
      </c>
      <c r="P635" t="b">
        <v>1</v>
      </c>
    </row>
    <row r="636">
      <c r="A636" t="inlineStr">
        <is>
          <t>sissy lingerie</t>
        </is>
      </c>
      <c r="B636" t="inlineStr"/>
      <c r="C636" t="n">
        <v>1626083232</v>
      </c>
      <c r="D636">
        <f>HYPERLINK("https://www.etsy.com/listing/1626083232", "link")</f>
        <v/>
      </c>
      <c r="E636">
        <f>HYPERLINK("https://atlas.etsycorp.com/listing/1626083232/lookup", "link")</f>
        <v/>
      </c>
      <c r="F636" t="inlineStr">
        <is>
          <t>Sissy Lingerie / Femboy Panty With Pouch and Stockings / Men&amp;#39;s Femboy Panty / Femboy Lingerie / Sissy Lingerie For Men</t>
        </is>
      </c>
      <c r="G636" t="inlineStr">
        <is>
          <t>EuJC-IS3Fxu2DMu5U0DuiATrZce2</t>
        </is>
      </c>
      <c r="H636" t="inlineStr">
        <is>
          <t>boe</t>
        </is>
      </c>
      <c r="I636" t="inlineStr">
        <is>
          <t>en-US</t>
        </is>
      </c>
      <c r="J636" t="inlineStr">
        <is>
          <t>us_v2-direct_specified</t>
        </is>
      </c>
      <c r="K636" t="b">
        <v>1</v>
      </c>
      <c r="L636" t="inlineStr">
        <is>
          <t>relevant</t>
        </is>
      </c>
      <c r="M636" t="inlineStr">
        <is>
          <t>relevant</t>
        </is>
      </c>
      <c r="N636" t="inlineStr">
        <is>
          <t>relevant</t>
        </is>
      </c>
      <c r="O636" t="inlineStr">
        <is>
          <t>relevant</t>
        </is>
      </c>
      <c r="P636" t="b">
        <v>1</v>
      </c>
    </row>
    <row r="637">
      <c r="A637" t="inlineStr">
        <is>
          <t>éventail personnalisé</t>
        </is>
      </c>
      <c r="B637" t="inlineStr">
        <is>
          <t>personalized fan</t>
        </is>
      </c>
      <c r="C637" t="n">
        <v>1364866122</v>
      </c>
      <c r="D637">
        <f>HYPERLINK("https://www.etsy.com/listing/1364866122", "link")</f>
        <v/>
      </c>
      <c r="E637">
        <f>HYPERLINK("https://atlas.etsycorp.com/listing/1364866122/lookup", "link")</f>
        <v/>
      </c>
      <c r="F637" t="inlineStr">
        <is>
          <t>Primavera red handcrafted fan in pear wood and cotton fabric, hand fan for women, personalized engraving offered!</t>
        </is>
      </c>
      <c r="G637" t="inlineStr">
        <is>
          <t>EuJOPDcjnF_Mj59KOyeb9UJ2kW15</t>
        </is>
      </c>
      <c r="H637" t="inlineStr">
        <is>
          <t>web</t>
        </is>
      </c>
      <c r="I637" t="inlineStr">
        <is>
          <t>fr</t>
        </is>
      </c>
      <c r="J637" t="inlineStr">
        <is>
          <t>intl-fr</t>
        </is>
      </c>
      <c r="K637" t="b">
        <v>1</v>
      </c>
      <c r="L637" t="inlineStr">
        <is>
          <t>relevant</t>
        </is>
      </c>
      <c r="M637" t="inlineStr">
        <is>
          <t>relevant</t>
        </is>
      </c>
      <c r="N637" t="inlineStr">
        <is>
          <t>relevant</t>
        </is>
      </c>
      <c r="O637" t="inlineStr">
        <is>
          <t>relevant</t>
        </is>
      </c>
      <c r="P637" t="b">
        <v>1</v>
      </c>
    </row>
    <row r="638">
      <c r="A638" t="inlineStr">
        <is>
          <t>porta volantini pelle</t>
        </is>
      </c>
      <c r="B638" t="inlineStr">
        <is>
          <t>leather flyer holder</t>
        </is>
      </c>
      <c r="C638" t="n">
        <v>1453758553</v>
      </c>
      <c r="D638">
        <f>HYPERLINK("https://www.etsy.com/listing/1453758553", "link")</f>
        <v/>
      </c>
      <c r="E638">
        <f>HYPERLINK("https://atlas.etsycorp.com/listing/1453758553/lookup", "link")</f>
        <v/>
      </c>
      <c r="F638" t="inlineStr">
        <is>
          <t>NEW - JW Ministry organizer for tracts - Faux leather tract holder, RED color, Pockets for tracts and for business card, Pioneer gift</t>
        </is>
      </c>
      <c r="G638" t="inlineStr">
        <is>
          <t>EudtVcJ8CAoHwf1feLMgmqysQRaf</t>
        </is>
      </c>
      <c r="H638" t="inlineStr">
        <is>
          <t>boe</t>
        </is>
      </c>
      <c r="I638" t="inlineStr">
        <is>
          <t>it</t>
        </is>
      </c>
      <c r="J638" t="inlineStr">
        <is>
          <t>intl-it</t>
        </is>
      </c>
      <c r="K638" t="b">
        <v>1</v>
      </c>
      <c r="L638" t="inlineStr">
        <is>
          <t>partial</t>
        </is>
      </c>
      <c r="M638" t="inlineStr">
        <is>
          <t>not_relevant</t>
        </is>
      </c>
      <c r="N638" t="inlineStr">
        <is>
          <t>partial</t>
        </is>
      </c>
      <c r="O638" t="inlineStr">
        <is>
          <t>partial</t>
        </is>
      </c>
      <c r="P638" t="b">
        <v>1</v>
      </c>
    </row>
    <row r="639">
      <c r="A639" t="inlineStr">
        <is>
          <t>new wife initial stuff</t>
        </is>
      </c>
      <c r="B639" t="inlineStr"/>
      <c r="C639" t="n">
        <v>1318633499</v>
      </c>
      <c r="D639">
        <f>HYPERLINK("https://www.etsy.com/listing/1318633499", "link")</f>
        <v/>
      </c>
      <c r="E639">
        <f>HYPERLINK("https://atlas.etsycorp.com/listing/1318633499/lookup", "link")</f>
        <v/>
      </c>
      <c r="F639" t="inlineStr">
        <is>
          <t>WIFEY est 2022, HUBBY est 2022 T Shirt , Engagement Gift, Wedding Gift, Engagement Announcement, Wife Tee, Personalised wedding hen do gift</t>
        </is>
      </c>
      <c r="G639" t="inlineStr">
        <is>
          <t>Eu42BQXIefxHvivOkNpbBOEBjIf3</t>
        </is>
      </c>
      <c r="H639" t="inlineStr">
        <is>
          <t>web</t>
        </is>
      </c>
      <c r="I639" t="inlineStr">
        <is>
          <t>en-GB</t>
        </is>
      </c>
      <c r="J639" t="inlineStr">
        <is>
          <t>us_v2-direct_unspecified</t>
        </is>
      </c>
      <c r="K639" t="b">
        <v>1</v>
      </c>
      <c r="L639" t="inlineStr">
        <is>
          <t>partial</t>
        </is>
      </c>
      <c r="M639" t="inlineStr">
        <is>
          <t>not_relevant</t>
        </is>
      </c>
      <c r="N639" t="inlineStr">
        <is>
          <t>partial</t>
        </is>
      </c>
      <c r="O639" t="inlineStr">
        <is>
          <t>partial</t>
        </is>
      </c>
      <c r="P639" t="b">
        <v>1</v>
      </c>
    </row>
    <row r="640">
      <c r="A640" t="inlineStr">
        <is>
          <t>panerai watch</t>
        </is>
      </c>
      <c r="B640" t="inlineStr"/>
      <c r="C640" t="n">
        <v>544221749</v>
      </c>
      <c r="D640">
        <f>HYPERLINK("https://www.etsy.com/listing/544221749", "link")</f>
        <v/>
      </c>
      <c r="E640">
        <f>HYPERLINK("https://atlas.etsycorp.com/listing/544221749/lookup", "link")</f>
        <v/>
      </c>
      <c r="F640" t="inlineStr">
        <is>
          <t>MA watch strap 26 24 22 mm Old Malaga Black I Genuine Calf Saddle Leather Vintage Band fits Panerai etc</t>
        </is>
      </c>
      <c r="G640" t="inlineStr">
        <is>
          <t>EumTLP50oiAMWm1dXdrztoQ0mC65</t>
        </is>
      </c>
      <c r="H640" t="inlineStr">
        <is>
          <t>boe</t>
        </is>
      </c>
      <c r="I640" t="inlineStr">
        <is>
          <t>en-GB</t>
        </is>
      </c>
      <c r="J640" t="inlineStr">
        <is>
          <t>us_v2-direct_unspecified</t>
        </is>
      </c>
      <c r="K640" t="b">
        <v>1</v>
      </c>
      <c r="L640" t="inlineStr">
        <is>
          <t>partial</t>
        </is>
      </c>
      <c r="M640" t="inlineStr">
        <is>
          <t>relevant</t>
        </is>
      </c>
      <c r="N640" t="inlineStr">
        <is>
          <t>partial</t>
        </is>
      </c>
      <c r="O640" t="inlineStr">
        <is>
          <t>partial</t>
        </is>
      </c>
      <c r="P640" t="b">
        <v>1</v>
      </c>
    </row>
    <row r="641">
      <c r="A641" t="inlineStr">
        <is>
          <t>groomsmen gifts box nike</t>
        </is>
      </c>
      <c r="B641" t="inlineStr"/>
      <c r="C641" t="n">
        <v>628019335</v>
      </c>
      <c r="D641">
        <f>HYPERLINK("https://www.etsy.com/listing/628019335", "link")</f>
        <v/>
      </c>
      <c r="E641">
        <f>HYPERLINK("https://atlas.etsycorp.com/listing/628019335/lookup", "link")</f>
        <v/>
      </c>
      <c r="F641" t="inlineStr">
        <is>
          <t>GROOMSDAY Boxer Briefs! Printed Groomsman Boxer Briefs / Groomsmen Underwear</t>
        </is>
      </c>
      <c r="G641" t="inlineStr">
        <is>
          <t>EuNqkMR9rS4Q6_b7QD08DY3Xk22a</t>
        </is>
      </c>
      <c r="H641" t="inlineStr">
        <is>
          <t>web</t>
        </is>
      </c>
      <c r="I641" t="inlineStr">
        <is>
          <t>en-US</t>
        </is>
      </c>
      <c r="J641" t="inlineStr">
        <is>
          <t>us_v2-gift</t>
        </is>
      </c>
      <c r="K641" t="b">
        <v>1</v>
      </c>
      <c r="L641" t="inlineStr">
        <is>
          <t>not_relevant</t>
        </is>
      </c>
      <c r="M641" t="inlineStr">
        <is>
          <t>not_relevant</t>
        </is>
      </c>
      <c r="N641" t="inlineStr">
        <is>
          <t>not_relevant</t>
        </is>
      </c>
      <c r="O641" t="inlineStr">
        <is>
          <t>not_relevant</t>
        </is>
      </c>
      <c r="P641" t="b">
        <v>1</v>
      </c>
    </row>
    <row r="642">
      <c r="A642" t="inlineStr">
        <is>
          <t>Searching for vintage items on Etsy</t>
        </is>
      </c>
      <c r="B642" t="inlineStr"/>
      <c r="C642" t="n">
        <v>1203282892</v>
      </c>
      <c r="D642">
        <f>HYPERLINK("https://www.etsy.com/listing/1203282892", "link")</f>
        <v/>
      </c>
      <c r="E642">
        <f>HYPERLINK("https://atlas.etsycorp.com/listing/1203282892/lookup", "link")</f>
        <v/>
      </c>
      <c r="F642" t="inlineStr">
        <is>
          <t>3/4” or larger matte Trinkets for I Spy Bags and Bottles, sensory bins, teaching, education, games, tiny toys- No Duplicates</t>
        </is>
      </c>
      <c r="G642" t="inlineStr">
        <is>
          <t>Eu947E76laA8Kzg0t0li1kEG4Hc7</t>
        </is>
      </c>
      <c r="H642" t="inlineStr">
        <is>
          <t>boe</t>
        </is>
      </c>
      <c r="I642" t="inlineStr">
        <is>
          <t>en-US</t>
        </is>
      </c>
      <c r="J642" t="inlineStr">
        <is>
          <t>us_v2-broad</t>
        </is>
      </c>
      <c r="K642" t="b">
        <v>1</v>
      </c>
      <c r="L642" t="inlineStr">
        <is>
          <t>not_relevant</t>
        </is>
      </c>
      <c r="M642" t="inlineStr">
        <is>
          <t>partial</t>
        </is>
      </c>
      <c r="N642" t="inlineStr">
        <is>
          <t>not_relevant</t>
        </is>
      </c>
      <c r="O642" t="inlineStr">
        <is>
          <t>not_relevant</t>
        </is>
      </c>
      <c r="P642" t="b">
        <v>1</v>
      </c>
    </row>
    <row r="643">
      <c r="A643" t="inlineStr">
        <is>
          <t>party crackers</t>
        </is>
      </c>
      <c r="B643" t="inlineStr"/>
      <c r="C643" t="n">
        <v>1006557594</v>
      </c>
      <c r="D643">
        <f>HYPERLINK("https://www.etsy.com/listing/1006557594", "link")</f>
        <v/>
      </c>
      <c r="E643">
        <f>HYPERLINK("https://atlas.etsycorp.com/listing/1006557594/lookup", "link")</f>
        <v/>
      </c>
      <c r="F643" t="inlineStr">
        <is>
          <t>Safari Guess How Many Game Sign, Animal Crackers in a jar, Wild one Safari Birthday, Safari animals Birthday Signs, Girl Party Safari Theme</t>
        </is>
      </c>
      <c r="G643" t="inlineStr">
        <is>
          <t>Eu-G7OMSr-iM5tHiLmKdQPGmEVd5</t>
        </is>
      </c>
      <c r="H643" t="inlineStr">
        <is>
          <t>boe</t>
        </is>
      </c>
      <c r="I643" t="inlineStr">
        <is>
          <t>en-US</t>
        </is>
      </c>
      <c r="J643" t="inlineStr">
        <is>
          <t>us_v2-direct_unspecified</t>
        </is>
      </c>
      <c r="K643" t="b">
        <v>1</v>
      </c>
      <c r="L643" t="inlineStr">
        <is>
          <t>partial</t>
        </is>
      </c>
      <c r="M643" t="inlineStr">
        <is>
          <t>relevant</t>
        </is>
      </c>
      <c r="N643" t="inlineStr">
        <is>
          <t>partial</t>
        </is>
      </c>
      <c r="O643" t="inlineStr">
        <is>
          <t>partial</t>
        </is>
      </c>
      <c r="P643" t="b">
        <v>1</v>
      </c>
    </row>
    <row r="644">
      <c r="A644" t="inlineStr">
        <is>
          <t>mothersday hand</t>
        </is>
      </c>
      <c r="B644" t="inlineStr"/>
      <c r="C644" t="n">
        <v>1577071664</v>
      </c>
      <c r="D644">
        <f>HYPERLINK("https://www.etsy.com/listing/1577071664", "link")</f>
        <v/>
      </c>
      <c r="E644">
        <f>HYPERLINK("https://atlas.etsycorp.com/listing/1577071664/lookup", "link")</f>
        <v/>
      </c>
      <c r="F644" t="inlineStr">
        <is>
          <t>Pink Peony Tablecloth for the perfect table setting. It has a vibrant floral pattern like no other!</t>
        </is>
      </c>
      <c r="G644" t="inlineStr">
        <is>
          <t>EuXLomRRjEW3AC4-iF5LL-iNhyf9</t>
        </is>
      </c>
      <c r="H644" t="inlineStr">
        <is>
          <t>web</t>
        </is>
      </c>
      <c r="I644" t="inlineStr">
        <is>
          <t>en-US</t>
        </is>
      </c>
      <c r="J644" t="inlineStr">
        <is>
          <t>us_v2-direct_unspecified</t>
        </is>
      </c>
      <c r="K644" t="b">
        <v>1</v>
      </c>
      <c r="L644" t="inlineStr">
        <is>
          <t>not_relevant</t>
        </is>
      </c>
      <c r="M644" t="inlineStr">
        <is>
          <t>not_relevant</t>
        </is>
      </c>
      <c r="N644" t="inlineStr">
        <is>
          <t>not_relevant</t>
        </is>
      </c>
      <c r="O644" t="inlineStr">
        <is>
          <t>not_relevant</t>
        </is>
      </c>
      <c r="P644" t="b">
        <v>1</v>
      </c>
    </row>
    <row r="645">
      <c r="A645" t="inlineStr">
        <is>
          <t>blaze double bridge</t>
        </is>
      </c>
      <c r="B645" t="inlineStr"/>
      <c r="C645" t="n">
        <v>847544997</v>
      </c>
      <c r="D645">
        <f>HYPERLINK("https://www.etsy.com/listing/847544997", "link")</f>
        <v/>
      </c>
      <c r="E645">
        <f>HYPERLINK("https://atlas.etsycorp.com/listing/847544997/lookup", "link")</f>
        <v/>
      </c>
      <c r="F645" t="inlineStr">
        <is>
          <t>Leather Double Wrap Watch Band Fit for Apple Ultra, SE, 44mm, 42mm, 41mm, 40mm, 38mm, Badalassi Carlo Pueblo Olmo Leather 2.5 mm Thick</t>
        </is>
      </c>
      <c r="G645" t="inlineStr">
        <is>
          <t>EuBR35QU6uXQY-5OKdXN_Ho7nAae</t>
        </is>
      </c>
      <c r="H645" t="inlineStr">
        <is>
          <t>boe</t>
        </is>
      </c>
      <c r="I645" t="inlineStr">
        <is>
          <t>en-US</t>
        </is>
      </c>
      <c r="J645" t="inlineStr">
        <is>
          <t>us_v2-direct_specified</t>
        </is>
      </c>
      <c r="K645" t="b">
        <v>1</v>
      </c>
      <c r="L645" t="inlineStr">
        <is>
          <t>not_relevant</t>
        </is>
      </c>
      <c r="M645" t="inlineStr">
        <is>
          <t>not_relevant</t>
        </is>
      </c>
      <c r="N645" t="inlineStr">
        <is>
          <t>not_relevant</t>
        </is>
      </c>
      <c r="O645" t="inlineStr">
        <is>
          <t>not_relevant</t>
        </is>
      </c>
      <c r="P645" t="b">
        <v>1</v>
      </c>
    </row>
    <row r="646">
      <c r="A646" t="inlineStr">
        <is>
          <t>gumpaste flower spray for birthday cake</t>
        </is>
      </c>
      <c r="B646" t="inlineStr"/>
      <c r="C646" t="n">
        <v>1582246967</v>
      </c>
      <c r="D646">
        <f>HYPERLINK("https://www.etsy.com/listing/1582246967", "link")</f>
        <v/>
      </c>
      <c r="E646">
        <f>HYPERLINK("https://atlas.etsycorp.com/listing/1582246967/lookup", "link")</f>
        <v/>
      </c>
      <c r="F646" t="inlineStr">
        <is>
          <t>Triple Rose Cake Topper with buds and leaves</t>
        </is>
      </c>
      <c r="G646" t="inlineStr">
        <is>
          <t>Eut2aImSGZZj5ri8gbGUxlTMkGe5</t>
        </is>
      </c>
      <c r="H646" t="inlineStr">
        <is>
          <t>web</t>
        </is>
      </c>
      <c r="I646" t="inlineStr">
        <is>
          <t>en-US</t>
        </is>
      </c>
      <c r="J646" t="inlineStr">
        <is>
          <t>us_v2-direct_unspecified</t>
        </is>
      </c>
      <c r="K646" t="b">
        <v>1</v>
      </c>
      <c r="L646" t="inlineStr">
        <is>
          <t>partial</t>
        </is>
      </c>
      <c r="M646" t="inlineStr">
        <is>
          <t>partial</t>
        </is>
      </c>
      <c r="N646" t="inlineStr">
        <is>
          <t>relevant</t>
        </is>
      </c>
      <c r="O646" t="inlineStr">
        <is>
          <t>partial</t>
        </is>
      </c>
      <c r="P646" t="b">
        <v>1</v>
      </c>
    </row>
    <row r="647">
      <c r="A647" t="inlineStr">
        <is>
          <t>easter egg hunt cards</t>
        </is>
      </c>
      <c r="B647" t="inlineStr"/>
      <c r="C647" t="n">
        <v>584548569</v>
      </c>
      <c r="D647">
        <f>HYPERLINK("https://www.etsy.com/listing/584548569", "link")</f>
        <v/>
      </c>
      <c r="E647">
        <f>HYPERLINK("https://atlas.etsycorp.com/listing/584548569/lookup", "link")</f>
        <v/>
      </c>
      <c r="F647" t="inlineStr">
        <is>
          <t>Easter Eggs SVG files for Silhouette Cameo and Cricut. Easter Eggs clipart PNG transparent included. Spring cutting files. Decorative Eggs.</t>
        </is>
      </c>
      <c r="G647" t="inlineStr">
        <is>
          <t>EuNQEmj4Me_CjBHnaeNDZFmqHN9c</t>
        </is>
      </c>
      <c r="H647" t="inlineStr">
        <is>
          <t>web</t>
        </is>
      </c>
      <c r="I647" t="inlineStr">
        <is>
          <t>en-US</t>
        </is>
      </c>
      <c r="J647" t="inlineStr">
        <is>
          <t>us_v2-direct_unspecified</t>
        </is>
      </c>
      <c r="K647" t="b">
        <v>1</v>
      </c>
      <c r="L647" t="inlineStr">
        <is>
          <t>relevant</t>
        </is>
      </c>
      <c r="M647" t="inlineStr">
        <is>
          <t>relevant</t>
        </is>
      </c>
      <c r="N647" t="inlineStr">
        <is>
          <t>partial</t>
        </is>
      </c>
      <c r="O647" t="inlineStr">
        <is>
          <t>relevant</t>
        </is>
      </c>
      <c r="P647" t="b">
        <v>1</v>
      </c>
    </row>
    <row r="648">
      <c r="A648" t="inlineStr">
        <is>
          <t>personalised gin glass stemless</t>
        </is>
      </c>
      <c r="B648" t="inlineStr"/>
      <c r="C648" t="n">
        <v>1051860011</v>
      </c>
      <c r="D648">
        <f>HYPERLINK("https://www.etsy.com/listing/1051860011", "link")</f>
        <v/>
      </c>
      <c r="E648">
        <f>HYPERLINK("https://atlas.etsycorp.com/listing/1051860011/lookup", "link")</f>
        <v/>
      </c>
      <c r="F648" t="inlineStr">
        <is>
          <t>Personalised Engraved 21oz Pure Stemless Gin Tumbler with Gift Box, Personalise with Any Message</t>
        </is>
      </c>
      <c r="G648" t="inlineStr">
        <is>
          <t>EuPBd3C3aSZwRnlarMTre4sQVM52</t>
        </is>
      </c>
      <c r="H648" t="inlineStr">
        <is>
          <t>boe</t>
        </is>
      </c>
      <c r="I648" t="inlineStr">
        <is>
          <t>en-GB</t>
        </is>
      </c>
      <c r="J648" t="inlineStr">
        <is>
          <t>us_v2-direct_specified</t>
        </is>
      </c>
      <c r="K648" t="b">
        <v>1</v>
      </c>
      <c r="L648" t="inlineStr">
        <is>
          <t>relevant</t>
        </is>
      </c>
      <c r="M648" t="inlineStr">
        <is>
          <t>relevant</t>
        </is>
      </c>
      <c r="N648" t="inlineStr">
        <is>
          <t>relevant</t>
        </is>
      </c>
      <c r="O648" t="inlineStr">
        <is>
          <t>relevant</t>
        </is>
      </c>
      <c r="P648" t="b">
        <v>1</v>
      </c>
    </row>
    <row r="649">
      <c r="A649" t="inlineStr">
        <is>
          <t>travel accessories</t>
        </is>
      </c>
      <c r="B649" t="inlineStr">
        <is>
          <t>travel accessories</t>
        </is>
      </c>
      <c r="C649" t="n">
        <v>1572498116</v>
      </c>
      <c r="D649">
        <f>HYPERLINK("https://www.etsy.com/listing/1572498116", "link")</f>
        <v/>
      </c>
      <c r="E649">
        <f>HYPERLINK("https://atlas.etsycorp.com/listing/1572498116/lookup", "link")</f>
        <v/>
      </c>
      <c r="F649" t="inlineStr">
        <is>
          <t>College student gift, wooden robot toy, funny office decor, steampunk decor dorm room, decor desk accessories, geek</t>
        </is>
      </c>
      <c r="G649" t="inlineStr">
        <is>
          <t>Eu08CiTJQphd4vaAjmpblJbgo382</t>
        </is>
      </c>
      <c r="H649" t="inlineStr">
        <is>
          <t>boe</t>
        </is>
      </c>
      <c r="I649" t="inlineStr">
        <is>
          <t>it</t>
        </is>
      </c>
      <c r="J649" t="inlineStr">
        <is>
          <t>intl-it</t>
        </is>
      </c>
      <c r="K649" t="b">
        <v>1</v>
      </c>
      <c r="L649" t="inlineStr">
        <is>
          <t>not_relevant</t>
        </is>
      </c>
      <c r="M649" t="inlineStr">
        <is>
          <t>not_relevant</t>
        </is>
      </c>
      <c r="N649" t="inlineStr">
        <is>
          <t>not_relevant</t>
        </is>
      </c>
      <c r="O649" t="inlineStr">
        <is>
          <t>partial</t>
        </is>
      </c>
      <c r="P649" t="b">
        <v>1</v>
      </c>
    </row>
    <row r="650">
      <c r="A650" t="inlineStr">
        <is>
          <t>mortal kombat</t>
        </is>
      </c>
      <c r="B650" t="inlineStr">
        <is>
          <t>mortal kombat</t>
        </is>
      </c>
      <c r="C650" t="n">
        <v>1218863455</v>
      </c>
      <c r="D650">
        <f>HYPERLINK("https://www.etsy.com/listing/1218863455", "link")</f>
        <v/>
      </c>
      <c r="E650">
        <f>HYPERLINK("https://atlas.etsycorp.com/listing/1218863455/lookup", "link")</f>
        <v/>
      </c>
      <c r="F650" t="inlineStr">
        <is>
          <t>Liu Kang Hand Headphone Stand | Headphone Holder, Gaming, Room Decor, Office, Desktop | Mortal Kombat Liu Kang Hand Paintable Bust</t>
        </is>
      </c>
      <c r="G650" t="inlineStr">
        <is>
          <t>Euspoc-QsQc4m5NQwDIVRb6X3y4f</t>
        </is>
      </c>
      <c r="H650" t="inlineStr">
        <is>
          <t>boe</t>
        </is>
      </c>
      <c r="I650" t="inlineStr">
        <is>
          <t>fr</t>
        </is>
      </c>
      <c r="J650" t="inlineStr">
        <is>
          <t>intl-fr</t>
        </is>
      </c>
      <c r="K650" t="b">
        <v>1</v>
      </c>
      <c r="L650" t="inlineStr">
        <is>
          <t>relevant</t>
        </is>
      </c>
      <c r="M650" t="inlineStr">
        <is>
          <t>relevant</t>
        </is>
      </c>
      <c r="N650" t="inlineStr">
        <is>
          <t>relevant</t>
        </is>
      </c>
      <c r="O650" t="inlineStr">
        <is>
          <t>relevant</t>
        </is>
      </c>
      <c r="P650" t="b">
        <v>1</v>
      </c>
    </row>
    <row r="651">
      <c r="A651" t="inlineStr">
        <is>
          <t>trinket box 60th birthday</t>
        </is>
      </c>
      <c r="B651" t="inlineStr"/>
      <c r="C651" t="n">
        <v>600003183</v>
      </c>
      <c r="D651">
        <f>HYPERLINK("https://www.etsy.com/listing/600003183", "link")</f>
        <v/>
      </c>
      <c r="E651">
        <f>HYPERLINK("https://atlas.etsycorp.com/listing/600003183/lookup", "link")</f>
        <v/>
      </c>
      <c r="F651" t="inlineStr">
        <is>
          <t>Personalised Car Enthusiast gift / Mechanic / Fathers Day / Best Man. Also available as a Print, Canvas, Framed or Coaster</t>
        </is>
      </c>
      <c r="G651" t="inlineStr">
        <is>
          <t>Eu7o5JkEMqMRSkWe9Z3ueDD_V64c</t>
        </is>
      </c>
      <c r="H651" t="inlineStr">
        <is>
          <t>boe</t>
        </is>
      </c>
      <c r="I651" t="inlineStr">
        <is>
          <t>en-GB</t>
        </is>
      </c>
      <c r="J651" t="inlineStr">
        <is>
          <t>us_v2-direct_specified</t>
        </is>
      </c>
      <c r="K651" t="b">
        <v>1</v>
      </c>
      <c r="L651" t="inlineStr">
        <is>
          <t>not_relevant</t>
        </is>
      </c>
      <c r="M651" t="inlineStr">
        <is>
          <t>not_relevant</t>
        </is>
      </c>
      <c r="N651" t="inlineStr">
        <is>
          <t>not_relevant</t>
        </is>
      </c>
      <c r="O651" t="inlineStr">
        <is>
          <t>not_relevant</t>
        </is>
      </c>
      <c r="P651" t="b">
        <v>1</v>
      </c>
    </row>
    <row r="652">
      <c r="A652" t="inlineStr">
        <is>
          <t>wedding gift bar sign</t>
        </is>
      </c>
      <c r="B652" t="inlineStr"/>
      <c r="C652" t="n">
        <v>1536960888</v>
      </c>
      <c r="D652">
        <f>HYPERLINK("https://www.etsy.com/listing/1536960888", "link")</f>
        <v/>
      </c>
      <c r="E652">
        <f>HYPERLINK("https://atlas.etsycorp.com/listing/1536960888/lookup", "link")</f>
        <v/>
      </c>
      <c r="F652" t="inlineStr">
        <is>
          <t>Espresso Martini Bar Sign, Espresso Martini Cocktail Print, Signature Drink Bar Menu Template, Cocktail Poster, Modern Baby Shower bar sign</t>
        </is>
      </c>
      <c r="G652" t="inlineStr">
        <is>
          <t>EuPwiMmiCUXwytCOZwIIBIN5IBcb</t>
        </is>
      </c>
      <c r="H652" t="inlineStr">
        <is>
          <t>web</t>
        </is>
      </c>
      <c r="I652" t="inlineStr">
        <is>
          <t>en-US</t>
        </is>
      </c>
      <c r="J652" t="inlineStr">
        <is>
          <t>us_v2-direct_unspecified</t>
        </is>
      </c>
      <c r="K652" t="b">
        <v>1</v>
      </c>
      <c r="L652" t="inlineStr">
        <is>
          <t>relevant</t>
        </is>
      </c>
      <c r="M652" t="inlineStr">
        <is>
          <t>relevant</t>
        </is>
      </c>
      <c r="N652" t="inlineStr">
        <is>
          <t>relevant</t>
        </is>
      </c>
      <c r="O652" t="inlineStr">
        <is>
          <t>relevant</t>
        </is>
      </c>
      <c r="P652" t="b">
        <v>1</v>
      </c>
    </row>
    <row r="653">
      <c r="A653" t="inlineStr">
        <is>
          <t>gold earrings</t>
        </is>
      </c>
      <c r="B653" t="inlineStr"/>
      <c r="C653" t="n">
        <v>1182035732</v>
      </c>
      <c r="D653">
        <f>HYPERLINK("https://www.etsy.com/listing/1182035732", "link")</f>
        <v/>
      </c>
      <c r="E653">
        <f>HYPERLINK("https://atlas.etsycorp.com/listing/1182035732/lookup", "link")</f>
        <v/>
      </c>
      <c r="F653" t="inlineStr">
        <is>
          <t>Everyday Huggie Earrings by Caitlyn Minimalist • Minimalist Small Hoop Earrings, Perfect for Stacking • Cartilage Hoop • Sister Gift for Her</t>
        </is>
      </c>
      <c r="G653" t="inlineStr">
        <is>
          <t>EuA1ooV4Q0sTsZaCYp4no9xMgg66</t>
        </is>
      </c>
      <c r="H653" t="inlineStr">
        <is>
          <t>web</t>
        </is>
      </c>
      <c r="I653" t="inlineStr">
        <is>
          <t>en-US</t>
        </is>
      </c>
      <c r="J653" t="inlineStr">
        <is>
          <t>us_v2-direct_specified</t>
        </is>
      </c>
      <c r="K653" t="b">
        <v>1</v>
      </c>
      <c r="L653" t="inlineStr">
        <is>
          <t>relevant</t>
        </is>
      </c>
      <c r="M653" t="inlineStr">
        <is>
          <t>relevant</t>
        </is>
      </c>
      <c r="N653" t="inlineStr">
        <is>
          <t>relevant</t>
        </is>
      </c>
      <c r="O653" t="inlineStr">
        <is>
          <t>relevant</t>
        </is>
      </c>
      <c r="P653" t="b">
        <v>1</v>
      </c>
    </row>
    <row r="654">
      <c r="A654" t="inlineStr">
        <is>
          <t>first holy communion</t>
        </is>
      </c>
      <c r="B654" t="inlineStr"/>
      <c r="C654" t="n">
        <v>1126190159</v>
      </c>
      <c r="D654">
        <f>HYPERLINK("https://www.etsy.com/listing/1126190159", "link")</f>
        <v/>
      </c>
      <c r="E654">
        <f>HYPERLINK("https://atlas.etsycorp.com/listing/1126190159/lookup", "link")</f>
        <v/>
      </c>
      <c r="F654" t="inlineStr">
        <is>
          <t>First Holy Communion Decorations, Gold Holy Communion Decorations</t>
        </is>
      </c>
      <c r="G654" t="inlineStr">
        <is>
          <t>Eu_26Pu7ZiE_e2MyoCnzjaYQABf9</t>
        </is>
      </c>
      <c r="H654" t="inlineStr">
        <is>
          <t>web</t>
        </is>
      </c>
      <c r="I654" t="inlineStr">
        <is>
          <t>en-GB</t>
        </is>
      </c>
      <c r="J654" t="inlineStr">
        <is>
          <t>us_v2-broad</t>
        </is>
      </c>
      <c r="K654" t="b">
        <v>1</v>
      </c>
      <c r="L654" t="inlineStr">
        <is>
          <t>relevant</t>
        </is>
      </c>
      <c r="M654" t="inlineStr">
        <is>
          <t>relevant</t>
        </is>
      </c>
      <c r="N654" t="inlineStr">
        <is>
          <t>relevant</t>
        </is>
      </c>
      <c r="O654" t="inlineStr">
        <is>
          <t>relevant</t>
        </is>
      </c>
      <c r="P654" t="b">
        <v>1</v>
      </c>
    </row>
    <row r="655">
      <c r="A655" t="inlineStr">
        <is>
          <t>taylor swift lunch box</t>
        </is>
      </c>
      <c r="B655" t="inlineStr"/>
      <c r="C655" t="n">
        <v>1001619729</v>
      </c>
      <c r="D655">
        <f>HYPERLINK("https://www.etsy.com/listing/1001619729", "link")</f>
        <v/>
      </c>
      <c r="E655">
        <f>HYPERLINK("https://atlas.etsycorp.com/listing/1001619729/lookup", "link")</f>
        <v/>
      </c>
      <c r="F655" t="inlineStr">
        <is>
          <t>Smells like TAYLOR SWIFT perfume Highly Scented Wax Melts 100% Vegan, Recyclable, Biodegradable glitter for her for him gift Christmas</t>
        </is>
      </c>
      <c r="G655" t="inlineStr">
        <is>
          <t>EuNCv38UKSMNCLXkmzeKdi3hOf44</t>
        </is>
      </c>
      <c r="H655" t="inlineStr">
        <is>
          <t>boe</t>
        </is>
      </c>
      <c r="I655" t="inlineStr">
        <is>
          <t>en-GB</t>
        </is>
      </c>
      <c r="J655" t="inlineStr">
        <is>
          <t>us_v2-direct_specified</t>
        </is>
      </c>
      <c r="K655" t="b">
        <v>1</v>
      </c>
      <c r="L655" t="inlineStr">
        <is>
          <t>not_relevant</t>
        </is>
      </c>
      <c r="M655" t="inlineStr">
        <is>
          <t>not_relevant</t>
        </is>
      </c>
      <c r="N655" t="inlineStr">
        <is>
          <t>not_relevant</t>
        </is>
      </c>
      <c r="O655" t="inlineStr">
        <is>
          <t>partial</t>
        </is>
      </c>
      <c r="P655" t="b">
        <v>1</v>
      </c>
    </row>
    <row r="656">
      <c r="A656" t="inlineStr">
        <is>
          <t>lumberjill tshirt</t>
        </is>
      </c>
      <c r="B656" t="inlineStr"/>
      <c r="C656" t="n">
        <v>1588707872</v>
      </c>
      <c r="D656">
        <f>HYPERLINK("https://www.etsy.com/listing/1588707872", "link")</f>
        <v/>
      </c>
      <c r="E656">
        <f>HYPERLINK("https://atlas.etsycorp.com/listing/1588707872/lookup", "link")</f>
        <v/>
      </c>
      <c r="F656" t="inlineStr">
        <is>
          <t>No Rest For The Women Crewneck, Feminist girl power sweatshirt, comfort colors vintage wash sweatshirt</t>
        </is>
      </c>
      <c r="G656" t="inlineStr">
        <is>
          <t>Eu7cY35Ep9gpL938xYwPZqxhDg93</t>
        </is>
      </c>
      <c r="H656" t="inlineStr">
        <is>
          <t>boe</t>
        </is>
      </c>
      <c r="I656" t="inlineStr">
        <is>
          <t>en-US</t>
        </is>
      </c>
      <c r="J656" t="inlineStr">
        <is>
          <t>us_v2-direct_specified</t>
        </is>
      </c>
      <c r="K656" t="b">
        <v>1</v>
      </c>
      <c r="L656" t="inlineStr">
        <is>
          <t>not_relevant</t>
        </is>
      </c>
      <c r="M656" t="inlineStr">
        <is>
          <t>not_relevant</t>
        </is>
      </c>
      <c r="N656" t="inlineStr">
        <is>
          <t>not_relevant</t>
        </is>
      </c>
      <c r="O656" t="inlineStr">
        <is>
          <t>not_relevant</t>
        </is>
      </c>
      <c r="P656" t="b">
        <v>1</v>
      </c>
    </row>
    <row r="657">
      <c r="A657" t="inlineStr">
        <is>
          <t>vintage portable compact mirror asiatique</t>
        </is>
      </c>
      <c r="B657" t="inlineStr">
        <is>
          <t>vintage portable compact mirror asiatique</t>
        </is>
      </c>
      <c r="C657" t="n">
        <v>1692311860</v>
      </c>
      <c r="D657">
        <f>HYPERLINK("https://www.etsy.com/listing/1692311860", "link")</f>
        <v/>
      </c>
      <c r="E657">
        <f>HYPERLINK("https://atlas.etsycorp.com/listing/1692311860/lookup", "link")</f>
        <v/>
      </c>
      <c r="F657" t="inlineStr">
        <is>
          <t>Vintage Eiffel Tower Fob Compact | 1910 Paris Powder Compact | Santos Dumont Powder Compact | Aviation Compact |</t>
        </is>
      </c>
      <c r="G657" t="inlineStr">
        <is>
          <t>EubNtsjAxYzIuuxmQbECBkWe5sef</t>
        </is>
      </c>
      <c r="H657" t="inlineStr">
        <is>
          <t>boe</t>
        </is>
      </c>
      <c r="I657" t="inlineStr">
        <is>
          <t>fr</t>
        </is>
      </c>
      <c r="J657" t="inlineStr">
        <is>
          <t>intl-fr</t>
        </is>
      </c>
      <c r="K657" t="b">
        <v>1</v>
      </c>
      <c r="L657" t="inlineStr">
        <is>
          <t>partial</t>
        </is>
      </c>
      <c r="M657" t="inlineStr">
        <is>
          <t>partial</t>
        </is>
      </c>
      <c r="N657" t="inlineStr">
        <is>
          <t>not_relevant</t>
        </is>
      </c>
      <c r="O657" t="inlineStr">
        <is>
          <t>partial</t>
        </is>
      </c>
      <c r="P657" t="b">
        <v>1</v>
      </c>
    </row>
    <row r="658">
      <c r="A658" t="inlineStr">
        <is>
          <t>harry styles car accessories</t>
        </is>
      </c>
      <c r="B658" t="inlineStr"/>
      <c r="C658" t="n">
        <v>1517257436</v>
      </c>
      <c r="D658">
        <f>HYPERLINK("https://www.etsy.com/listing/1517257436", "link")</f>
        <v/>
      </c>
      <c r="E658">
        <f>HYPERLINK("https://atlas.etsycorp.com/listing/1517257436/lookup", "link")</f>
        <v/>
      </c>
      <c r="F658" t="inlineStr">
        <is>
          <t>Cute simplistic house / home silver necklace perfect layering necklace valentines gift present necklace gifts for her gift for fangirl</t>
        </is>
      </c>
      <c r="G658" t="inlineStr">
        <is>
          <t>EuhAwpJooHmCI-WpZ_JkpdOoAS2f</t>
        </is>
      </c>
      <c r="H658" t="inlineStr">
        <is>
          <t>boe</t>
        </is>
      </c>
      <c r="I658" t="inlineStr">
        <is>
          <t>en-GB</t>
        </is>
      </c>
      <c r="J658" t="inlineStr">
        <is>
          <t>us_v2-broad</t>
        </is>
      </c>
      <c r="K658" t="b">
        <v>1</v>
      </c>
      <c r="L658" t="inlineStr">
        <is>
          <t>not_relevant</t>
        </is>
      </c>
      <c r="M658" t="inlineStr">
        <is>
          <t>partial</t>
        </is>
      </c>
      <c r="N658" t="inlineStr">
        <is>
          <t>not_relevant</t>
        </is>
      </c>
      <c r="O658" t="inlineStr">
        <is>
          <t>not_relevant</t>
        </is>
      </c>
      <c r="P658" t="b">
        <v>1</v>
      </c>
    </row>
    <row r="659">
      <c r="A659" t="inlineStr">
        <is>
          <t>IKEA Antilop Highchair Full Cover Tray Silicone Placemat - Peach</t>
        </is>
      </c>
      <c r="B659" t="inlineStr"/>
      <c r="C659" t="n">
        <v>980145202</v>
      </c>
      <c r="D659">
        <f>HYPERLINK("https://www.etsy.com/listing/980145202", "link")</f>
        <v/>
      </c>
      <c r="E659">
        <f>HYPERLINK("https://atlas.etsycorp.com/listing/980145202/lookup", "link")</f>
        <v/>
      </c>
      <c r="F659" t="inlineStr">
        <is>
          <t>Bamboo Leg Wraps for IKEA Antilop Highchair</t>
        </is>
      </c>
      <c r="G659" t="inlineStr">
        <is>
          <t>EuuYlGjXT0fcNSkRzoUgvBjNHCb9</t>
        </is>
      </c>
      <c r="H659" t="inlineStr">
        <is>
          <t>web</t>
        </is>
      </c>
      <c r="I659" t="inlineStr">
        <is>
          <t>en-GB</t>
        </is>
      </c>
      <c r="J659" t="inlineStr">
        <is>
          <t>us_v2-direct_specified</t>
        </is>
      </c>
      <c r="K659" t="b">
        <v>1</v>
      </c>
      <c r="L659" t="inlineStr">
        <is>
          <t>partial</t>
        </is>
      </c>
      <c r="M659" t="inlineStr">
        <is>
          <t>relevant</t>
        </is>
      </c>
      <c r="N659" t="inlineStr">
        <is>
          <t>partial</t>
        </is>
      </c>
      <c r="O659" t="inlineStr">
        <is>
          <t>partial</t>
        </is>
      </c>
      <c r="P659" t="b">
        <v>1</v>
      </c>
    </row>
    <row r="660">
      <c r="A660" t="inlineStr">
        <is>
          <t>korean outfit sets</t>
        </is>
      </c>
      <c r="B660" t="inlineStr"/>
      <c r="C660" t="n">
        <v>957418437</v>
      </c>
      <c r="D660">
        <f>HYPERLINK("https://www.etsy.com/listing/957418437", "link")</f>
        <v/>
      </c>
      <c r="E660">
        <f>HYPERLINK("https://atlas.etsycorp.com/listing/957418437/lookup", "link")</f>
        <v/>
      </c>
      <c r="F660" t="inlineStr">
        <is>
          <t>Korean Style Morrie Pleated Wrap Knit Dress</t>
        </is>
      </c>
      <c r="G660" t="inlineStr">
        <is>
          <t>Eu3KjSyn0XTsLZs4BXjAuhD74E0d</t>
        </is>
      </c>
      <c r="H660" t="inlineStr">
        <is>
          <t>boe</t>
        </is>
      </c>
      <c r="I660" t="inlineStr">
        <is>
          <t>en-IN</t>
        </is>
      </c>
      <c r="J660" t="inlineStr">
        <is>
          <t>us_v2-direct_specified</t>
        </is>
      </c>
      <c r="K660" t="b">
        <v>1</v>
      </c>
      <c r="L660" t="inlineStr">
        <is>
          <t>partial</t>
        </is>
      </c>
      <c r="M660" t="inlineStr">
        <is>
          <t>partial</t>
        </is>
      </c>
      <c r="N660" t="inlineStr">
        <is>
          <t>partial</t>
        </is>
      </c>
      <c r="O660" t="inlineStr">
        <is>
          <t>partial</t>
        </is>
      </c>
      <c r="P660" t="b">
        <v>1</v>
      </c>
    </row>
    <row r="661">
      <c r="A661" t="inlineStr">
        <is>
          <t>Embroidery</t>
        </is>
      </c>
      <c r="B661" t="inlineStr"/>
      <c r="C661" t="n">
        <v>1615194995</v>
      </c>
      <c r="D661">
        <f>HYPERLINK("https://www.etsy.com/listing/1615194995", "link")</f>
        <v/>
      </c>
      <c r="E661">
        <f>HYPERLINK("https://atlas.etsycorp.com/listing/1615194995/lookup", "link")</f>
        <v/>
      </c>
      <c r="F661" t="inlineStr">
        <is>
          <t>Purple Pansy Panache Floral Phone Case | 3D Embroidery Effect Pansy Flowers Phone Cover For iPhone | Pixel | Samsung | iPhone 15</t>
        </is>
      </c>
      <c r="G661" t="inlineStr">
        <is>
          <t>EuUFpAYl-7qyOMIJa9MBH6INnu71</t>
        </is>
      </c>
      <c r="H661" t="inlineStr">
        <is>
          <t>web</t>
        </is>
      </c>
      <c r="I661" t="inlineStr">
        <is>
          <t>en-US</t>
        </is>
      </c>
      <c r="J661" t="inlineStr">
        <is>
          <t>us_v2-direct_unspecified</t>
        </is>
      </c>
      <c r="K661" t="b">
        <v>1</v>
      </c>
      <c r="L661" t="inlineStr">
        <is>
          <t>relevant</t>
        </is>
      </c>
      <c r="M661" t="inlineStr">
        <is>
          <t>relevant</t>
        </is>
      </c>
      <c r="N661" t="inlineStr">
        <is>
          <t>relevant</t>
        </is>
      </c>
      <c r="O661" t="inlineStr">
        <is>
          <t>not_relevant</t>
        </is>
      </c>
      <c r="P661" t="b">
        <v>1</v>
      </c>
    </row>
    <row r="662">
      <c r="A662" t="inlineStr">
        <is>
          <t>juego ps1 clock</t>
        </is>
      </c>
      <c r="B662" t="inlineStr">
        <is>
          <t>ps1 clock game</t>
        </is>
      </c>
      <c r="C662" t="n">
        <v>1386755013</v>
      </c>
      <c r="D662">
        <f>HYPERLINK("https://www.etsy.com/listing/1386755013", "link")</f>
        <v/>
      </c>
      <c r="E662">
        <f>HYPERLINK("https://atlas.etsycorp.com/listing/1386755013/lookup", "link")</f>
        <v/>
      </c>
      <c r="F662" t="inlineStr">
        <is>
          <t>Shadowbox diorama black frame for Ps1 ps psx controller wall decor game room</t>
        </is>
      </c>
      <c r="G662" t="inlineStr">
        <is>
          <t>EuC3t5JJWg63m0Ulvovo4jwTHdbf</t>
        </is>
      </c>
      <c r="H662" t="inlineStr">
        <is>
          <t>web</t>
        </is>
      </c>
      <c r="I662" t="inlineStr">
        <is>
          <t>es</t>
        </is>
      </c>
      <c r="J662" t="inlineStr">
        <is>
          <t>intl-es</t>
        </is>
      </c>
      <c r="K662" t="b">
        <v>1</v>
      </c>
      <c r="L662" t="inlineStr">
        <is>
          <t>not_relevant</t>
        </is>
      </c>
      <c r="M662" t="inlineStr">
        <is>
          <t>not_relevant</t>
        </is>
      </c>
      <c r="N662" t="inlineStr">
        <is>
          <t>not_relevant</t>
        </is>
      </c>
      <c r="O662" t="inlineStr">
        <is>
          <t>partial</t>
        </is>
      </c>
      <c r="P662" t="b">
        <v>1</v>
      </c>
    </row>
    <row r="663">
      <c r="A663" t="inlineStr">
        <is>
          <t>unique gifts for her</t>
        </is>
      </c>
      <c r="B663" t="inlineStr"/>
      <c r="C663" t="n">
        <v>1503354032</v>
      </c>
      <c r="D663">
        <f>HYPERLINK("https://www.etsy.com/listing/1503354032", "link")</f>
        <v/>
      </c>
      <c r="E663">
        <f>HYPERLINK("https://atlas.etsycorp.com/listing/1503354032/lookup", "link")</f>
        <v/>
      </c>
      <c r="F663" t="inlineStr">
        <is>
          <t>FATIMA MIDAXI MULTICOLOURED dress</t>
        </is>
      </c>
      <c r="G663" t="inlineStr">
        <is>
          <t>EuCddC6C2q-UN6FEEwNbIe5S-68d</t>
        </is>
      </c>
      <c r="H663" t="inlineStr">
        <is>
          <t>boe</t>
        </is>
      </c>
      <c r="I663" t="inlineStr">
        <is>
          <t>en-US</t>
        </is>
      </c>
      <c r="J663" t="inlineStr">
        <is>
          <t>us_v2-broad</t>
        </is>
      </c>
      <c r="K663" t="b">
        <v>1</v>
      </c>
      <c r="L663" t="inlineStr">
        <is>
          <t>relevant</t>
        </is>
      </c>
      <c r="M663" t="inlineStr">
        <is>
          <t>relevant</t>
        </is>
      </c>
      <c r="N663" t="inlineStr">
        <is>
          <t>relevant</t>
        </is>
      </c>
      <c r="O663" t="inlineStr">
        <is>
          <t>relevant</t>
        </is>
      </c>
      <c r="P663" t="b">
        <v>1</v>
      </c>
    </row>
    <row r="664">
      <c r="A664" t="inlineStr">
        <is>
          <t>sauna wall decor</t>
        </is>
      </c>
      <c r="B664" t="inlineStr"/>
      <c r="C664" t="n">
        <v>1141214472</v>
      </c>
      <c r="D664">
        <f>HYPERLINK("https://www.etsy.com/listing/1141214472", "link")</f>
        <v/>
      </c>
      <c r="E664">
        <f>HYPERLINK("https://atlas.etsycorp.com/listing/1141214472/lookup", "link")</f>
        <v/>
      </c>
      <c r="F664" t="inlineStr">
        <is>
          <t>Towel Rack (Modern Rustic Style- Beveled Edges) Farm House, Bathroom storage, Shower, Wet room, Wood shelf, Poolside cabana, Guest room, Gym</t>
        </is>
      </c>
      <c r="G664" t="inlineStr">
        <is>
          <t>EubvtrArlqogZhVD4k2FiCUxQx0e</t>
        </is>
      </c>
      <c r="H664" t="inlineStr">
        <is>
          <t>boe</t>
        </is>
      </c>
      <c r="I664" t="inlineStr">
        <is>
          <t>en-US</t>
        </is>
      </c>
      <c r="J664" t="inlineStr">
        <is>
          <t>us_v2-direct_unspecified</t>
        </is>
      </c>
      <c r="K664" t="b">
        <v>1</v>
      </c>
      <c r="L664" t="inlineStr">
        <is>
          <t>not_relevant</t>
        </is>
      </c>
      <c r="M664" t="inlineStr">
        <is>
          <t>not_relevant</t>
        </is>
      </c>
      <c r="N664" t="inlineStr">
        <is>
          <t>partial</t>
        </is>
      </c>
      <c r="O664" t="inlineStr">
        <is>
          <t>not_relevant</t>
        </is>
      </c>
      <c r="P664" t="b">
        <v>1</v>
      </c>
    </row>
    <row r="665">
      <c r="A665" t="inlineStr">
        <is>
          <t>zuria</t>
        </is>
      </c>
      <c r="B665" t="inlineStr"/>
      <c r="C665" t="n">
        <v>1601569748</v>
      </c>
      <c r="D665">
        <f>HYPERLINK("https://www.etsy.com/listing/1601569748", "link")</f>
        <v/>
      </c>
      <c r="E665">
        <f>HYPERLINK("https://atlas.etsycorp.com/listing/1601569748/lookup", "link")</f>
        <v/>
      </c>
      <c r="F665" t="inlineStr">
        <is>
          <t>Golden Ethiopian &amp; Eritrean dress |Hahilwe Kemis |የሐበሻ የሐገር ባህል ልብስ|Ethiopian new year dress |Habesha Kemis|Zuria|</t>
        </is>
      </c>
      <c r="G665" t="inlineStr">
        <is>
          <t>EudXwOp4IeQ9VsYkYmqMdwFoc5a8</t>
        </is>
      </c>
      <c r="H665" t="inlineStr">
        <is>
          <t>boe</t>
        </is>
      </c>
      <c r="I665" t="inlineStr">
        <is>
          <t>en-US</t>
        </is>
      </c>
      <c r="J665" t="inlineStr">
        <is>
          <t>us_v2-broad</t>
        </is>
      </c>
      <c r="K665" t="b">
        <v>1</v>
      </c>
      <c r="L665" t="inlineStr">
        <is>
          <t>relevant</t>
        </is>
      </c>
      <c r="M665" t="inlineStr">
        <is>
          <t>relevant</t>
        </is>
      </c>
      <c r="N665" t="inlineStr">
        <is>
          <t>relevant</t>
        </is>
      </c>
      <c r="O665" t="inlineStr">
        <is>
          <t>relevant</t>
        </is>
      </c>
      <c r="P665" t="b">
        <v>1</v>
      </c>
    </row>
    <row r="666">
      <c r="A666" t="inlineStr">
        <is>
          <t>meme stickers</t>
        </is>
      </c>
      <c r="B666" t="inlineStr"/>
      <c r="C666" t="n">
        <v>1524109617</v>
      </c>
      <c r="D666">
        <f>HYPERLINK("https://www.etsy.com/listing/1524109617", "link")</f>
        <v/>
      </c>
      <c r="E666">
        <f>HYPERLINK("https://atlas.etsycorp.com/listing/1524109617/lookup", "link")</f>
        <v/>
      </c>
      <c r="F666" t="inlineStr">
        <is>
          <t>Book Sticker Main Character Energy</t>
        </is>
      </c>
      <c r="G666" t="inlineStr">
        <is>
          <t>Eu91-x1VuRkBaQ7NIpx8G2tovT40</t>
        </is>
      </c>
      <c r="H666" t="inlineStr">
        <is>
          <t>boe</t>
        </is>
      </c>
      <c r="I666" t="inlineStr">
        <is>
          <t>en-US</t>
        </is>
      </c>
      <c r="J666" t="inlineStr">
        <is>
          <t>us_v2-direct_unspecified</t>
        </is>
      </c>
      <c r="K666" t="b">
        <v>1</v>
      </c>
      <c r="L666" t="inlineStr">
        <is>
          <t>partial</t>
        </is>
      </c>
      <c r="M666" t="inlineStr">
        <is>
          <t>partial</t>
        </is>
      </c>
      <c r="N666" t="inlineStr">
        <is>
          <t>partial</t>
        </is>
      </c>
      <c r="O666" t="inlineStr">
        <is>
          <t>partial</t>
        </is>
      </c>
      <c r="P666" t="b">
        <v>1</v>
      </c>
    </row>
    <row r="667">
      <c r="A667" t="inlineStr">
        <is>
          <t>meal planner digital</t>
        </is>
      </c>
      <c r="B667" t="inlineStr"/>
      <c r="C667" t="n">
        <v>1031947172</v>
      </c>
      <c r="D667">
        <f>HYPERLINK("https://www.etsy.com/listing/1031947172", "link")</f>
        <v/>
      </c>
      <c r="E667">
        <f>HYPERLINK("https://atlas.etsycorp.com/listing/1031947172/lookup", "link")</f>
        <v/>
      </c>
      <c r="F667" t="inlineStr">
        <is>
          <t>Meal Planner Printable PDF, Weekly Meal Planner, Monthly Meal Plan, Recipe Binder | A4 A5 Letter Half Letter Happy Planner</t>
        </is>
      </c>
      <c r="G667" t="inlineStr">
        <is>
          <t>EuewV22UFZgNeuxE2mzroPyOEca9</t>
        </is>
      </c>
      <c r="H667" t="inlineStr">
        <is>
          <t>boe</t>
        </is>
      </c>
      <c r="I667" t="inlineStr">
        <is>
          <t>en-GB</t>
        </is>
      </c>
      <c r="J667" t="inlineStr">
        <is>
          <t>us_v2-direct_unspecified</t>
        </is>
      </c>
      <c r="K667" t="b">
        <v>1</v>
      </c>
      <c r="L667" t="inlineStr">
        <is>
          <t>relevant</t>
        </is>
      </c>
      <c r="M667" t="inlineStr">
        <is>
          <t>relevant</t>
        </is>
      </c>
      <c r="N667" t="inlineStr">
        <is>
          <t>relevant</t>
        </is>
      </c>
      <c r="O667" t="inlineStr">
        <is>
          <t>relevant</t>
        </is>
      </c>
      <c r="P667" t="b">
        <v>1</v>
      </c>
    </row>
    <row r="668">
      <c r="A668" t="inlineStr">
        <is>
          <t>the mummy the daddy shirt</t>
        </is>
      </c>
      <c r="B668" t="inlineStr">
        <is>
          <t>the mummy the daddy shirt</t>
        </is>
      </c>
      <c r="C668" t="n">
        <v>1261921874</v>
      </c>
      <c r="D668">
        <f>HYPERLINK("https://www.etsy.com/listing/1261921874", "link")</f>
        <v/>
      </c>
      <c r="E668">
        <f>HYPERLINK("https://atlas.etsycorp.com/listing/1261921874/lookup", "link")</f>
        <v/>
      </c>
      <c r="F668" t="inlineStr">
        <is>
          <t>brendan Fraser Vintage Unisex Shirt, Vintage brendan Fraser Shirt Gift For Him and Her, Best brendan Fraser- Express Shipping Available</t>
        </is>
      </c>
      <c r="G668" t="inlineStr">
        <is>
          <t>EuOgVJvzQaysofE293v2cDJSsLc6</t>
        </is>
      </c>
      <c r="H668" t="inlineStr">
        <is>
          <t>web</t>
        </is>
      </c>
      <c r="I668" t="inlineStr">
        <is>
          <t>pl</t>
        </is>
      </c>
      <c r="J668" t="inlineStr">
        <is>
          <t>intl-pl</t>
        </is>
      </c>
      <c r="K668" t="b">
        <v>1</v>
      </c>
      <c r="L668" t="inlineStr">
        <is>
          <t>partial</t>
        </is>
      </c>
      <c r="M668" t="inlineStr">
        <is>
          <t>partial</t>
        </is>
      </c>
      <c r="N668" t="inlineStr">
        <is>
          <t>relevant</t>
        </is>
      </c>
      <c r="O668" t="inlineStr">
        <is>
          <t>partial</t>
        </is>
      </c>
      <c r="P668" t="b">
        <v>1</v>
      </c>
    </row>
    <row r="669">
      <c r="A669" t="inlineStr">
        <is>
          <t>targhetta non toccare passeggino</t>
        </is>
      </c>
      <c r="B669" t="inlineStr">
        <is>
          <t>do not touch stroller label</t>
        </is>
      </c>
      <c r="C669" t="n">
        <v>1428635088</v>
      </c>
      <c r="D669">
        <f>HYPERLINK("https://www.etsy.com/listing/1428635088", "link")</f>
        <v/>
      </c>
      <c r="E669">
        <f>HYPERLINK("https://atlas.etsycorp.com/listing/1428635088/lookup", "link")</f>
        <v/>
      </c>
      <c r="F669" t="inlineStr">
        <is>
          <t>Wooden Door Tag Blank Rectangle Wooden Tags Unfinished Nature Wood Slice DIY Crafts Bookmark Garment Clothing Tag Gift Bags Hanging Label</t>
        </is>
      </c>
      <c r="G669" t="inlineStr">
        <is>
          <t>Eu2PJbwTTOAR7PlIZLSwbWh2OJa8</t>
        </is>
      </c>
      <c r="H669" t="inlineStr">
        <is>
          <t>boe</t>
        </is>
      </c>
      <c r="I669" t="inlineStr">
        <is>
          <t>it</t>
        </is>
      </c>
      <c r="J669" t="inlineStr">
        <is>
          <t>intl-it</t>
        </is>
      </c>
      <c r="K669" t="b">
        <v>1</v>
      </c>
      <c r="L669" t="inlineStr">
        <is>
          <t>partial</t>
        </is>
      </c>
      <c r="M669" t="inlineStr">
        <is>
          <t>partial</t>
        </is>
      </c>
      <c r="N669" t="inlineStr">
        <is>
          <t>partial</t>
        </is>
      </c>
      <c r="O669" t="inlineStr">
        <is>
          <t>partial</t>
        </is>
      </c>
      <c r="P669" t="b">
        <v>1</v>
      </c>
    </row>
    <row r="670">
      <c r="A670" t="inlineStr">
        <is>
          <t>dog birthday pup cup</t>
        </is>
      </c>
      <c r="B670" t="inlineStr"/>
      <c r="C670" t="n">
        <v>1539041397</v>
      </c>
      <c r="D670">
        <f>HYPERLINK("https://www.etsy.com/listing/1539041397", "link")</f>
        <v/>
      </c>
      <c r="E670">
        <f>HYPERLINK("https://atlas.etsycorp.com/listing/1539041397/lookup", "link")</f>
        <v/>
      </c>
      <c r="F670" t="inlineStr">
        <is>
          <t>Happy Holidays From the puppies, 20 oz  Tumbler Sublimation, Instant Digital Download, Cute Puppies cup wrap, Santa Pups cup</t>
        </is>
      </c>
      <c r="G670" t="inlineStr">
        <is>
          <t>EuXdzHSj0ywF5q5xemvCoLK7cJd6</t>
        </is>
      </c>
      <c r="H670" t="inlineStr">
        <is>
          <t>boe</t>
        </is>
      </c>
      <c r="I670" t="inlineStr">
        <is>
          <t>en-US</t>
        </is>
      </c>
      <c r="J670" t="inlineStr">
        <is>
          <t>us_v2-direct_unspecified</t>
        </is>
      </c>
      <c r="K670" t="b">
        <v>1</v>
      </c>
      <c r="L670" t="inlineStr">
        <is>
          <t>partial</t>
        </is>
      </c>
      <c r="M670" t="inlineStr">
        <is>
          <t>partial</t>
        </is>
      </c>
      <c r="N670" t="inlineStr">
        <is>
          <t>partial</t>
        </is>
      </c>
      <c r="O670" t="inlineStr">
        <is>
          <t>relevant</t>
        </is>
      </c>
      <c r="P670" t="b">
        <v>1</v>
      </c>
    </row>
    <row r="671">
      <c r="A671" t="inlineStr">
        <is>
          <t>wwe uv protected belt display</t>
        </is>
      </c>
      <c r="B671" t="inlineStr"/>
      <c r="C671" t="n">
        <v>1602691721</v>
      </c>
      <c r="D671">
        <f>HYPERLINK("https://www.etsy.com/listing/1602691721", "link")</f>
        <v/>
      </c>
      <c r="E671">
        <f>HYPERLINK("https://atlas.etsycorp.com/listing/1602691721/lookup", "link")</f>
        <v/>
      </c>
      <c r="F671" t="inlineStr">
        <is>
          <t>United States Champion Replica Belt WWE World Heavyweight Champ US Flag Print</t>
        </is>
      </c>
      <c r="G671" t="inlineStr">
        <is>
          <t>EuohuXfAir9VC1Hn4qqsqI5yLO81</t>
        </is>
      </c>
      <c r="H671" t="inlineStr">
        <is>
          <t>web</t>
        </is>
      </c>
      <c r="I671" t="inlineStr">
        <is>
          <t>en-US</t>
        </is>
      </c>
      <c r="J671" t="inlineStr">
        <is>
          <t>us_v2-direct_specified</t>
        </is>
      </c>
      <c r="K671" t="b">
        <v>1</v>
      </c>
      <c r="L671" t="inlineStr">
        <is>
          <t>partial</t>
        </is>
      </c>
      <c r="M671" t="inlineStr">
        <is>
          <t>relevant</t>
        </is>
      </c>
      <c r="N671" t="inlineStr">
        <is>
          <t>partial</t>
        </is>
      </c>
      <c r="O671" t="inlineStr">
        <is>
          <t>partial</t>
        </is>
      </c>
      <c r="P671" t="b">
        <v>1</v>
      </c>
    </row>
    <row r="672">
      <c r="A672" t="inlineStr">
        <is>
          <t>engagement rings</t>
        </is>
      </c>
      <c r="B672" t="inlineStr">
        <is>
          <t>engagement rings</t>
        </is>
      </c>
      <c r="C672" t="n">
        <v>1241527970</v>
      </c>
      <c r="D672">
        <f>HYPERLINK("https://www.etsy.com/listing/1241527970", "link")</f>
        <v/>
      </c>
      <c r="E672">
        <f>HYPERLINK("https://atlas.etsycorp.com/listing/1241527970/lookup", "link")</f>
        <v/>
      </c>
      <c r="F672" t="inlineStr">
        <is>
          <t>Minimalist green sapphire ring sterling silver princess cut bypass anniversary ring for women</t>
        </is>
      </c>
      <c r="G672" t="inlineStr">
        <is>
          <t>Eux549B2vFZlRFGBVaOtMph5k95e</t>
        </is>
      </c>
      <c r="H672" t="inlineStr">
        <is>
          <t>boe</t>
        </is>
      </c>
      <c r="I672" t="inlineStr">
        <is>
          <t>es</t>
        </is>
      </c>
      <c r="J672" t="inlineStr">
        <is>
          <t>intl-es</t>
        </is>
      </c>
      <c r="K672" t="b">
        <v>1</v>
      </c>
      <c r="L672" t="inlineStr">
        <is>
          <t>partial</t>
        </is>
      </c>
      <c r="M672" t="inlineStr">
        <is>
          <t>partial</t>
        </is>
      </c>
      <c r="N672" t="inlineStr">
        <is>
          <t>partial</t>
        </is>
      </c>
      <c r="O672" t="inlineStr">
        <is>
          <t>relevant</t>
        </is>
      </c>
      <c r="P672" t="b">
        <v>1</v>
      </c>
    </row>
    <row r="673">
      <c r="A673" t="inlineStr">
        <is>
          <t>buffet with drawers</t>
        </is>
      </c>
      <c r="B673" t="inlineStr"/>
      <c r="C673" t="n">
        <v>1649216530</v>
      </c>
      <c r="D673">
        <f>HYPERLINK("https://www.etsy.com/listing/1649216530", "link")</f>
        <v/>
      </c>
      <c r="E673">
        <f>HYPERLINK("https://atlas.etsycorp.com/listing/1649216530/lookup", "link")</f>
        <v/>
      </c>
      <c r="F673" t="inlineStr">
        <is>
          <t>2 Door Cabinet - Fully Assembled - TV Stand - Primitive - Storage -  TV Cabinet - Home Décor- Amish Handmade - Multipurpose Cabinet - Rustic</t>
        </is>
      </c>
      <c r="G673" t="inlineStr">
        <is>
          <t>EugooJXX-U_7t9gOxHDv3sDbgy46</t>
        </is>
      </c>
      <c r="H673" t="inlineStr">
        <is>
          <t>boe</t>
        </is>
      </c>
      <c r="I673" t="inlineStr">
        <is>
          <t>en-US</t>
        </is>
      </c>
      <c r="J673" t="inlineStr">
        <is>
          <t>us_v2-direct_unspecified</t>
        </is>
      </c>
      <c r="K673" t="b">
        <v>1</v>
      </c>
      <c r="L673" t="inlineStr">
        <is>
          <t>partial</t>
        </is>
      </c>
      <c r="M673" t="inlineStr">
        <is>
          <t>partial</t>
        </is>
      </c>
      <c r="N673" t="inlineStr">
        <is>
          <t>partial</t>
        </is>
      </c>
      <c r="O673" t="inlineStr">
        <is>
          <t>partial</t>
        </is>
      </c>
      <c r="P673" t="b">
        <v>1</v>
      </c>
    </row>
    <row r="674">
      <c r="A674" t="inlineStr">
        <is>
          <t>brass link bracelet for women</t>
        </is>
      </c>
      <c r="B674" t="inlineStr"/>
      <c r="C674" t="n">
        <v>1202174248</v>
      </c>
      <c r="D674">
        <f>HYPERLINK("https://www.etsy.com/listing/1202174248", "link")</f>
        <v/>
      </c>
      <c r="E674">
        <f>HYPERLINK("https://atlas.etsycorp.com/listing/1202174248/lookup", "link")</f>
        <v/>
      </c>
      <c r="F674" t="inlineStr">
        <is>
          <t>Quality Brass Chain Necklace, Nickel &amp; Lead Free, Soldered Links, Custom Length, Raw Solid Brass Plain Chain Necklace</t>
        </is>
      </c>
      <c r="G674" t="inlineStr">
        <is>
          <t>Euyvw6JgttETgnE8O4TLUv9hDUd7</t>
        </is>
      </c>
      <c r="H674" t="inlineStr">
        <is>
          <t>boe</t>
        </is>
      </c>
      <c r="I674" t="inlineStr">
        <is>
          <t>en-US</t>
        </is>
      </c>
      <c r="J674" t="inlineStr">
        <is>
          <t>us_v2-direct_specified</t>
        </is>
      </c>
      <c r="K674" t="b">
        <v>1</v>
      </c>
      <c r="L674" t="inlineStr">
        <is>
          <t>partial</t>
        </is>
      </c>
      <c r="M674" t="inlineStr">
        <is>
          <t>not_relevant</t>
        </is>
      </c>
      <c r="N674" t="inlineStr">
        <is>
          <t>partial</t>
        </is>
      </c>
      <c r="O674" t="inlineStr">
        <is>
          <t>partial</t>
        </is>
      </c>
      <c r="P674" t="b">
        <v>1</v>
      </c>
    </row>
    <row r="675">
      <c r="A675" t="inlineStr">
        <is>
          <t>muursticker frieda kalo</t>
        </is>
      </c>
      <c r="B675" t="inlineStr">
        <is>
          <t>wall sticker frieda kalo</t>
        </is>
      </c>
      <c r="C675" t="n">
        <v>1290403391</v>
      </c>
      <c r="D675">
        <f>HYPERLINK("https://www.etsy.com/listing/1290403391", "link")</f>
        <v/>
      </c>
      <c r="E675">
        <f>HYPERLINK("https://atlas.etsycorp.com/listing/1290403391/lookup", "link")</f>
        <v/>
      </c>
      <c r="F675" t="inlineStr">
        <is>
          <t>FRIEDA Font</t>
        </is>
      </c>
      <c r="G675" t="inlineStr">
        <is>
          <t>EuCuTOr9O_4ZA1evnl94JNwUtS77</t>
        </is>
      </c>
      <c r="H675" t="inlineStr">
        <is>
          <t>web</t>
        </is>
      </c>
      <c r="I675" t="inlineStr">
        <is>
          <t>nl</t>
        </is>
      </c>
      <c r="J675" t="inlineStr">
        <is>
          <t>intl-nl</t>
        </is>
      </c>
      <c r="K675" t="b">
        <v>1</v>
      </c>
      <c r="L675" t="inlineStr">
        <is>
          <t>not_relevant</t>
        </is>
      </c>
      <c r="M675" t="inlineStr">
        <is>
          <t>partial</t>
        </is>
      </c>
      <c r="N675" t="inlineStr">
        <is>
          <t>not_relevant</t>
        </is>
      </c>
      <c r="O675" t="inlineStr">
        <is>
          <t>not_relevant</t>
        </is>
      </c>
      <c r="P675" t="b">
        <v>1</v>
      </c>
    </row>
    <row r="676">
      <c r="A676" t="inlineStr">
        <is>
          <t>chain guard adapter bracket</t>
        </is>
      </c>
      <c r="B676" t="inlineStr"/>
      <c r="C676" t="n">
        <v>86843208</v>
      </c>
      <c r="D676">
        <f>HYPERLINK("https://www.etsy.com/listing/86843208", "link")</f>
        <v/>
      </c>
      <c r="E676">
        <f>HYPERLINK("https://atlas.etsycorp.com/listing/86843208/lookup", "link")</f>
        <v/>
      </c>
      <c r="F676" t="inlineStr">
        <is>
          <t>Sterling Silver Jewelry Extender, Magnetic Clasp Converter For Bracelets, Chain</t>
        </is>
      </c>
      <c r="G676" t="inlineStr">
        <is>
          <t>Eu23WEIlJ8fRerTIuWdkxc7w0g8f</t>
        </is>
      </c>
      <c r="H676" t="inlineStr">
        <is>
          <t>boe</t>
        </is>
      </c>
      <c r="I676" t="inlineStr">
        <is>
          <t>en-US</t>
        </is>
      </c>
      <c r="J676" t="inlineStr">
        <is>
          <t>us_v2-direct_unspecified</t>
        </is>
      </c>
      <c r="K676" t="b">
        <v>1</v>
      </c>
      <c r="L676" t="inlineStr">
        <is>
          <t>not_relevant</t>
        </is>
      </c>
      <c r="M676" t="inlineStr">
        <is>
          <t>not_relevant</t>
        </is>
      </c>
      <c r="N676" t="inlineStr">
        <is>
          <t>not_relevant</t>
        </is>
      </c>
      <c r="O676" t="inlineStr">
        <is>
          <t>not_relevant</t>
        </is>
      </c>
      <c r="P676" t="b">
        <v>1</v>
      </c>
    </row>
    <row r="677">
      <c r="A677" t="inlineStr">
        <is>
          <t>bracelet personnalisé</t>
        </is>
      </c>
      <c r="B677" t="inlineStr">
        <is>
          <t>personalized bracelet</t>
        </is>
      </c>
      <c r="C677" t="n">
        <v>1258568212</v>
      </c>
      <c r="D677">
        <f>HYPERLINK("https://www.etsy.com/listing/1258568212", "link")</f>
        <v/>
      </c>
      <c r="E677">
        <f>HYPERLINK("https://atlas.etsycorp.com/listing/1258568212/lookup", "link")</f>
        <v/>
      </c>
      <c r="F677" t="inlineStr">
        <is>
          <t>Personalized Liberty Bracelet, Custom Women Bracelet, Engraved Bracelet, Personalized Name Bracelet, Bachelorette Party Gift, Mother&amp;#39;s Day</t>
        </is>
      </c>
      <c r="G677" t="inlineStr">
        <is>
          <t>Eu_Qf9SZmvc_0jmwgPaVH3rTPw12</t>
        </is>
      </c>
      <c r="H677" t="inlineStr">
        <is>
          <t>web</t>
        </is>
      </c>
      <c r="I677" t="inlineStr">
        <is>
          <t>fr</t>
        </is>
      </c>
      <c r="J677" t="inlineStr">
        <is>
          <t>intl-fr</t>
        </is>
      </c>
      <c r="K677" t="b">
        <v>1</v>
      </c>
      <c r="L677" t="inlineStr">
        <is>
          <t>relevant</t>
        </is>
      </c>
      <c r="M677" t="inlineStr">
        <is>
          <t>relevant</t>
        </is>
      </c>
      <c r="N677" t="inlineStr">
        <is>
          <t>relevant</t>
        </is>
      </c>
      <c r="O677" t="inlineStr">
        <is>
          <t>relevant</t>
        </is>
      </c>
      <c r="P677" t="b">
        <v>1</v>
      </c>
    </row>
    <row r="678">
      <c r="A678" t="inlineStr">
        <is>
          <t>personalized school supplies</t>
        </is>
      </c>
      <c r="B678" t="inlineStr">
        <is>
          <t>personalized school supplies</t>
        </is>
      </c>
      <c r="C678" t="n">
        <v>1720292355</v>
      </c>
      <c r="D678">
        <f>HYPERLINK("https://www.etsy.com/listing/1720292355", "link")</f>
        <v/>
      </c>
      <c r="E678">
        <f>HYPERLINK("https://atlas.etsycorp.com/listing/1720292355/lookup", "link")</f>
        <v/>
      </c>
      <c r="F678" t="inlineStr">
        <is>
          <t>Personalized Graduation Guest Book As Gift | Graduation Party Gift | Memory guest book | Instax wishes book | Graduation Wishes Book</t>
        </is>
      </c>
      <c r="G678" t="inlineStr">
        <is>
          <t>EuE-m8ckwEPKZHyl5G_CHoXA6q1c</t>
        </is>
      </c>
      <c r="H678" t="inlineStr">
        <is>
          <t>boe</t>
        </is>
      </c>
      <c r="I678" t="inlineStr">
        <is>
          <t>it</t>
        </is>
      </c>
      <c r="J678" t="inlineStr">
        <is>
          <t>intl-it</t>
        </is>
      </c>
      <c r="K678" t="b">
        <v>1</v>
      </c>
      <c r="L678" t="inlineStr">
        <is>
          <t>not_relevant</t>
        </is>
      </c>
      <c r="M678" t="inlineStr">
        <is>
          <t>not_relevant</t>
        </is>
      </c>
      <c r="N678" t="inlineStr">
        <is>
          <t>not_relevant</t>
        </is>
      </c>
      <c r="O678" t="inlineStr">
        <is>
          <t>not_relevant</t>
        </is>
      </c>
      <c r="P678" t="b">
        <v>1</v>
      </c>
    </row>
    <row r="679">
      <c r="A679" t="inlineStr">
        <is>
          <t>congrats neon</t>
        </is>
      </c>
      <c r="B679" t="inlineStr"/>
      <c r="C679" t="n">
        <v>1338746560</v>
      </c>
      <c r="D679">
        <f>HYPERLINK("https://www.etsy.com/listing/1338746560", "link")</f>
        <v/>
      </c>
      <c r="E679">
        <f>HYPERLINK("https://atlas.etsycorp.com/listing/1338746560/lookup", "link")</f>
        <v/>
      </c>
      <c r="F679" t="inlineStr">
        <is>
          <t>Custom Name Neon Sign, Congrats Neon Sign, Birthday Gifts, Kids Name Sign, Neon Sign For Kids, Bedroom Decor, Bedroom Neon Sig,Unique Decorn</t>
        </is>
      </c>
      <c r="G679" t="inlineStr">
        <is>
          <t>EuIklq5RSIVK28HOzuJ_pG1mykae</t>
        </is>
      </c>
      <c r="H679" t="inlineStr">
        <is>
          <t>web</t>
        </is>
      </c>
      <c r="I679" t="inlineStr">
        <is>
          <t>en-US</t>
        </is>
      </c>
      <c r="J679" t="inlineStr">
        <is>
          <t>us_v2-broad</t>
        </is>
      </c>
      <c r="K679" t="b">
        <v>1</v>
      </c>
      <c r="L679" t="inlineStr">
        <is>
          <t>relevant</t>
        </is>
      </c>
      <c r="M679" t="inlineStr">
        <is>
          <t>relevant</t>
        </is>
      </c>
      <c r="N679" t="inlineStr">
        <is>
          <t>relevant</t>
        </is>
      </c>
      <c r="O679" t="inlineStr">
        <is>
          <t>relevant</t>
        </is>
      </c>
      <c r="P679" t="b">
        <v>1</v>
      </c>
    </row>
    <row r="680">
      <c r="A680" t="inlineStr">
        <is>
          <t>Jordan idol</t>
        </is>
      </c>
      <c r="B680" t="inlineStr">
        <is>
          <t>Jordan idol</t>
        </is>
      </c>
      <c r="C680" t="n">
        <v>1744940558</v>
      </c>
      <c r="D680">
        <f>HYPERLINK("https://www.etsy.com/listing/1744940558", "link")</f>
        <v/>
      </c>
      <c r="E680">
        <f>HYPERLINK("https://atlas.etsycorp.com/listing/1744940558/lookup", "link")</f>
        <v/>
      </c>
      <c r="F680" t="inlineStr">
        <is>
          <t>Billy Idol autographed card with COA</t>
        </is>
      </c>
      <c r="G680" t="inlineStr">
        <is>
          <t>EuEJV8aqEiJmKse3qVyncB00aLd9</t>
        </is>
      </c>
      <c r="H680" t="inlineStr">
        <is>
          <t>boe</t>
        </is>
      </c>
      <c r="I680" t="inlineStr">
        <is>
          <t>it</t>
        </is>
      </c>
      <c r="J680" t="inlineStr">
        <is>
          <t>intl-it</t>
        </is>
      </c>
      <c r="K680" t="b">
        <v>1</v>
      </c>
      <c r="L680" t="inlineStr">
        <is>
          <t>not_relevant</t>
        </is>
      </c>
      <c r="M680" t="inlineStr">
        <is>
          <t>not_relevant</t>
        </is>
      </c>
      <c r="N680" t="inlineStr">
        <is>
          <t>not_relevant</t>
        </is>
      </c>
      <c r="O680" t="inlineStr">
        <is>
          <t>not_relevant</t>
        </is>
      </c>
      <c r="P680" t="b">
        <v>1</v>
      </c>
    </row>
    <row r="681">
      <c r="A681" t="inlineStr">
        <is>
          <t>tote bag</t>
        </is>
      </c>
      <c r="B681" t="inlineStr">
        <is>
          <t>totebag</t>
        </is>
      </c>
      <c r="C681" t="n">
        <v>1677105922</v>
      </c>
      <c r="D681">
        <f>HYPERLINK("https://www.etsy.com/listing/1677105922", "link")</f>
        <v/>
      </c>
      <c r="E681">
        <f>HYPERLINK("https://atlas.etsycorp.com/listing/1677105922/lookup", "link")</f>
        <v/>
      </c>
      <c r="F681" t="inlineStr">
        <is>
          <t>Aesthetic tote bag art jute bag William Morris shopping bag with zipper</t>
        </is>
      </c>
      <c r="G681" t="inlineStr">
        <is>
          <t>EudJ9wo-XR6HltHY3haGU6c4N00f</t>
        </is>
      </c>
      <c r="H681" t="inlineStr">
        <is>
          <t>web</t>
        </is>
      </c>
      <c r="I681" t="inlineStr">
        <is>
          <t>de</t>
        </is>
      </c>
      <c r="J681" t="inlineStr">
        <is>
          <t>intl-de</t>
        </is>
      </c>
      <c r="K681" t="b">
        <v>1</v>
      </c>
      <c r="L681" t="inlineStr">
        <is>
          <t>relevant</t>
        </is>
      </c>
      <c r="M681" t="inlineStr">
        <is>
          <t>relevant</t>
        </is>
      </c>
      <c r="N681" t="inlineStr">
        <is>
          <t>relevant</t>
        </is>
      </c>
      <c r="O681" t="inlineStr">
        <is>
          <t>relevant</t>
        </is>
      </c>
      <c r="P681" t="b">
        <v>1</v>
      </c>
    </row>
    <row r="682">
      <c r="A682" t="inlineStr">
        <is>
          <t>semi mount for asscher cut 2 carats</t>
        </is>
      </c>
      <c r="B682" t="inlineStr"/>
      <c r="C682" t="n">
        <v>895804122</v>
      </c>
      <c r="D682">
        <f>HYPERLINK("https://www.etsy.com/listing/895804122", "link")</f>
        <v/>
      </c>
      <c r="E682">
        <f>HYPERLINK("https://atlas.etsycorp.com/listing/895804122/lookup", "link")</f>
        <v/>
      </c>
      <c r="F682" t="inlineStr">
        <is>
          <t>Classic Pave Diamond Halo Ring Semi Mount in Solid 14K Gold | Emerald Cut 14x10mm 15x10mm | Radiant Cut | Statement | Customizable | Setting</t>
        </is>
      </c>
      <c r="G682" t="inlineStr">
        <is>
          <t>EuxAKTSXhkXGp2CQSh3VPKOHCw57</t>
        </is>
      </c>
      <c r="H682" t="inlineStr">
        <is>
          <t>web</t>
        </is>
      </c>
      <c r="I682" t="inlineStr">
        <is>
          <t>en-US</t>
        </is>
      </c>
      <c r="J682" t="inlineStr">
        <is>
          <t>us_v2-direct_specified</t>
        </is>
      </c>
      <c r="K682" t="b">
        <v>1</v>
      </c>
      <c r="L682" t="inlineStr">
        <is>
          <t>partial</t>
        </is>
      </c>
      <c r="M682" t="inlineStr">
        <is>
          <t>partial</t>
        </is>
      </c>
      <c r="N682" t="inlineStr">
        <is>
          <t>partial</t>
        </is>
      </c>
      <c r="O682" t="inlineStr">
        <is>
          <t>partial</t>
        </is>
      </c>
      <c r="P682" t="b">
        <v>1</v>
      </c>
    </row>
    <row r="683">
      <c r="A683" t="inlineStr">
        <is>
          <t>poster xxl carte du monde animaux</t>
        </is>
      </c>
      <c r="B683" t="inlineStr">
        <is>
          <t>poster xxl world map animals</t>
        </is>
      </c>
      <c r="C683" t="n">
        <v>1420365058</v>
      </c>
      <c r="D683">
        <f>HYPERLINK("https://www.etsy.com/listing/1420365058", "link")</f>
        <v/>
      </c>
      <c r="E683">
        <f>HYPERLINK("https://atlas.etsycorp.com/listing/1420365058/lookup", "link")</f>
        <v/>
      </c>
      <c r="F683" t="inlineStr">
        <is>
          <t>Animal World Map Poster. DIGITAL DOWNLOAD. Boho Playroom Educational Print. Toddler printables. Blue World Map wall art. Kids room map print</t>
        </is>
      </c>
      <c r="G683" t="inlineStr">
        <is>
          <t>EuHoCAoOqIA1qk96xYbxTU3THx40</t>
        </is>
      </c>
      <c r="H683" t="inlineStr">
        <is>
          <t>web</t>
        </is>
      </c>
      <c r="I683" t="inlineStr">
        <is>
          <t>fr</t>
        </is>
      </c>
      <c r="J683" t="inlineStr">
        <is>
          <t>intl-fr</t>
        </is>
      </c>
      <c r="K683" t="b">
        <v>1</v>
      </c>
      <c r="L683" t="inlineStr">
        <is>
          <t>partial</t>
        </is>
      </c>
      <c r="M683" t="inlineStr">
        <is>
          <t>relevant</t>
        </is>
      </c>
      <c r="N683" t="inlineStr">
        <is>
          <t>partial</t>
        </is>
      </c>
      <c r="O683" t="inlineStr">
        <is>
          <t>partial</t>
        </is>
      </c>
      <c r="P683" t="b">
        <v>1</v>
      </c>
    </row>
    <row r="684">
      <c r="A684" t="inlineStr">
        <is>
          <t>spieltisch Outdoor</t>
        </is>
      </c>
      <c r="B684" t="inlineStr">
        <is>
          <t>outdoor game table</t>
        </is>
      </c>
      <c r="C684" t="n">
        <v>1266670052</v>
      </c>
      <c r="D684">
        <f>HYPERLINK("https://www.etsy.com/listing/1266670052", "link")</f>
        <v/>
      </c>
      <c r="E684">
        <f>HYPERLINK("https://atlas.etsycorp.com/listing/1266670052/lookup", "link")</f>
        <v/>
      </c>
      <c r="F684" t="inlineStr">
        <is>
          <t>Ourbaby sandpit 120 x 120 cm - sandbox, childs sandbox, wood sandbox, sand box with seats</t>
        </is>
      </c>
      <c r="G684" t="inlineStr">
        <is>
          <t>Eunrb27CUgcaJ5i5mok1zIkAdU64</t>
        </is>
      </c>
      <c r="H684" t="inlineStr">
        <is>
          <t>web</t>
        </is>
      </c>
      <c r="I684" t="inlineStr">
        <is>
          <t>de</t>
        </is>
      </c>
      <c r="J684" t="inlineStr">
        <is>
          <t>intl-de</t>
        </is>
      </c>
      <c r="K684" t="b">
        <v>1</v>
      </c>
      <c r="L684" t="inlineStr">
        <is>
          <t>not_relevant</t>
        </is>
      </c>
      <c r="M684" t="inlineStr">
        <is>
          <t>not_relevant</t>
        </is>
      </c>
      <c r="N684" t="inlineStr">
        <is>
          <t>not_relevant</t>
        </is>
      </c>
      <c r="O684" t="inlineStr">
        <is>
          <t>relevant</t>
        </is>
      </c>
      <c r="P684" t="b">
        <v>1</v>
      </c>
    </row>
    <row r="685">
      <c r="A685" t="inlineStr">
        <is>
          <t>golden pc</t>
        </is>
      </c>
      <c r="B685" t="inlineStr"/>
      <c r="C685" t="n">
        <v>1308754626</v>
      </c>
      <c r="D685">
        <f>HYPERLINK("https://www.etsy.com/listing/1308754626", "link")</f>
        <v/>
      </c>
      <c r="E685">
        <f>HYPERLINK("https://atlas.etsycorp.com/listing/1308754626/lookup", "link")</f>
        <v/>
      </c>
      <c r="F685" t="inlineStr">
        <is>
          <t>Love Yourself Hoodie, Love Hoodie, Love Yourself Sweatshirt, Love Sweatshirt, Christmas Gift, Fan Gift, Soft Hoodie, Heart Hoodie</t>
        </is>
      </c>
      <c r="G685" t="inlineStr">
        <is>
          <t>Eu9fvm4Cw2BZ1y0JCRCtTPwC2Fc4</t>
        </is>
      </c>
      <c r="H685" t="inlineStr">
        <is>
          <t>boe</t>
        </is>
      </c>
      <c r="I685" t="inlineStr">
        <is>
          <t>en-US</t>
        </is>
      </c>
      <c r="J685" t="inlineStr">
        <is>
          <t>us_v2-direct_specified</t>
        </is>
      </c>
      <c r="K685" t="b">
        <v>1</v>
      </c>
      <c r="L685" t="inlineStr">
        <is>
          <t>not_relevant</t>
        </is>
      </c>
      <c r="M685" t="inlineStr">
        <is>
          <t>not_relevant</t>
        </is>
      </c>
      <c r="N685" t="inlineStr">
        <is>
          <t>not_relevant</t>
        </is>
      </c>
      <c r="O685" t="inlineStr">
        <is>
          <t>not_relevant</t>
        </is>
      </c>
      <c r="P685" t="b">
        <v>1</v>
      </c>
    </row>
    <row r="686">
      <c r="A686" t="inlineStr">
        <is>
          <t>spinning garden ornament</t>
        </is>
      </c>
      <c r="B686" t="inlineStr"/>
      <c r="C686" t="n">
        <v>1308973432</v>
      </c>
      <c r="D686">
        <f>HYPERLINK("https://www.etsy.com/listing/1308973432", "link")</f>
        <v/>
      </c>
      <c r="E686">
        <f>HYPERLINK("https://atlas.etsycorp.com/listing/1308973432/lookup", "link")</f>
        <v/>
      </c>
      <c r="F686" t="inlineStr">
        <is>
          <t>Rocking Robin And Leaf Garden Spinner Stake Gift</t>
        </is>
      </c>
      <c r="G686" t="inlineStr">
        <is>
          <t>EutjdvnB4ppeA2yeoas-Rpi4E_f3</t>
        </is>
      </c>
      <c r="H686" t="inlineStr">
        <is>
          <t>web</t>
        </is>
      </c>
      <c r="I686" t="inlineStr">
        <is>
          <t>en-GB</t>
        </is>
      </c>
      <c r="J686" t="inlineStr">
        <is>
          <t>us_v2-direct_unspecified</t>
        </is>
      </c>
      <c r="K686" t="b">
        <v>1</v>
      </c>
      <c r="L686" t="inlineStr">
        <is>
          <t>relevant</t>
        </is>
      </c>
      <c r="M686" t="inlineStr">
        <is>
          <t>relevant</t>
        </is>
      </c>
      <c r="N686" t="inlineStr">
        <is>
          <t>relevant</t>
        </is>
      </c>
      <c r="O686" t="inlineStr">
        <is>
          <t>relevant</t>
        </is>
      </c>
      <c r="P686" t="b">
        <v>1</v>
      </c>
    </row>
    <row r="687">
      <c r="A687" t="inlineStr">
        <is>
          <t>appetite for destruction  vinyl</t>
        </is>
      </c>
      <c r="B687" t="inlineStr"/>
      <c r="C687" t="n">
        <v>1667663921</v>
      </c>
      <c r="D687">
        <f>HYPERLINK("https://www.etsy.com/listing/1667663921", "link")</f>
        <v/>
      </c>
      <c r="E687">
        <f>HYPERLINK("https://atlas.etsycorp.com/listing/1667663921/lookup", "link")</f>
        <v/>
      </c>
      <c r="F687" t="inlineStr">
        <is>
          <t>Where&amp;#39;s Axl Rose? (fan art) Guns n&amp;#39; Roses</t>
        </is>
      </c>
      <c r="G687" t="inlineStr">
        <is>
          <t>Eu5jh8R9zru9yL7gZXUfsy9jlK26</t>
        </is>
      </c>
      <c r="H687" t="inlineStr">
        <is>
          <t>boe</t>
        </is>
      </c>
      <c r="I687" t="inlineStr">
        <is>
          <t>en-US</t>
        </is>
      </c>
      <c r="J687" t="inlineStr">
        <is>
          <t>us_v2-direct_specified</t>
        </is>
      </c>
      <c r="K687" t="b">
        <v>1</v>
      </c>
      <c r="L687" t="inlineStr">
        <is>
          <t>not_relevant</t>
        </is>
      </c>
      <c r="M687" t="inlineStr">
        <is>
          <t>partial</t>
        </is>
      </c>
      <c r="N687" t="inlineStr">
        <is>
          <t>not_relevant</t>
        </is>
      </c>
      <c r="O687" t="inlineStr">
        <is>
          <t>not_relevant</t>
        </is>
      </c>
      <c r="P687" t="b">
        <v>1</v>
      </c>
    </row>
    <row r="688">
      <c r="A688" t="inlineStr">
        <is>
          <t>bob esponja invitacion</t>
        </is>
      </c>
      <c r="B688" t="inlineStr">
        <is>
          <t>spongebob invitation</t>
        </is>
      </c>
      <c r="C688" t="n">
        <v>675513588</v>
      </c>
      <c r="D688">
        <f>HYPERLINK("https://www.etsy.com/listing/675513588", "link")</f>
        <v/>
      </c>
      <c r="E688">
        <f>HYPERLINK("https://atlas.etsycorp.com/listing/675513588/lookup", "link")</f>
        <v/>
      </c>
      <c r="F688" t="inlineStr">
        <is>
          <t>Nickelodeon Themed Food Labels/Tents - Set of 8</t>
        </is>
      </c>
      <c r="G688" t="inlineStr">
        <is>
          <t>EuVRsjDTrAYe5E7WsECe-diwMwd0</t>
        </is>
      </c>
      <c r="H688" t="inlineStr">
        <is>
          <t>web</t>
        </is>
      </c>
      <c r="I688" t="inlineStr">
        <is>
          <t>es</t>
        </is>
      </c>
      <c r="J688" t="inlineStr">
        <is>
          <t>intl-es</t>
        </is>
      </c>
      <c r="K688" t="b">
        <v>1</v>
      </c>
      <c r="L688" t="inlineStr">
        <is>
          <t>not_relevant</t>
        </is>
      </c>
      <c r="M688" t="inlineStr">
        <is>
          <t>not_relevant</t>
        </is>
      </c>
      <c r="N688" t="inlineStr">
        <is>
          <t>not_relevant</t>
        </is>
      </c>
      <c r="O688" t="inlineStr">
        <is>
          <t>not_relevant</t>
        </is>
      </c>
      <c r="P688" t="b">
        <v>1</v>
      </c>
    </row>
    <row r="689">
      <c r="A689" t="inlineStr">
        <is>
          <t>st patricks day gift</t>
        </is>
      </c>
      <c r="B689" t="inlineStr"/>
      <c r="C689" t="n">
        <v>1381311106</v>
      </c>
      <c r="D689">
        <f>HYPERLINK("https://www.etsy.com/listing/1381311106", "link")</f>
        <v/>
      </c>
      <c r="E689">
        <f>HYPERLINK("https://atlas.etsycorp.com/listing/1381311106/lookup", "link")</f>
        <v/>
      </c>
      <c r="F689" t="inlineStr">
        <is>
          <t>St. Patrick’s Day earrings | shamrock earrings | green earrings | three leaf clover | clover earrings | Irish jewelry</t>
        </is>
      </c>
      <c r="G689" t="inlineStr">
        <is>
          <t>EuCEmypOJGrRwdbRJOf1BpHiwp22</t>
        </is>
      </c>
      <c r="H689" t="inlineStr">
        <is>
          <t>web</t>
        </is>
      </c>
      <c r="I689" t="inlineStr">
        <is>
          <t>en-US</t>
        </is>
      </c>
      <c r="J689" t="inlineStr">
        <is>
          <t>us_v2-gift</t>
        </is>
      </c>
      <c r="K689" t="b">
        <v>1</v>
      </c>
      <c r="L689" t="inlineStr">
        <is>
          <t>relevant</t>
        </is>
      </c>
      <c r="M689" t="inlineStr">
        <is>
          <t>not_relevant</t>
        </is>
      </c>
      <c r="N689" t="inlineStr">
        <is>
          <t>relevant</t>
        </is>
      </c>
      <c r="O689" t="inlineStr">
        <is>
          <t>relevant</t>
        </is>
      </c>
      <c r="P689" t="b">
        <v>1</v>
      </c>
    </row>
    <row r="690">
      <c r="A690" t="inlineStr">
        <is>
          <t>fun facts 1974 belgie</t>
        </is>
      </c>
      <c r="B690" t="inlineStr">
        <is>
          <t>fun facts 1974 belgium</t>
        </is>
      </c>
      <c r="C690" t="n">
        <v>1480768158</v>
      </c>
      <c r="D690">
        <f>HYPERLINK("https://www.etsy.com/listing/1480768158", "link")</f>
        <v/>
      </c>
      <c r="E690">
        <f>HYPERLINK("https://atlas.etsycorp.com/listing/1480768158/lookup", "link")</f>
        <v/>
      </c>
      <c r="F690" t="inlineStr">
        <is>
          <t>AUSTRALIA Back in 1974 Poster, 50th Birthday Sign, Party Decoration Idea, Fun Facts Poster, Gift for Him, 1974 Milestone Sign, Digital File</t>
        </is>
      </c>
      <c r="G690" t="inlineStr">
        <is>
          <t>EuU7unOBSnmN8Vylz8ttIxlL96c9</t>
        </is>
      </c>
      <c r="H690" t="inlineStr">
        <is>
          <t>web</t>
        </is>
      </c>
      <c r="I690" t="inlineStr">
        <is>
          <t>nl</t>
        </is>
      </c>
      <c r="J690" t="inlineStr">
        <is>
          <t>intl-nl</t>
        </is>
      </c>
      <c r="K690" t="b">
        <v>1</v>
      </c>
      <c r="L690" t="inlineStr">
        <is>
          <t>partial</t>
        </is>
      </c>
      <c r="M690" t="inlineStr">
        <is>
          <t>not_relevant</t>
        </is>
      </c>
      <c r="N690" t="inlineStr">
        <is>
          <t>partial</t>
        </is>
      </c>
      <c r="O690" t="inlineStr">
        <is>
          <t>partial</t>
        </is>
      </c>
      <c r="P690" t="b">
        <v>1</v>
      </c>
    </row>
    <row r="691">
      <c r="A691" t="inlineStr">
        <is>
          <t>ohrringe</t>
        </is>
      </c>
      <c r="B691" t="inlineStr">
        <is>
          <t>earrings</t>
        </is>
      </c>
      <c r="C691" t="n">
        <v>1665097908</v>
      </c>
      <c r="D691">
        <f>HYPERLINK("https://www.etsy.com/listing/1665097908", "link")</f>
        <v/>
      </c>
      <c r="E691">
        <f>HYPERLINK("https://atlas.etsycorp.com/listing/1665097908/lookup", "link")</f>
        <v/>
      </c>
      <c r="F691" t="inlineStr">
        <is>
          <t>Pfotenabdruck Herz Mütze Herz Tierpfote Hundepfote Katzenpfote Herz Tierliebe Cappi - Hundebesitzer Mama Papa Katzenbesitzer Snapback</t>
        </is>
      </c>
      <c r="G691" t="inlineStr">
        <is>
          <t>EuGdCJEGyiWz-cOCEeeU2rtnlm5a</t>
        </is>
      </c>
      <c r="H691" t="inlineStr">
        <is>
          <t>web</t>
        </is>
      </c>
      <c r="I691" t="inlineStr">
        <is>
          <t>de</t>
        </is>
      </c>
      <c r="J691" t="inlineStr">
        <is>
          <t>intl-de</t>
        </is>
      </c>
      <c r="K691" t="b">
        <v>1</v>
      </c>
      <c r="L691" t="inlineStr">
        <is>
          <t>not_relevant</t>
        </is>
      </c>
      <c r="M691" t="inlineStr">
        <is>
          <t>not_relevant</t>
        </is>
      </c>
      <c r="N691" t="inlineStr">
        <is>
          <t>not_relevant</t>
        </is>
      </c>
      <c r="O691" t="inlineStr">
        <is>
          <t>not_relevant</t>
        </is>
      </c>
      <c r="P691" t="b">
        <v>1</v>
      </c>
    </row>
    <row r="692">
      <c r="A692" t="inlineStr">
        <is>
          <t>crochet animal stool</t>
        </is>
      </c>
      <c r="B692" t="inlineStr"/>
      <c r="C692" t="n">
        <v>1473528030</v>
      </c>
      <c r="D692">
        <f>HYPERLINK("https://www.etsy.com/listing/1473528030", "link")</f>
        <v/>
      </c>
      <c r="E692">
        <f>HYPERLINK("https://atlas.etsycorp.com/listing/1473528030/lookup", "link")</f>
        <v/>
      </c>
      <c r="F692" t="inlineStr">
        <is>
          <t>Crochet PATTERN Lil&amp;#39;Xeno | Cute and little scary amigurumi alien from outer space | With opened and cracked alien egg</t>
        </is>
      </c>
      <c r="G692" t="inlineStr">
        <is>
          <t>Eue0KK6j7d_xDqZs4snrtdE9iU9e</t>
        </is>
      </c>
      <c r="H692" t="inlineStr">
        <is>
          <t>boe</t>
        </is>
      </c>
      <c r="I692" t="inlineStr">
        <is>
          <t>en-US</t>
        </is>
      </c>
      <c r="J692" t="inlineStr">
        <is>
          <t>us_v2-direct_unspecified</t>
        </is>
      </c>
      <c r="K692" t="b">
        <v>1</v>
      </c>
      <c r="L692" t="inlineStr">
        <is>
          <t>partial</t>
        </is>
      </c>
      <c r="M692" t="inlineStr">
        <is>
          <t>partial</t>
        </is>
      </c>
      <c r="N692" t="inlineStr">
        <is>
          <t>partial</t>
        </is>
      </c>
      <c r="O692" t="inlineStr">
        <is>
          <t>relevant</t>
        </is>
      </c>
      <c r="P692" t="b">
        <v>1</v>
      </c>
    </row>
    <row r="693">
      <c r="A693" t="inlineStr">
        <is>
          <t>1950s barbie</t>
        </is>
      </c>
      <c r="B693" t="inlineStr"/>
      <c r="C693" t="n">
        <v>1470927811</v>
      </c>
      <c r="D693">
        <f>HYPERLINK("https://www.etsy.com/listing/1470927811", "link")</f>
        <v/>
      </c>
      <c r="E693">
        <f>HYPERLINK("https://atlas.etsycorp.com/listing/1470927811/lookup", "link")</f>
        <v/>
      </c>
      <c r="F693" t="inlineStr">
        <is>
          <t>PDF Vintage Barbie 11-1/2&amp;quot; Sewing Pattern | Wardrobe Clothes for Dolls 11-1/2&amp;quot; | ENGLISH | Digital Download</t>
        </is>
      </c>
      <c r="G693" t="inlineStr">
        <is>
          <t>EuRT7W4Uij1z8jWXPU9F-jdv1804</t>
        </is>
      </c>
      <c r="H693" t="inlineStr">
        <is>
          <t>boe</t>
        </is>
      </c>
      <c r="I693" t="inlineStr">
        <is>
          <t>en-US</t>
        </is>
      </c>
      <c r="J693" t="inlineStr">
        <is>
          <t>us_v2-direct_specified</t>
        </is>
      </c>
      <c r="K693" t="b">
        <v>1</v>
      </c>
      <c r="L693" t="inlineStr">
        <is>
          <t>partial</t>
        </is>
      </c>
      <c r="M693" t="inlineStr">
        <is>
          <t>partial</t>
        </is>
      </c>
      <c r="N693" t="inlineStr">
        <is>
          <t>partial</t>
        </is>
      </c>
      <c r="O693" t="inlineStr">
        <is>
          <t>partial</t>
        </is>
      </c>
      <c r="P693" t="b">
        <v>1</v>
      </c>
    </row>
    <row r="694">
      <c r="A694" t="inlineStr">
        <is>
          <t>anniversary gifts for him</t>
        </is>
      </c>
      <c r="B694" t="inlineStr"/>
      <c r="C694" t="n">
        <v>1383400050</v>
      </c>
      <c r="D694">
        <f>HYPERLINK("https://www.etsy.com/listing/1383400050", "link")</f>
        <v/>
      </c>
      <c r="E694">
        <f>HYPERLINK("https://atlas.etsycorp.com/listing/1383400050/lookup", "link")</f>
        <v/>
      </c>
      <c r="F694" t="inlineStr">
        <is>
          <t>Cute Space Cat Anniversary Card | My World, My Moon &amp; My Stars | Wedding or Dating Anniversary | For Husband, Wife, Boyfriend - Her or Him</t>
        </is>
      </c>
      <c r="G694" t="inlineStr">
        <is>
          <t>EuAbi1jDlW9GHLOwqTcJhPWlLMb2</t>
        </is>
      </c>
      <c r="H694" t="inlineStr">
        <is>
          <t>boe</t>
        </is>
      </c>
      <c r="I694" t="inlineStr">
        <is>
          <t>en-US</t>
        </is>
      </c>
      <c r="J694" t="inlineStr">
        <is>
          <t>us_v2-broad</t>
        </is>
      </c>
      <c r="K694" t="b">
        <v>1</v>
      </c>
      <c r="L694" t="inlineStr">
        <is>
          <t>partial</t>
        </is>
      </c>
      <c r="M694" t="inlineStr">
        <is>
          <t>relevant</t>
        </is>
      </c>
      <c r="N694" t="inlineStr">
        <is>
          <t>partial</t>
        </is>
      </c>
      <c r="O694" t="inlineStr">
        <is>
          <t>partial</t>
        </is>
      </c>
      <c r="P694" t="b">
        <v>1</v>
      </c>
    </row>
    <row r="695">
      <c r="A695" t="inlineStr">
        <is>
          <t>purple necklace</t>
        </is>
      </c>
      <c r="B695" t="inlineStr"/>
      <c r="C695" t="n">
        <v>1301638116</v>
      </c>
      <c r="D695">
        <f>HYPERLINK("https://www.etsy.com/listing/1301638116", "link")</f>
        <v/>
      </c>
      <c r="E695">
        <f>HYPERLINK("https://atlas.etsycorp.com/listing/1301638116/lookup", "link")</f>
        <v/>
      </c>
      <c r="F695" t="inlineStr">
        <is>
          <t>14K Solid Gold Family Birthstone Necklace, Birthstone Gift, Christmas Gift, Bridesmaid Gift, Gift for Mom, Birthday Gift, Birthstone Jewelry</t>
        </is>
      </c>
      <c r="G695" t="inlineStr">
        <is>
          <t>EuCS6Zu2v9IIpHZ79vASVugPDR81</t>
        </is>
      </c>
      <c r="H695" t="inlineStr">
        <is>
          <t>web</t>
        </is>
      </c>
      <c r="I695" t="inlineStr">
        <is>
          <t>en-US</t>
        </is>
      </c>
      <c r="J695" t="inlineStr">
        <is>
          <t>us_v2-direct_specified</t>
        </is>
      </c>
      <c r="K695" t="b">
        <v>1</v>
      </c>
      <c r="L695" t="inlineStr">
        <is>
          <t>partial</t>
        </is>
      </c>
      <c r="M695" t="inlineStr">
        <is>
          <t>partial</t>
        </is>
      </c>
      <c r="N695" t="inlineStr">
        <is>
          <t>partial</t>
        </is>
      </c>
      <c r="O695" t="inlineStr">
        <is>
          <t>relevant</t>
        </is>
      </c>
      <c r="P695" t="b">
        <v>1</v>
      </c>
    </row>
    <row r="696">
      <c r="A696" t="inlineStr">
        <is>
          <t>wish disney</t>
        </is>
      </c>
      <c r="B696" t="inlineStr">
        <is>
          <t>wish disney</t>
        </is>
      </c>
      <c r="C696" t="n">
        <v>1625430473</v>
      </c>
      <c r="D696">
        <f>HYPERLINK("https://www.etsy.com/listing/1625430473", "link")</f>
        <v/>
      </c>
      <c r="E696">
        <f>HYPERLINK("https://atlas.etsycorp.com/listing/1625430473/lookup", "link")</f>
        <v/>
      </c>
      <c r="F696" t="inlineStr">
        <is>
          <t>Wish Clipart PNG Instant Digital Download, Wish Printables, Wish Printable, 0008</t>
        </is>
      </c>
      <c r="G696" t="inlineStr">
        <is>
          <t>EueZdFaDT2z_J0ApfsLmE3y-Qh2d</t>
        </is>
      </c>
      <c r="H696" t="inlineStr">
        <is>
          <t>boe</t>
        </is>
      </c>
      <c r="I696" t="inlineStr">
        <is>
          <t>fr</t>
        </is>
      </c>
      <c r="J696" t="inlineStr">
        <is>
          <t>intl-fr</t>
        </is>
      </c>
      <c r="K696" t="b">
        <v>1</v>
      </c>
      <c r="L696" t="inlineStr">
        <is>
          <t>relevant</t>
        </is>
      </c>
      <c r="M696" t="inlineStr">
        <is>
          <t>relevant</t>
        </is>
      </c>
      <c r="N696" t="inlineStr">
        <is>
          <t>relevant</t>
        </is>
      </c>
      <c r="O696" t="inlineStr">
        <is>
          <t>partial</t>
        </is>
      </c>
      <c r="P696" t="b">
        <v>1</v>
      </c>
    </row>
    <row r="697">
      <c r="A697" t="inlineStr">
        <is>
          <t>joint holder</t>
        </is>
      </c>
      <c r="B697" t="inlineStr"/>
      <c r="C697" t="n">
        <v>1599626291</v>
      </c>
      <c r="D697">
        <f>HYPERLINK("https://www.etsy.com/listing/1599626291", "link")</f>
        <v/>
      </c>
      <c r="E697">
        <f>HYPERLINK("https://atlas.etsycorp.com/listing/1599626291/lookup", "link")</f>
        <v/>
      </c>
      <c r="F697" t="inlineStr">
        <is>
          <t>Blazy Susan Coffin Kit (King Size)</t>
        </is>
      </c>
      <c r="G697" t="inlineStr">
        <is>
          <t>EuJI2kzHYwcMXk78FZhnkg7k06cf</t>
        </is>
      </c>
      <c r="H697" t="inlineStr">
        <is>
          <t>boe</t>
        </is>
      </c>
      <c r="I697" t="inlineStr">
        <is>
          <t>en-US</t>
        </is>
      </c>
      <c r="J697" t="inlineStr">
        <is>
          <t>us_v2-direct_unspecified</t>
        </is>
      </c>
      <c r="K697" t="b">
        <v>1</v>
      </c>
      <c r="L697" t="inlineStr">
        <is>
          <t>not_relevant</t>
        </is>
      </c>
      <c r="M697" t="inlineStr">
        <is>
          <t>not_relevant</t>
        </is>
      </c>
      <c r="N697" t="inlineStr">
        <is>
          <t>not_relevant</t>
        </is>
      </c>
      <c r="O697" t="inlineStr">
        <is>
          <t>not_relevant</t>
        </is>
      </c>
      <c r="P697" t="b">
        <v>1</v>
      </c>
    </row>
    <row r="698">
      <c r="A698" t="inlineStr">
        <is>
          <t>ohrringe</t>
        </is>
      </c>
      <c r="B698" t="inlineStr">
        <is>
          <t>earrings</t>
        </is>
      </c>
      <c r="C698" t="n">
        <v>1626030683</v>
      </c>
      <c r="D698">
        <f>HYPERLINK("https://www.etsy.com/listing/1626030683", "link")</f>
        <v/>
      </c>
      <c r="E698">
        <f>HYPERLINK("https://atlas.etsycorp.com/listing/1626030683/lookup", "link")</f>
        <v/>
      </c>
      <c r="F698" t="inlineStr">
        <is>
          <t>Brushed Hoop Earrings, Delicate Round Earrings, Flat Hoop Earrings, 925 Sterling Silver Earrings, Various Options</t>
        </is>
      </c>
      <c r="G698" t="inlineStr">
        <is>
          <t>EuKtdDMDKArSIRDqdGKRW4XXl01b</t>
        </is>
      </c>
      <c r="H698" t="inlineStr">
        <is>
          <t>web</t>
        </is>
      </c>
      <c r="I698" t="inlineStr">
        <is>
          <t>de</t>
        </is>
      </c>
      <c r="J698" t="inlineStr">
        <is>
          <t>intl-de</t>
        </is>
      </c>
      <c r="K698" t="b">
        <v>1</v>
      </c>
      <c r="L698" t="inlineStr">
        <is>
          <t>relevant</t>
        </is>
      </c>
      <c r="M698" t="inlineStr">
        <is>
          <t>relevant</t>
        </is>
      </c>
      <c r="N698" t="inlineStr">
        <is>
          <t>relevant</t>
        </is>
      </c>
      <c r="O698" t="inlineStr">
        <is>
          <t>relevant</t>
        </is>
      </c>
      <c r="P698" t="b">
        <v>1</v>
      </c>
    </row>
    <row r="699">
      <c r="A699" t="inlineStr">
        <is>
          <t>sac magique</t>
        </is>
      </c>
      <c r="B699" t="inlineStr">
        <is>
          <t>magic bag</t>
        </is>
      </c>
      <c r="C699" t="n">
        <v>1229817411</v>
      </c>
      <c r="D699">
        <f>HYPERLINK("https://www.etsy.com/listing/1229817411", "link")</f>
        <v/>
      </c>
      <c r="E699">
        <f>HYPERLINK("https://atlas.etsycorp.com/listing/1229817411/lookup", "link")</f>
        <v/>
      </c>
      <c r="F699" t="inlineStr">
        <is>
          <t>Work Your Magic Shopping Bag, Witchy Tote Bag, Magic, Shopping Bag</t>
        </is>
      </c>
      <c r="G699" t="inlineStr">
        <is>
          <t>EuGX8ZJSKSnAneAQhB3hlGBWrf75</t>
        </is>
      </c>
      <c r="H699" t="inlineStr">
        <is>
          <t>web</t>
        </is>
      </c>
      <c r="I699" t="inlineStr">
        <is>
          <t>fr</t>
        </is>
      </c>
      <c r="J699" t="inlineStr">
        <is>
          <t>intl-fr</t>
        </is>
      </c>
      <c r="K699" t="b">
        <v>1</v>
      </c>
      <c r="L699" t="inlineStr">
        <is>
          <t>relevant</t>
        </is>
      </c>
      <c r="M699" t="inlineStr">
        <is>
          <t>relevant</t>
        </is>
      </c>
      <c r="N699" t="inlineStr">
        <is>
          <t>partial</t>
        </is>
      </c>
      <c r="O699" t="inlineStr">
        <is>
          <t>relevant</t>
        </is>
      </c>
      <c r="P699" t="b">
        <v>1</v>
      </c>
    </row>
    <row r="700">
      <c r="A700" t="inlineStr">
        <is>
          <t>raccoon tail keychain</t>
        </is>
      </c>
      <c r="B700" t="inlineStr"/>
      <c r="C700" t="n">
        <v>1116412928</v>
      </c>
      <c r="D700">
        <f>HYPERLINK("https://www.etsy.com/listing/1116412928", "link")</f>
        <v/>
      </c>
      <c r="E700">
        <f>HYPERLINK("https://atlas.etsycorp.com/listing/1116412928/lookup", "link")</f>
        <v/>
      </c>
      <c r="F700" t="inlineStr">
        <is>
          <t>Coyote tail keychain</t>
        </is>
      </c>
      <c r="G700" t="inlineStr">
        <is>
          <t>EuX9Ij9l0DRgVIj_yGQ-ox0QLSe5</t>
        </is>
      </c>
      <c r="H700" t="inlineStr">
        <is>
          <t>web</t>
        </is>
      </c>
      <c r="I700" t="inlineStr">
        <is>
          <t>en-US</t>
        </is>
      </c>
      <c r="J700" t="inlineStr">
        <is>
          <t>us_v2-direct_specified</t>
        </is>
      </c>
      <c r="K700" t="b">
        <v>1</v>
      </c>
      <c r="L700" t="inlineStr">
        <is>
          <t>partial</t>
        </is>
      </c>
      <c r="M700" t="inlineStr">
        <is>
          <t>relevant</t>
        </is>
      </c>
      <c r="N700" t="inlineStr">
        <is>
          <t>partial</t>
        </is>
      </c>
      <c r="O700" t="inlineStr">
        <is>
          <t>partial</t>
        </is>
      </c>
      <c r="P700" t="b">
        <v>1</v>
      </c>
    </row>
    <row r="701">
      <c r="A701" t="inlineStr">
        <is>
          <t>trofeo primer grado</t>
        </is>
      </c>
      <c r="B701" t="inlineStr">
        <is>
          <t>first grade trophy</t>
        </is>
      </c>
      <c r="C701" t="n">
        <v>1709782126</v>
      </c>
      <c r="D701">
        <f>HYPERLINK("https://www.etsy.com/listing/1709782126", "link")</f>
        <v/>
      </c>
      <c r="E701">
        <f>HYPERLINK("https://atlas.etsycorp.com/listing/1709782126/lookup", "link")</f>
        <v/>
      </c>
      <c r="F701" t="inlineStr">
        <is>
          <t>Preschool Graduation Name Necklace Personalized, Kindergarten Here I Come Graduation Ceremony, Graduation Preschool Pre-K Grad Notecard Gift</t>
        </is>
      </c>
      <c r="G701" t="inlineStr">
        <is>
          <t>EuvDw8AI3AbJ1gJ2TwV3Qt4ugo5e</t>
        </is>
      </c>
      <c r="H701" t="inlineStr">
        <is>
          <t>boe</t>
        </is>
      </c>
      <c r="I701" t="inlineStr">
        <is>
          <t>es</t>
        </is>
      </c>
      <c r="J701" t="inlineStr">
        <is>
          <t>intl-es</t>
        </is>
      </c>
      <c r="K701" t="b">
        <v>1</v>
      </c>
      <c r="L701" t="inlineStr">
        <is>
          <t>not_relevant</t>
        </is>
      </c>
      <c r="M701" t="inlineStr">
        <is>
          <t>not_relevant</t>
        </is>
      </c>
      <c r="N701" t="inlineStr">
        <is>
          <t>relevant</t>
        </is>
      </c>
      <c r="O701" t="inlineStr">
        <is>
          <t>not_relevant</t>
        </is>
      </c>
      <c r="P701" t="b">
        <v>1</v>
      </c>
    </row>
    <row r="702">
      <c r="A702" t="inlineStr">
        <is>
          <t>toller</t>
        </is>
      </c>
      <c r="B702" t="inlineStr"/>
      <c r="C702" t="n">
        <v>970620957</v>
      </c>
      <c r="D702">
        <f>HYPERLINK("https://www.etsy.com/listing/970620957", "link")</f>
        <v/>
      </c>
      <c r="E702">
        <f>HYPERLINK("https://atlas.etsycorp.com/listing/970620957/lookup", "link")</f>
        <v/>
      </c>
      <c r="F702" t="inlineStr">
        <is>
          <t>Happy Birthday Sausage Dog Card</t>
        </is>
      </c>
      <c r="G702" t="inlineStr">
        <is>
          <t>EuTN4soJXXiQXGu1Y6g8f96j59d3</t>
        </is>
      </c>
      <c r="H702" t="inlineStr">
        <is>
          <t>web</t>
        </is>
      </c>
      <c r="I702" t="inlineStr">
        <is>
          <t>en-US</t>
        </is>
      </c>
      <c r="J702" t="inlineStr">
        <is>
          <t>us_v2-direct_unspecified</t>
        </is>
      </c>
      <c r="K702" t="b">
        <v>1</v>
      </c>
      <c r="L702" t="inlineStr">
        <is>
          <t>not_relevant</t>
        </is>
      </c>
      <c r="M702" t="inlineStr">
        <is>
          <t>not_relevant</t>
        </is>
      </c>
      <c r="N702" t="inlineStr">
        <is>
          <t>not_relevant</t>
        </is>
      </c>
      <c r="O702" t="inlineStr">
        <is>
          <t>partial</t>
        </is>
      </c>
      <c r="P702" t="b">
        <v>1</v>
      </c>
    </row>
    <row r="703">
      <c r="A703" t="inlineStr">
        <is>
          <t>Beaded Bracelets</t>
        </is>
      </c>
      <c r="B703" t="inlineStr"/>
      <c r="C703" t="n">
        <v>1230065299</v>
      </c>
      <c r="D703">
        <f>HYPERLINK("https://www.etsy.com/listing/1230065299", "link")</f>
        <v/>
      </c>
      <c r="E703">
        <f>HYPERLINK("https://atlas.etsycorp.com/listing/1230065299/lookup", "link")</f>
        <v/>
      </c>
      <c r="F703" t="inlineStr">
        <is>
          <t>Rainbow Bracelet, Seed Bead Bracelet, Stretch Bracelet, Smiley Bracelet, Gold Bead Bracelet, Happy Face Bracelet, Yellow Smiley Bracelet</t>
        </is>
      </c>
      <c r="G703" t="inlineStr">
        <is>
          <t>Eu0IJyDsKOgDw7ll9_M8NLy1K08c</t>
        </is>
      </c>
      <c r="H703" t="inlineStr">
        <is>
          <t>boe</t>
        </is>
      </c>
      <c r="I703" t="inlineStr">
        <is>
          <t>en-US</t>
        </is>
      </c>
      <c r="J703" t="inlineStr">
        <is>
          <t>us_v2-direct_unspecified</t>
        </is>
      </c>
      <c r="K703" t="b">
        <v>1</v>
      </c>
      <c r="L703" t="inlineStr">
        <is>
          <t>relevant</t>
        </is>
      </c>
      <c r="M703" t="inlineStr">
        <is>
          <t>relevant</t>
        </is>
      </c>
      <c r="N703" t="inlineStr">
        <is>
          <t>relevant</t>
        </is>
      </c>
      <c r="O703" t="inlineStr">
        <is>
          <t>relevant</t>
        </is>
      </c>
      <c r="P703" t="b">
        <v>1</v>
      </c>
    </row>
    <row r="704">
      <c r="A704" t="inlineStr">
        <is>
          <t>geschenk opa geburtstag</t>
        </is>
      </c>
      <c r="B704" t="inlineStr">
        <is>
          <t>gift grandpa birthday</t>
        </is>
      </c>
      <c r="C704" t="n">
        <v>1559861137</v>
      </c>
      <c r="D704">
        <f>HYPERLINK("https://www.etsy.com/listing/1559861137", "link")</f>
        <v/>
      </c>
      <c r="E704">
        <f>HYPERLINK("https://atlas.etsycorp.com/listing/1559861137/lookup", "link")</f>
        <v/>
      </c>
      <c r="F704" t="inlineStr">
        <is>
          <t>Grandpa Fathers Day, Grandpa Birthday Gift, Personalized Grandpa Gift, Grandfather Birthday Gift, Grandpa Christmas Gift, Grandparent Gifts</t>
        </is>
      </c>
      <c r="G704" t="inlineStr">
        <is>
          <t>EuT-XiPv--EkxAXCiuN0tPFDCee5</t>
        </is>
      </c>
      <c r="H704" t="inlineStr">
        <is>
          <t>boe</t>
        </is>
      </c>
      <c r="I704" t="inlineStr">
        <is>
          <t>de</t>
        </is>
      </c>
      <c r="J704" t="inlineStr">
        <is>
          <t>intl-de</t>
        </is>
      </c>
      <c r="K704" t="b">
        <v>1</v>
      </c>
      <c r="L704" t="inlineStr">
        <is>
          <t>relevant</t>
        </is>
      </c>
      <c r="M704" t="inlineStr">
        <is>
          <t>relevant</t>
        </is>
      </c>
      <c r="N704" t="inlineStr">
        <is>
          <t>relevant</t>
        </is>
      </c>
      <c r="O704" t="inlineStr">
        <is>
          <t>relevant</t>
        </is>
      </c>
      <c r="P704" t="b">
        <v>1</v>
      </c>
    </row>
    <row r="705">
      <c r="A705" t="inlineStr">
        <is>
          <t>outdoor hosting</t>
        </is>
      </c>
      <c r="B705" t="inlineStr">
        <is>
          <t>outdoorhosting</t>
        </is>
      </c>
      <c r="C705" t="n">
        <v>1570230263</v>
      </c>
      <c r="D705">
        <f>HYPERLINK("https://www.etsy.com/listing/1570230263", "link")</f>
        <v/>
      </c>
      <c r="E705">
        <f>HYPERLINK("https://atlas.etsycorp.com/listing/1570230263/lookup", "link")</f>
        <v/>
      </c>
      <c r="F705" t="inlineStr">
        <is>
          <t>Wine table, picnic table, serving tray oval oak, couch bar, beach table, wedding, birthday gift, folding table, wine lover.</t>
        </is>
      </c>
      <c r="G705" t="inlineStr">
        <is>
          <t>Eu1WpEEhzfkICNsf0vk87QEA0sd2</t>
        </is>
      </c>
      <c r="H705" t="inlineStr">
        <is>
          <t>web</t>
        </is>
      </c>
      <c r="I705" t="inlineStr">
        <is>
          <t>de</t>
        </is>
      </c>
      <c r="J705" t="inlineStr">
        <is>
          <t>intl-de</t>
        </is>
      </c>
      <c r="K705" t="b">
        <v>1</v>
      </c>
      <c r="L705" t="inlineStr">
        <is>
          <t>relevant</t>
        </is>
      </c>
      <c r="M705" t="inlineStr">
        <is>
          <t>relevant</t>
        </is>
      </c>
      <c r="N705" t="inlineStr">
        <is>
          <t>relevant</t>
        </is>
      </c>
      <c r="O705" t="inlineStr">
        <is>
          <t>not_relevant</t>
        </is>
      </c>
      <c r="P705" t="b">
        <v>1</v>
      </c>
    </row>
    <row r="706">
      <c r="A706" t="inlineStr">
        <is>
          <t>fox onesie</t>
        </is>
      </c>
      <c r="B706" t="inlineStr"/>
      <c r="C706" t="n">
        <v>952041487</v>
      </c>
      <c r="D706">
        <f>HYPERLINK("https://www.etsy.com/listing/952041487", "link")</f>
        <v/>
      </c>
      <c r="E706">
        <f>HYPERLINK("https://atlas.etsycorp.com/listing/952041487/lookup", "link")</f>
        <v/>
      </c>
      <c r="F706" t="inlineStr">
        <is>
          <t>First Birthday Outfit Girl, Woodland Birthday Onesie, Woodland Birthday Party Shirt, Personalized Bear Fox Deer Onesie</t>
        </is>
      </c>
      <c r="G706" t="inlineStr">
        <is>
          <t>Eue8VPaKwO5OEAvRJvM_cAN8s-38</t>
        </is>
      </c>
      <c r="H706" t="inlineStr">
        <is>
          <t>web</t>
        </is>
      </c>
      <c r="I706" t="inlineStr">
        <is>
          <t>en-GB</t>
        </is>
      </c>
      <c r="J706" t="inlineStr">
        <is>
          <t>us_v2-broad</t>
        </is>
      </c>
      <c r="K706" t="b">
        <v>1</v>
      </c>
      <c r="L706" t="inlineStr">
        <is>
          <t>partial</t>
        </is>
      </c>
      <c r="M706" t="inlineStr">
        <is>
          <t>partial</t>
        </is>
      </c>
      <c r="N706" t="inlineStr">
        <is>
          <t>partial</t>
        </is>
      </c>
      <c r="O706" t="inlineStr">
        <is>
          <t>relevant</t>
        </is>
      </c>
      <c r="P706" t="b">
        <v>1</v>
      </c>
    </row>
    <row r="707">
      <c r="A707" t="inlineStr">
        <is>
          <t>vitage fischer</t>
        </is>
      </c>
      <c r="B707" t="inlineStr">
        <is>
          <t>vitage fischer</t>
        </is>
      </c>
      <c r="C707" t="n">
        <v>1511271531</v>
      </c>
      <c r="D707">
        <f>HYPERLINK("https://www.etsy.com/listing/1511271531", "link")</f>
        <v/>
      </c>
      <c r="E707">
        <f>HYPERLINK("https://atlas.etsycorp.com/listing/1511271531/lookup", "link")</f>
        <v/>
      </c>
      <c r="F707" t="inlineStr">
        <is>
          <t>old ceramic dish LA BOURGUIGNONNE french vitage 1970</t>
        </is>
      </c>
      <c r="G707" t="inlineStr">
        <is>
          <t>EuiZIMfcG1WdgY45iGZikrMmrAa7</t>
        </is>
      </c>
      <c r="H707" t="inlineStr">
        <is>
          <t>web</t>
        </is>
      </c>
      <c r="I707" t="inlineStr">
        <is>
          <t>de</t>
        </is>
      </c>
      <c r="J707" t="inlineStr">
        <is>
          <t>intl-de</t>
        </is>
      </c>
      <c r="K707" t="b">
        <v>1</v>
      </c>
      <c r="L707" t="inlineStr">
        <is>
          <t>not_relevant</t>
        </is>
      </c>
      <c r="M707" t="inlineStr">
        <is>
          <t>not_relevant</t>
        </is>
      </c>
      <c r="N707" t="inlineStr">
        <is>
          <t>not_relevant</t>
        </is>
      </c>
      <c r="O707" t="inlineStr">
        <is>
          <t>not_relevant</t>
        </is>
      </c>
      <c r="P707" t="b">
        <v>1</v>
      </c>
    </row>
    <row r="708">
      <c r="A708" t="inlineStr">
        <is>
          <t>anello dentizione</t>
        </is>
      </c>
      <c r="B708" t="inlineStr">
        <is>
          <t>teething ring</t>
        </is>
      </c>
      <c r="C708" t="n">
        <v>736234900</v>
      </c>
      <c r="D708">
        <f>HYPERLINK("https://www.etsy.com/listing/736234900", "link")</f>
        <v/>
      </c>
      <c r="E708">
        <f>HYPERLINK("https://atlas.etsycorp.com/listing/736234900/lookup", "link")</f>
        <v/>
      </c>
      <c r="F708" t="inlineStr">
        <is>
          <t>Teething ring grasping ring wood muslin bunny ears 100% cotton</t>
        </is>
      </c>
      <c r="G708" t="inlineStr">
        <is>
          <t>Euqw_3pY6gYPmP7TGFqmNfTSk4a6</t>
        </is>
      </c>
      <c r="H708" t="inlineStr">
        <is>
          <t>web</t>
        </is>
      </c>
      <c r="I708" t="inlineStr">
        <is>
          <t>it</t>
        </is>
      </c>
      <c r="J708" t="inlineStr">
        <is>
          <t>intl-it</t>
        </is>
      </c>
      <c r="K708" t="b">
        <v>1</v>
      </c>
      <c r="L708" t="inlineStr">
        <is>
          <t>relevant</t>
        </is>
      </c>
      <c r="M708" t="inlineStr">
        <is>
          <t>relevant</t>
        </is>
      </c>
      <c r="N708" t="inlineStr">
        <is>
          <t>relevant</t>
        </is>
      </c>
      <c r="O708" t="inlineStr">
        <is>
          <t>relevant</t>
        </is>
      </c>
      <c r="P708" t="b">
        <v>1</v>
      </c>
    </row>
    <row r="709">
      <c r="A709" t="inlineStr">
        <is>
          <t>turning red</t>
        </is>
      </c>
      <c r="B709" t="inlineStr"/>
      <c r="C709" t="n">
        <v>784393097</v>
      </c>
      <c r="D709">
        <f>HYPERLINK("https://www.etsy.com/listing/784393097", "link")</f>
        <v/>
      </c>
      <c r="E709">
        <f>HYPERLINK("https://atlas.etsycorp.com/listing/784393097/lookup", "link")</f>
        <v/>
      </c>
      <c r="F709" t="inlineStr">
        <is>
          <t>Schleich red panda in party hat, includes mini flag with wording of your choice. Add extra accessories.</t>
        </is>
      </c>
      <c r="G709" t="inlineStr">
        <is>
          <t>EuK8oQPu5ODw-X31mWNo3vs5d-a7</t>
        </is>
      </c>
      <c r="H709" t="inlineStr">
        <is>
          <t>boe</t>
        </is>
      </c>
      <c r="I709" t="inlineStr">
        <is>
          <t>en-GB</t>
        </is>
      </c>
      <c r="J709" t="inlineStr">
        <is>
          <t>us_v2-broad</t>
        </is>
      </c>
      <c r="K709" t="b">
        <v>1</v>
      </c>
      <c r="L709" t="inlineStr">
        <is>
          <t>partial</t>
        </is>
      </c>
      <c r="M709" t="inlineStr">
        <is>
          <t>partial</t>
        </is>
      </c>
      <c r="N709" t="inlineStr">
        <is>
          <t>relevant</t>
        </is>
      </c>
      <c r="O709" t="inlineStr">
        <is>
          <t>partial</t>
        </is>
      </c>
      <c r="P709" t="b">
        <v>1</v>
      </c>
    </row>
    <row r="710">
      <c r="A710" t="inlineStr">
        <is>
          <t>italian charm bracelet gold</t>
        </is>
      </c>
      <c r="B710" t="inlineStr"/>
      <c r="C710" t="n">
        <v>1434463173</v>
      </c>
      <c r="D710">
        <f>HYPERLINK("https://www.etsy.com/listing/1434463173", "link")</f>
        <v/>
      </c>
      <c r="E710">
        <f>HYPERLINK("https://atlas.etsycorp.com/listing/1434463173/lookup", "link")</f>
        <v/>
      </c>
      <c r="F710" t="inlineStr">
        <is>
          <t>Dainty Opal Moon Bracelet, Crescent Moon and Star Sterling Silver Bracelet, Gift for Her</t>
        </is>
      </c>
      <c r="G710" t="inlineStr">
        <is>
          <t>EuuWWjWiYQxT9OeasbGWjqHQ_Ge2</t>
        </is>
      </c>
      <c r="H710" t="inlineStr">
        <is>
          <t>boe</t>
        </is>
      </c>
      <c r="I710" t="inlineStr">
        <is>
          <t>en-US</t>
        </is>
      </c>
      <c r="J710" t="inlineStr">
        <is>
          <t>us_v2-direct_specified</t>
        </is>
      </c>
      <c r="K710" t="b">
        <v>1</v>
      </c>
      <c r="L710" t="inlineStr">
        <is>
          <t>partial</t>
        </is>
      </c>
      <c r="M710" t="inlineStr">
        <is>
          <t>partial</t>
        </is>
      </c>
      <c r="N710" t="inlineStr">
        <is>
          <t>partial</t>
        </is>
      </c>
      <c r="O710" t="inlineStr">
        <is>
          <t>partial</t>
        </is>
      </c>
      <c r="P710" t="b">
        <v>1</v>
      </c>
    </row>
    <row r="711">
      <c r="A711" t="inlineStr">
        <is>
          <t>tulle dress mesh</t>
        </is>
      </c>
      <c r="B711" t="inlineStr"/>
      <c r="C711" t="n">
        <v>1154311444</v>
      </c>
      <c r="D711">
        <f>HYPERLINK("https://www.etsy.com/listing/1154311444", "link")</f>
        <v/>
      </c>
      <c r="E711">
        <f>HYPERLINK("https://atlas.etsycorp.com/listing/1154311444/lookup", "link")</f>
        <v/>
      </c>
      <c r="F711" t="inlineStr">
        <is>
          <t>Vintage Style Mesh Embroidered Dress- Size S to XL</t>
        </is>
      </c>
      <c r="G711" t="inlineStr">
        <is>
          <t>EuSgJQ1Qbsfs-9zQWvsQfbcIL-46</t>
        </is>
      </c>
      <c r="H711" t="inlineStr">
        <is>
          <t>web</t>
        </is>
      </c>
      <c r="I711" t="inlineStr">
        <is>
          <t>en-US</t>
        </is>
      </c>
      <c r="J711" t="inlineStr">
        <is>
          <t>us_v2-direct_specified</t>
        </is>
      </c>
      <c r="K711" t="b">
        <v>1</v>
      </c>
      <c r="L711" t="inlineStr">
        <is>
          <t>partial</t>
        </is>
      </c>
      <c r="M711" t="inlineStr">
        <is>
          <t>partial</t>
        </is>
      </c>
      <c r="N711" t="inlineStr">
        <is>
          <t>partial</t>
        </is>
      </c>
      <c r="O711" t="inlineStr">
        <is>
          <t>relevant</t>
        </is>
      </c>
      <c r="P711" t="b">
        <v>1</v>
      </c>
    </row>
    <row r="712">
      <c r="A712" t="inlineStr">
        <is>
          <t>one peice tumbler</t>
        </is>
      </c>
      <c r="B712" t="inlineStr"/>
      <c r="C712" t="n">
        <v>1629701636</v>
      </c>
      <c r="D712">
        <f>HYPERLINK("https://www.etsy.com/listing/1629701636", "link")</f>
        <v/>
      </c>
      <c r="E712">
        <f>HYPERLINK("https://atlas.etsycorp.com/listing/1629701636/lookup", "link")</f>
        <v/>
      </c>
      <c r="F712" t="inlineStr">
        <is>
          <t>Laser Engraved Anime Lover Water Bottle Stainless Steel Bottle Leak Proof Anime Gift for Friend Family Jujutsu Kaisen. 1 Side/image</t>
        </is>
      </c>
      <c r="G712" t="inlineStr">
        <is>
          <t>EuHKPaDyuo59DGCfrEH28ydztO81</t>
        </is>
      </c>
      <c r="H712" t="inlineStr">
        <is>
          <t>boe</t>
        </is>
      </c>
      <c r="I712" t="inlineStr">
        <is>
          <t>en-US</t>
        </is>
      </c>
      <c r="J712" t="inlineStr">
        <is>
          <t>us_v2-direct_specified</t>
        </is>
      </c>
      <c r="K712" t="b">
        <v>1</v>
      </c>
      <c r="L712" t="inlineStr">
        <is>
          <t>partial</t>
        </is>
      </c>
      <c r="M712" t="inlineStr">
        <is>
          <t>partial</t>
        </is>
      </c>
      <c r="N712" t="inlineStr">
        <is>
          <t>relevant</t>
        </is>
      </c>
      <c r="O712" t="inlineStr">
        <is>
          <t>partial</t>
        </is>
      </c>
      <c r="P712" t="b">
        <v>1</v>
      </c>
    </row>
    <row r="713">
      <c r="A713" t="inlineStr">
        <is>
          <t>bracelet pour montre femme 1cm</t>
        </is>
      </c>
      <c r="B713" t="inlineStr">
        <is>
          <t>bracelet for women's watch 1cm</t>
        </is>
      </c>
      <c r="C713" t="n">
        <v>1352853935</v>
      </c>
      <c r="D713">
        <f>HYPERLINK("https://www.etsy.com/listing/1352853935", "link")</f>
        <v/>
      </c>
      <c r="E713">
        <f>HYPERLINK("https://atlas.etsycorp.com/listing/1352853935/lookup", "link")</f>
        <v/>
      </c>
      <c r="F713" t="inlineStr">
        <is>
          <t>Bracelet for Xiaomi Mi Band 8 Sport Watch Strap Silicone Replacement strap Fitness tracker band</t>
        </is>
      </c>
      <c r="G713" t="inlineStr">
        <is>
          <t>EuGQjDTmaJq6BAoPuKJnGxrEHVdb</t>
        </is>
      </c>
      <c r="H713" t="inlineStr">
        <is>
          <t>web</t>
        </is>
      </c>
      <c r="I713" t="inlineStr">
        <is>
          <t>fr</t>
        </is>
      </c>
      <c r="J713" t="inlineStr">
        <is>
          <t>intl-fr</t>
        </is>
      </c>
      <c r="K713" t="b">
        <v>1</v>
      </c>
      <c r="L713" t="inlineStr">
        <is>
          <t>partial</t>
        </is>
      </c>
      <c r="M713" t="inlineStr">
        <is>
          <t>partial</t>
        </is>
      </c>
      <c r="N713" t="inlineStr">
        <is>
          <t>partial</t>
        </is>
      </c>
      <c r="O713" t="inlineStr">
        <is>
          <t>relevant</t>
        </is>
      </c>
      <c r="P713" t="b">
        <v>1</v>
      </c>
    </row>
    <row r="714">
      <c r="A714" t="inlineStr">
        <is>
          <t>twitch sunset overlays</t>
        </is>
      </c>
      <c r="B714" t="inlineStr"/>
      <c r="C714" t="n">
        <v>1604476073</v>
      </c>
      <c r="D714">
        <f>HYPERLINK("https://www.etsy.com/listing/1604476073", "link")</f>
        <v/>
      </c>
      <c r="E714">
        <f>HYPERLINK("https://atlas.etsycorp.com/listing/1604476073/lookup", "link")</f>
        <v/>
      </c>
      <c r="F714" t="inlineStr">
        <is>
          <t>Twitch Overlay Beachy Vibes | Stream Package Beach Theme | Customizable Overlays For Twitch | Vtuber Overlay &amp; Panels</t>
        </is>
      </c>
      <c r="G714" t="inlineStr">
        <is>
          <t>EuuGvaSD_B2ciYJXz7LI2t4WYce7</t>
        </is>
      </c>
      <c r="H714" t="inlineStr">
        <is>
          <t>web</t>
        </is>
      </c>
      <c r="I714" t="inlineStr">
        <is>
          <t>en-US</t>
        </is>
      </c>
      <c r="J714" t="inlineStr">
        <is>
          <t>us_v2-direct_specified</t>
        </is>
      </c>
      <c r="K714" t="b">
        <v>1</v>
      </c>
      <c r="L714" t="inlineStr">
        <is>
          <t>partial</t>
        </is>
      </c>
      <c r="M714" t="inlineStr">
        <is>
          <t>partial</t>
        </is>
      </c>
      <c r="N714" t="inlineStr">
        <is>
          <t>partial</t>
        </is>
      </c>
      <c r="O714" t="inlineStr">
        <is>
          <t>partial</t>
        </is>
      </c>
      <c r="P714" t="b">
        <v>1</v>
      </c>
    </row>
    <row r="715">
      <c r="A715" t="inlineStr">
        <is>
          <t>amoniet hanger goud</t>
        </is>
      </c>
      <c r="B715" t="inlineStr">
        <is>
          <t>amonite pendant gold</t>
        </is>
      </c>
      <c r="C715" t="n">
        <v>1402792813</v>
      </c>
      <c r="D715">
        <f>HYPERLINK("https://www.etsy.com/listing/1402792813", "link")</f>
        <v/>
      </c>
      <c r="E715">
        <f>HYPERLINK("https://atlas.etsycorp.com/listing/1402792813/lookup", "link")</f>
        <v/>
      </c>
      <c r="F715" t="inlineStr">
        <is>
          <t>Ammonite Fossil Gemstone Handmade Pendant 925 Sterling Silver Pendant Gemstone Decent Jewelry Ammonite Fossil Pendant For Mom Gift For Her</t>
        </is>
      </c>
      <c r="G715" t="inlineStr">
        <is>
          <t>EuW-HFv8vWIPB3AEEz9N8_eF3084</t>
        </is>
      </c>
      <c r="H715" t="inlineStr">
        <is>
          <t>web</t>
        </is>
      </c>
      <c r="I715" t="inlineStr">
        <is>
          <t>nl</t>
        </is>
      </c>
      <c r="J715" t="inlineStr">
        <is>
          <t>intl-nl</t>
        </is>
      </c>
      <c r="K715" t="b">
        <v>1</v>
      </c>
      <c r="L715" t="inlineStr">
        <is>
          <t>partial</t>
        </is>
      </c>
      <c r="M715" t="inlineStr">
        <is>
          <t>partial</t>
        </is>
      </c>
      <c r="N715" t="inlineStr">
        <is>
          <t>partial</t>
        </is>
      </c>
      <c r="O715" t="inlineStr">
        <is>
          <t>partial</t>
        </is>
      </c>
      <c r="P715" t="b">
        <v>1</v>
      </c>
    </row>
    <row r="716">
      <c r="A716" t="inlineStr">
        <is>
          <t>cheese board</t>
        </is>
      </c>
      <c r="B716" t="inlineStr"/>
      <c r="C716" t="n">
        <v>636204314</v>
      </c>
      <c r="D716">
        <f>HYPERLINK("https://www.etsy.com/listing/636204314", "link")</f>
        <v/>
      </c>
      <c r="E716">
        <f>HYPERLINK("https://atlas.etsycorp.com/listing/636204314/lookup", "link")</f>
        <v/>
      </c>
      <c r="F716" t="inlineStr">
        <is>
          <t>Personalized slate Cheese Board,engraved Service platter,Gift for wedding,Custom Name,Xmas Gift CH196</t>
        </is>
      </c>
      <c r="G716" t="inlineStr">
        <is>
          <t>Eu0DOzkxJiEJmFp5wBRcS4ShMr84</t>
        </is>
      </c>
      <c r="H716" t="inlineStr">
        <is>
          <t>boe</t>
        </is>
      </c>
      <c r="I716" t="inlineStr">
        <is>
          <t>en-US</t>
        </is>
      </c>
      <c r="J716" t="inlineStr">
        <is>
          <t>us_v2-direct_unspecified</t>
        </is>
      </c>
      <c r="K716" t="b">
        <v>1</v>
      </c>
      <c r="L716" t="inlineStr">
        <is>
          <t>relevant</t>
        </is>
      </c>
      <c r="M716" t="inlineStr">
        <is>
          <t>relevant</t>
        </is>
      </c>
      <c r="N716" t="inlineStr">
        <is>
          <t>relevant</t>
        </is>
      </c>
      <c r="O716" t="inlineStr">
        <is>
          <t>relevant</t>
        </is>
      </c>
      <c r="P716" t="b">
        <v>1</v>
      </c>
    </row>
    <row r="717">
      <c r="A717" t="inlineStr">
        <is>
          <t>ヤギ毛</t>
        </is>
      </c>
      <c r="B717" t="inlineStr">
        <is>
          <t>Goat hair</t>
        </is>
      </c>
      <c r="C717" t="n">
        <v>1635326570</v>
      </c>
      <c r="D717">
        <f>HYPERLINK("https://www.etsy.com/listing/1635326570", "link")</f>
        <v/>
      </c>
      <c r="E717">
        <f>HYPERLINK("https://atlas.etsycorp.com/listing/1635326570/lookup", "link")</f>
        <v/>
      </c>
      <c r="F717" t="inlineStr">
        <is>
          <t>Natural Boutique ox Horn Comb Hair Brush,Handle Horn Massage Comb, cattle horns 100% Genuine Horn Pocket Beard Comb Anti Static Scalp Brush</t>
        </is>
      </c>
      <c r="G717" t="inlineStr">
        <is>
          <t>EuiyDvJc_ctSHD6v1rrk9Ca9Nf0b</t>
        </is>
      </c>
      <c r="H717" t="inlineStr">
        <is>
          <t>web</t>
        </is>
      </c>
      <c r="I717" t="inlineStr">
        <is>
          <t>ja</t>
        </is>
      </c>
      <c r="J717" t="inlineStr">
        <is>
          <t>intl-ja</t>
        </is>
      </c>
      <c r="K717" t="b">
        <v>1</v>
      </c>
      <c r="L717" t="inlineStr">
        <is>
          <t>partial</t>
        </is>
      </c>
      <c r="M717" t="inlineStr">
        <is>
          <t>partial</t>
        </is>
      </c>
      <c r="N717" t="inlineStr">
        <is>
          <t>partial</t>
        </is>
      </c>
      <c r="O717" t="inlineStr">
        <is>
          <t>partial</t>
        </is>
      </c>
      <c r="P717" t="b">
        <v>1</v>
      </c>
    </row>
    <row r="718">
      <c r="A718" t="inlineStr">
        <is>
          <t>beautiful svg</t>
        </is>
      </c>
      <c r="B718" t="inlineStr"/>
      <c r="C718" t="n">
        <v>863946436</v>
      </c>
      <c r="D718">
        <f>HYPERLINK("https://www.etsy.com/listing/863946436", "link")</f>
        <v/>
      </c>
      <c r="E718">
        <f>HYPERLINK("https://atlas.etsycorp.com/listing/863946436/lookup", "link")</f>
        <v/>
      </c>
      <c r="F718" t="inlineStr">
        <is>
          <t>Beautiful crazy svg, Country, svg, Beautiful crazy svg, Beautiful svg, Country t shirt svg, Cricut cut file, Silhouette</t>
        </is>
      </c>
      <c r="G718" t="inlineStr">
        <is>
          <t>EusVMXUhl5aHOuyeMokh8LIPCSd7</t>
        </is>
      </c>
      <c r="H718" t="inlineStr">
        <is>
          <t>web</t>
        </is>
      </c>
      <c r="I718" t="inlineStr">
        <is>
          <t>en-US</t>
        </is>
      </c>
      <c r="J718" t="inlineStr">
        <is>
          <t>us_v2-direct_specified</t>
        </is>
      </c>
      <c r="K718" t="b">
        <v>1</v>
      </c>
      <c r="L718" t="inlineStr">
        <is>
          <t>relevant</t>
        </is>
      </c>
      <c r="M718" t="inlineStr">
        <is>
          <t>relevant</t>
        </is>
      </c>
      <c r="N718" t="inlineStr">
        <is>
          <t>relevant</t>
        </is>
      </c>
      <c r="O718" t="inlineStr">
        <is>
          <t>relevant</t>
        </is>
      </c>
      <c r="P718" t="b">
        <v>1</v>
      </c>
    </row>
    <row r="719">
      <c r="A719" t="inlineStr">
        <is>
          <t>decorasion de super simple songs</t>
        </is>
      </c>
      <c r="B719" t="inlineStr">
        <is>
          <t>decoration of super simple songs</t>
        </is>
      </c>
      <c r="C719" t="n">
        <v>1538938848</v>
      </c>
      <c r="D719">
        <f>HYPERLINK("https://www.etsy.com/listing/1538938848", "link")</f>
        <v/>
      </c>
      <c r="E719">
        <f>HYPERLINK("https://atlas.etsycorp.com/listing/1538938848/lookup", "link")</f>
        <v/>
      </c>
      <c r="F719" t="inlineStr">
        <is>
          <t>Name That Baby Song | Name That Baby Tune | Baby Song Game | Name That Baby Game | Baby Shower Game Printable | Editable Template | A1</t>
        </is>
      </c>
      <c r="G719" t="inlineStr">
        <is>
          <t>Euhm3YQH1rW-RCn0JEt0__YuAF7d</t>
        </is>
      </c>
      <c r="H719" t="inlineStr">
        <is>
          <t>boe</t>
        </is>
      </c>
      <c r="I719" t="inlineStr">
        <is>
          <t>es</t>
        </is>
      </c>
      <c r="J719" t="inlineStr">
        <is>
          <t>intl-es</t>
        </is>
      </c>
      <c r="K719" t="b">
        <v>1</v>
      </c>
      <c r="L719" t="inlineStr">
        <is>
          <t>not_relevant</t>
        </is>
      </c>
      <c r="M719" t="inlineStr">
        <is>
          <t>not_relevant</t>
        </is>
      </c>
      <c r="N719" t="inlineStr">
        <is>
          <t>not_relevant</t>
        </is>
      </c>
      <c r="O719" t="inlineStr">
        <is>
          <t>not_relevant</t>
        </is>
      </c>
      <c r="P719" t="b">
        <v>1</v>
      </c>
    </row>
    <row r="720">
      <c r="A720" t="inlineStr">
        <is>
          <t>personalized school supplies</t>
        </is>
      </c>
      <c r="B720" t="inlineStr">
        <is>
          <t>personalized school supplies</t>
        </is>
      </c>
      <c r="C720" t="n">
        <v>1096568798</v>
      </c>
      <c r="D720">
        <f>HYPERLINK("https://www.etsy.com/listing/1096568798", "link")</f>
        <v/>
      </c>
      <c r="E720">
        <f>HYPERLINK("https://atlas.etsycorp.com/listing/1096568798/lookup", "link")</f>
        <v/>
      </c>
      <c r="F720" t="inlineStr">
        <is>
          <t>Custom Name Canvas Tote bag, Birthday gift for kids, Kids Name Tote Bag, Birthday Gift, Preschool,Kindergarten Book Tote Bag, Birthday Gift</t>
        </is>
      </c>
      <c r="G720" t="inlineStr">
        <is>
          <t>Eu06eh84nntprIUcBB5AXMgoiu6c</t>
        </is>
      </c>
      <c r="H720" t="inlineStr">
        <is>
          <t>boe</t>
        </is>
      </c>
      <c r="I720" t="inlineStr">
        <is>
          <t>it</t>
        </is>
      </c>
      <c r="J720" t="inlineStr">
        <is>
          <t>intl-it</t>
        </is>
      </c>
      <c r="K720" t="b">
        <v>1</v>
      </c>
      <c r="L720" t="inlineStr">
        <is>
          <t>partial</t>
        </is>
      </c>
      <c r="M720" t="inlineStr">
        <is>
          <t>partial</t>
        </is>
      </c>
      <c r="N720" t="inlineStr">
        <is>
          <t>partial</t>
        </is>
      </c>
      <c r="O720" t="inlineStr">
        <is>
          <t>relevant</t>
        </is>
      </c>
      <c r="P720" t="b">
        <v>1</v>
      </c>
    </row>
    <row r="721">
      <c r="A721" t="inlineStr">
        <is>
          <t>Pink maternity dresses</t>
        </is>
      </c>
      <c r="B721" t="inlineStr"/>
      <c r="C721" t="n">
        <v>1057240562</v>
      </c>
      <c r="D721">
        <f>HYPERLINK("https://www.etsy.com/listing/1057240562", "link")</f>
        <v/>
      </c>
      <c r="E721">
        <f>HYPERLINK("https://atlas.etsycorp.com/listing/1057240562/lookup", "link")</f>
        <v/>
      </c>
      <c r="F721" t="inlineStr">
        <is>
          <t>SUNRISE Bohemian Lace Maternity dress, Lace dress for elopement wedding, Maternity gown for photoshoot or Babyshower, Pregnancy dress</t>
        </is>
      </c>
      <c r="G721" t="inlineStr">
        <is>
          <t>Eus9bms61ZsByYmiW2sbyBmUff33</t>
        </is>
      </c>
      <c r="H721" t="inlineStr">
        <is>
          <t>boe</t>
        </is>
      </c>
      <c r="I721" t="inlineStr">
        <is>
          <t>en-US</t>
        </is>
      </c>
      <c r="J721" t="inlineStr">
        <is>
          <t>us_v2-direct_specified</t>
        </is>
      </c>
      <c r="K721" t="b">
        <v>1</v>
      </c>
      <c r="L721" t="inlineStr">
        <is>
          <t>partial</t>
        </is>
      </c>
      <c r="M721" t="inlineStr">
        <is>
          <t>partial</t>
        </is>
      </c>
      <c r="N721" t="inlineStr">
        <is>
          <t>partial</t>
        </is>
      </c>
      <c r="O721" t="inlineStr">
        <is>
          <t>relevant</t>
        </is>
      </c>
      <c r="P721" t="b">
        <v>1</v>
      </c>
    </row>
    <row r="722">
      <c r="A722" t="inlineStr">
        <is>
          <t>buxus eetstokje</t>
        </is>
      </c>
      <c r="B722" t="inlineStr">
        <is>
          <t>boxwood chopstick</t>
        </is>
      </c>
      <c r="C722" t="n">
        <v>1700208777</v>
      </c>
      <c r="D722">
        <f>HYPERLINK("https://www.etsy.com/listing/1700208777", "link")</f>
        <v/>
      </c>
      <c r="E722">
        <f>HYPERLINK("https://atlas.etsycorp.com/listing/1700208777/lookup", "link")</f>
        <v/>
      </c>
      <c r="F722" t="inlineStr">
        <is>
          <t>Buxus Sinica, Chinese Boxwood Seed 1000 PCS, Box Huang Yang</t>
        </is>
      </c>
      <c r="G722" t="inlineStr">
        <is>
          <t>EudAPxBoYHpAtg8sEnU_x-t2kEa7</t>
        </is>
      </c>
      <c r="H722" t="inlineStr">
        <is>
          <t>web</t>
        </is>
      </c>
      <c r="I722" t="inlineStr">
        <is>
          <t>nl</t>
        </is>
      </c>
      <c r="J722" t="inlineStr">
        <is>
          <t>intl-nl</t>
        </is>
      </c>
      <c r="K722" t="b">
        <v>1</v>
      </c>
      <c r="L722" t="inlineStr">
        <is>
          <t>not_relevant</t>
        </is>
      </c>
      <c r="M722" t="inlineStr">
        <is>
          <t>not_relevant</t>
        </is>
      </c>
      <c r="N722" t="inlineStr">
        <is>
          <t>not_relevant</t>
        </is>
      </c>
      <c r="O722" t="inlineStr">
        <is>
          <t>not_relevant</t>
        </is>
      </c>
      <c r="P722" t="b">
        <v>1</v>
      </c>
    </row>
    <row r="723">
      <c r="A723" t="inlineStr">
        <is>
          <t>médaillon bouquet de mariage</t>
        </is>
      </c>
      <c r="B723" t="inlineStr">
        <is>
          <t>wedding bouquet locket</t>
        </is>
      </c>
      <c r="C723" t="n">
        <v>1563157874</v>
      </c>
      <c r="D723">
        <f>HYPERLINK("https://www.etsy.com/listing/1563157874", "link")</f>
        <v/>
      </c>
      <c r="E723">
        <f>HYPERLINK("https://atlas.etsycorp.com/listing/1563157874/lookup", "link")</f>
        <v/>
      </c>
      <c r="F723" t="inlineStr">
        <is>
          <t>Simple Circle shaped Wedding Bouquet Photo Memory Charm - Bridal Keepsake Momento Memory Charm</t>
        </is>
      </c>
      <c r="G723" t="inlineStr">
        <is>
          <t>EuhxcHecwQjk7DkKfs13-wf48p1d</t>
        </is>
      </c>
      <c r="H723" t="inlineStr">
        <is>
          <t>web</t>
        </is>
      </c>
      <c r="I723" t="inlineStr">
        <is>
          <t>fr</t>
        </is>
      </c>
      <c r="J723" t="inlineStr">
        <is>
          <t>intl-fr</t>
        </is>
      </c>
      <c r="K723" t="b">
        <v>1</v>
      </c>
      <c r="L723" t="inlineStr">
        <is>
          <t>relevant</t>
        </is>
      </c>
      <c r="M723" t="inlineStr">
        <is>
          <t>relevant</t>
        </is>
      </c>
      <c r="N723" t="inlineStr">
        <is>
          <t>relevant</t>
        </is>
      </c>
      <c r="O723" t="inlineStr">
        <is>
          <t>relevant</t>
        </is>
      </c>
      <c r="P723" t="b">
        <v>1</v>
      </c>
    </row>
    <row r="724">
      <c r="A724" t="inlineStr">
        <is>
          <t>aquarium statue</t>
        </is>
      </c>
      <c r="B724" t="inlineStr">
        <is>
          <t>aquarium statue</t>
        </is>
      </c>
      <c r="C724" t="n">
        <v>1364680190</v>
      </c>
      <c r="D724">
        <f>HYPERLINK("https://www.etsy.com/listing/1364680190", "link")</f>
        <v/>
      </c>
      <c r="E724">
        <f>HYPERLINK("https://atlas.etsycorp.com/listing/1364680190/lookup", "link")</f>
        <v/>
      </c>
      <c r="F724" t="inlineStr">
        <is>
          <t>Barrier Reef 10 Layer Resin Acrylic Lamp Art</t>
        </is>
      </c>
      <c r="G724" t="inlineStr">
        <is>
          <t>Eu0d9TsA0-nb7E8YILBUjL_2Bte6</t>
        </is>
      </c>
      <c r="H724" t="inlineStr">
        <is>
          <t>boe</t>
        </is>
      </c>
      <c r="I724" t="inlineStr">
        <is>
          <t>fr</t>
        </is>
      </c>
      <c r="J724" t="inlineStr">
        <is>
          <t>intl-fr</t>
        </is>
      </c>
      <c r="K724" t="b">
        <v>1</v>
      </c>
      <c r="L724" t="inlineStr">
        <is>
          <t>partial</t>
        </is>
      </c>
      <c r="M724" t="inlineStr">
        <is>
          <t>partial</t>
        </is>
      </c>
      <c r="N724" t="inlineStr">
        <is>
          <t>relevant</t>
        </is>
      </c>
      <c r="O724" t="inlineStr">
        <is>
          <t>partial</t>
        </is>
      </c>
      <c r="P724" t="b">
        <v>1</v>
      </c>
    </row>
    <row r="725">
      <c r="A725" t="inlineStr">
        <is>
          <t>vintage sterling silver curb link necklace</t>
        </is>
      </c>
      <c r="B725" t="inlineStr"/>
      <c r="C725" t="n">
        <v>1378057668</v>
      </c>
      <c r="D725">
        <f>HYPERLINK("https://www.etsy.com/listing/1378057668", "link")</f>
        <v/>
      </c>
      <c r="E725">
        <f>HYPERLINK("https://atlas.etsycorp.com/listing/1378057668/lookup", "link")</f>
        <v/>
      </c>
      <c r="F725" t="inlineStr">
        <is>
          <t>Vintage Sterling Silver Curb Necklace</t>
        </is>
      </c>
      <c r="G725" t="inlineStr">
        <is>
          <t>Euj11CnFfao1z-rtgKzs6aQafn98</t>
        </is>
      </c>
      <c r="H725" t="inlineStr">
        <is>
          <t>boe</t>
        </is>
      </c>
      <c r="I725" t="inlineStr">
        <is>
          <t>en-GB</t>
        </is>
      </c>
      <c r="J725" t="inlineStr">
        <is>
          <t>us_v2-direct_specified</t>
        </is>
      </c>
      <c r="K725" t="b">
        <v>1</v>
      </c>
      <c r="L725" t="inlineStr">
        <is>
          <t>relevant</t>
        </is>
      </c>
      <c r="M725" t="inlineStr">
        <is>
          <t>relevant</t>
        </is>
      </c>
      <c r="N725" t="inlineStr">
        <is>
          <t>relevant</t>
        </is>
      </c>
      <c r="O725" t="inlineStr">
        <is>
          <t>relevant</t>
        </is>
      </c>
      <c r="P725" t="b">
        <v>1</v>
      </c>
    </row>
    <row r="726">
      <c r="A726" t="inlineStr">
        <is>
          <t>gloryhole</t>
        </is>
      </c>
      <c r="B726" t="inlineStr"/>
      <c r="C726" t="n">
        <v>1581863927</v>
      </c>
      <c r="D726">
        <f>HYPERLINK("https://www.etsy.com/listing/1581863927", "link")</f>
        <v/>
      </c>
      <c r="E726">
        <f>HYPERLINK("https://atlas.etsycorp.com/listing/1581863927/lookup", "link")</f>
        <v/>
      </c>
      <c r="F726" t="inlineStr">
        <is>
          <t>Blind Tarot Reading Without Questions, Blind Reading, Psychic Reading with Tarot Cards, Detailed Blind Tarot Reading, Spiritual Advice</t>
        </is>
      </c>
      <c r="G726" t="inlineStr">
        <is>
          <t>EuZmSAujkNvdbGd1l6gzxKHbR861</t>
        </is>
      </c>
      <c r="H726" t="inlineStr">
        <is>
          <t>boe</t>
        </is>
      </c>
      <c r="I726" t="inlineStr">
        <is>
          <t>en-US</t>
        </is>
      </c>
      <c r="J726" t="inlineStr">
        <is>
          <t>us_v2-broad</t>
        </is>
      </c>
      <c r="K726" t="b">
        <v>1</v>
      </c>
      <c r="L726" t="inlineStr">
        <is>
          <t>not_relevant</t>
        </is>
      </c>
      <c r="M726" t="inlineStr">
        <is>
          <t>not_relevant</t>
        </is>
      </c>
      <c r="N726" t="inlineStr">
        <is>
          <t>not_relevant</t>
        </is>
      </c>
      <c r="O726" t="inlineStr">
        <is>
          <t>not_relevant</t>
        </is>
      </c>
      <c r="P726" t="b">
        <v>1</v>
      </c>
    </row>
    <row r="727">
      <c r="A727" t="inlineStr">
        <is>
          <t>vintage style</t>
        </is>
      </c>
      <c r="B727" t="inlineStr">
        <is>
          <t>vintage style</t>
        </is>
      </c>
      <c r="C727" t="n">
        <v>1224007978</v>
      </c>
      <c r="D727">
        <f>HYPERLINK("https://www.etsy.com/listing/1224007978", "link")</f>
        <v/>
      </c>
      <c r="E727">
        <f>HYPERLINK("https://atlas.etsycorp.com/listing/1224007978/lookup", "link")</f>
        <v/>
      </c>
      <c r="F727" t="inlineStr">
        <is>
          <t>Yellow Crochet Mini Bag, Granny Square Tote Bag, Boho Bag, Crochet Purse, Knit bag</t>
        </is>
      </c>
      <c r="G727" t="inlineStr">
        <is>
          <t>Eu5NQGaS-cHqZIJJ9IVwgCkMOD42</t>
        </is>
      </c>
      <c r="H727" t="inlineStr">
        <is>
          <t>boe</t>
        </is>
      </c>
      <c r="I727" t="inlineStr">
        <is>
          <t>it</t>
        </is>
      </c>
      <c r="J727" t="inlineStr">
        <is>
          <t>intl-it</t>
        </is>
      </c>
      <c r="K727" t="b">
        <v>1</v>
      </c>
      <c r="L727" t="inlineStr">
        <is>
          <t>not_relevant</t>
        </is>
      </c>
      <c r="M727" t="inlineStr">
        <is>
          <t>not_relevant</t>
        </is>
      </c>
      <c r="N727" t="inlineStr">
        <is>
          <t>not_relevant</t>
        </is>
      </c>
      <c r="O727" t="inlineStr">
        <is>
          <t>not_relevant</t>
        </is>
      </c>
      <c r="P727" t="b">
        <v>1</v>
      </c>
    </row>
    <row r="728">
      <c r="A728" t="inlineStr">
        <is>
          <t>red mejuri ring</t>
        </is>
      </c>
      <c r="B728" t="inlineStr"/>
      <c r="C728" t="n">
        <v>1295740939</v>
      </c>
      <c r="D728">
        <f>HYPERLINK("https://www.etsy.com/listing/1295740939", "link")</f>
        <v/>
      </c>
      <c r="E728">
        <f>HYPERLINK("https://atlas.etsycorp.com/listing/1295740939/lookup", "link")</f>
        <v/>
      </c>
      <c r="F728" t="inlineStr">
        <is>
          <t>Vintage Garnet Ring- Sterling Silver Ring- Natural Garnet Engagement Ring Garnet Promise Ring- January Birthstone- Gatsby Ring- Gift For her</t>
        </is>
      </c>
      <c r="G728" t="inlineStr">
        <is>
          <t>EunopSYLQv-aM0LGCoUBEjURAce1</t>
        </is>
      </c>
      <c r="H728" t="inlineStr">
        <is>
          <t>web</t>
        </is>
      </c>
      <c r="I728" t="inlineStr">
        <is>
          <t>en-US</t>
        </is>
      </c>
      <c r="J728" t="inlineStr">
        <is>
          <t>us_v2-direct_specified</t>
        </is>
      </c>
      <c r="K728" t="b">
        <v>1</v>
      </c>
      <c r="L728" t="inlineStr">
        <is>
          <t>partial</t>
        </is>
      </c>
      <c r="M728" t="inlineStr">
        <is>
          <t>relevant</t>
        </is>
      </c>
      <c r="N728" t="inlineStr">
        <is>
          <t>partial</t>
        </is>
      </c>
      <c r="O728" t="inlineStr">
        <is>
          <t>partial</t>
        </is>
      </c>
      <c r="P728" t="b">
        <v>1</v>
      </c>
    </row>
    <row r="729">
      <c r="A729" t="inlineStr">
        <is>
          <t>live edge table top</t>
        </is>
      </c>
      <c r="B729" t="inlineStr"/>
      <c r="C729" t="n">
        <v>1499443534</v>
      </c>
      <c r="D729">
        <f>HYPERLINK("https://www.etsy.com/listing/1499443534", "link")</f>
        <v/>
      </c>
      <c r="E729">
        <f>HYPERLINK("https://atlas.etsycorp.com/listing/1499443534/lookup", "link")</f>
        <v/>
      </c>
      <c r="F729" t="inlineStr">
        <is>
          <t>Epoxy River table Walnut Console Table - Custom Handmade Entryway Sofa Table - Rustic Farmhouse -BEST PRICES !</t>
        </is>
      </c>
      <c r="G729" t="inlineStr">
        <is>
          <t>EuZDwWumMYqH3opqv5XwtUVNw-4f</t>
        </is>
      </c>
      <c r="H729" t="inlineStr">
        <is>
          <t>web</t>
        </is>
      </c>
      <c r="I729" t="inlineStr">
        <is>
          <t>en-US</t>
        </is>
      </c>
      <c r="J729" t="inlineStr">
        <is>
          <t>us_v2-direct_unspecified</t>
        </is>
      </c>
      <c r="K729" t="b">
        <v>1</v>
      </c>
      <c r="L729" t="inlineStr">
        <is>
          <t>partial</t>
        </is>
      </c>
      <c r="M729" t="inlineStr">
        <is>
          <t>partial</t>
        </is>
      </c>
      <c r="N729" t="inlineStr">
        <is>
          <t>partial</t>
        </is>
      </c>
      <c r="O729" t="inlineStr">
        <is>
          <t>relevant</t>
        </is>
      </c>
      <c r="P729" t="b">
        <v>1</v>
      </c>
    </row>
    <row r="730">
      <c r="A730" t="inlineStr">
        <is>
          <t>unique gifts for her</t>
        </is>
      </c>
      <c r="B730" t="inlineStr"/>
      <c r="C730" t="n">
        <v>624493147</v>
      </c>
      <c r="D730">
        <f>HYPERLINK("https://www.etsy.com/listing/624493147", "link")</f>
        <v/>
      </c>
      <c r="E730">
        <f>HYPERLINK("https://atlas.etsycorp.com/listing/624493147/lookup", "link")</f>
        <v/>
      </c>
      <c r="F730" t="inlineStr">
        <is>
          <t>Personalized Wedding Gift /  Jewelry Dish / Date and Initials / Wedding Gift / Personalized Gift / Personalized / Engagement Gift /</t>
        </is>
      </c>
      <c r="G730" t="inlineStr">
        <is>
          <t>EuQI0syVPoBznGpzCXAonoro3b6e</t>
        </is>
      </c>
      <c r="H730" t="inlineStr">
        <is>
          <t>boe</t>
        </is>
      </c>
      <c r="I730" t="inlineStr">
        <is>
          <t>en-US</t>
        </is>
      </c>
      <c r="J730" t="inlineStr">
        <is>
          <t>us_v2-broad</t>
        </is>
      </c>
      <c r="K730" t="b">
        <v>1</v>
      </c>
      <c r="L730" t="inlineStr">
        <is>
          <t>relevant</t>
        </is>
      </c>
      <c r="M730" t="inlineStr">
        <is>
          <t>partial</t>
        </is>
      </c>
      <c r="N730" t="inlineStr">
        <is>
          <t>relevant</t>
        </is>
      </c>
      <c r="O730" t="inlineStr">
        <is>
          <t>relevant</t>
        </is>
      </c>
      <c r="P730" t="b">
        <v>1</v>
      </c>
    </row>
    <row r="731">
      <c r="A731" t="inlineStr">
        <is>
          <t>gifts for women</t>
        </is>
      </c>
      <c r="B731" t="inlineStr">
        <is>
          <t>gifts for women</t>
        </is>
      </c>
      <c r="C731" t="n">
        <v>1468526006</v>
      </c>
      <c r="D731">
        <f>HYPERLINK("https://www.etsy.com/listing/1468526006", "link")</f>
        <v/>
      </c>
      <c r="E731">
        <f>HYPERLINK("https://atlas.etsycorp.com/listing/1468526006/lookup", "link")</f>
        <v/>
      </c>
      <c r="F731" t="inlineStr">
        <is>
          <t>Handmade Paper Foldable Lamp, Unique Bedside Night Light,  Decorative lamp, Aesthetic Home Decor, Housewarming Gift, Unique Decor.</t>
        </is>
      </c>
      <c r="G731" t="inlineStr">
        <is>
          <t>Eu1E1sMPQzpMzJEW-dXGX6ZuIzf1</t>
        </is>
      </c>
      <c r="H731" t="inlineStr">
        <is>
          <t>boe</t>
        </is>
      </c>
      <c r="I731" t="inlineStr">
        <is>
          <t>fr</t>
        </is>
      </c>
      <c r="J731" t="inlineStr">
        <is>
          <t>intl-fr</t>
        </is>
      </c>
      <c r="K731" t="b">
        <v>1</v>
      </c>
      <c r="L731" t="inlineStr">
        <is>
          <t>partial</t>
        </is>
      </c>
      <c r="M731" t="inlineStr">
        <is>
          <t>relevant</t>
        </is>
      </c>
      <c r="N731" t="inlineStr">
        <is>
          <t>partial</t>
        </is>
      </c>
      <c r="O731" t="inlineStr">
        <is>
          <t>partial</t>
        </is>
      </c>
      <c r="P731" t="b">
        <v>1</v>
      </c>
    </row>
    <row r="732">
      <c r="A732" t="inlineStr">
        <is>
          <t>fortnie trophy</t>
        </is>
      </c>
      <c r="B732" t="inlineStr"/>
      <c r="C732" t="n">
        <v>1653615098</v>
      </c>
      <c r="D732">
        <f>HYPERLINK("https://www.etsy.com/listing/1653615098", "link")</f>
        <v/>
      </c>
      <c r="E732">
        <f>HYPERLINK("https://atlas.etsycorp.com/listing/1653615098/lookup", "link")</f>
        <v/>
      </c>
      <c r="F732" t="inlineStr">
        <is>
          <t>PS5 Platinum Trophy Replica - Sony Inspired 3D Gaming Triumph!</t>
        </is>
      </c>
      <c r="G732" t="inlineStr">
        <is>
          <t>EudCAV_-gVyJ8t3ZTvCJ3EsPYj9c</t>
        </is>
      </c>
      <c r="H732" t="inlineStr">
        <is>
          <t>web</t>
        </is>
      </c>
      <c r="I732" t="inlineStr">
        <is>
          <t>en-GB</t>
        </is>
      </c>
      <c r="J732" t="inlineStr">
        <is>
          <t>us_v2-broad</t>
        </is>
      </c>
      <c r="K732" t="b">
        <v>1</v>
      </c>
      <c r="L732" t="inlineStr">
        <is>
          <t>partial</t>
        </is>
      </c>
      <c r="M732" t="inlineStr">
        <is>
          <t>partial</t>
        </is>
      </c>
      <c r="N732" t="inlineStr">
        <is>
          <t>partial</t>
        </is>
      </c>
      <c r="O732" t="inlineStr">
        <is>
          <t>partial</t>
        </is>
      </c>
      <c r="P732" t="b">
        <v>1</v>
      </c>
    </row>
    <row r="733">
      <c r="A733" t="inlineStr">
        <is>
          <t>decorasion de super simple songs</t>
        </is>
      </c>
      <c r="B733" t="inlineStr">
        <is>
          <t>decoration of super simple songs</t>
        </is>
      </c>
      <c r="C733" t="n">
        <v>1302875627</v>
      </c>
      <c r="D733">
        <f>HYPERLINK("https://www.etsy.com/listing/1302875627", "link")</f>
        <v/>
      </c>
      <c r="E733">
        <f>HYPERLINK("https://atlas.etsycorp.com/listing/1302875627/lookup", "link")</f>
        <v/>
      </c>
      <c r="F733" t="inlineStr">
        <is>
          <t>Customized Super Simple Songs Invitation | Print and Digital Invites | Custom Invitations | Boys and Girls Birthday Party | Download</t>
        </is>
      </c>
      <c r="G733" t="inlineStr">
        <is>
          <t>Euhm3YQH1rW-RCn0JEt0__YuAF7d</t>
        </is>
      </c>
      <c r="H733" t="inlineStr">
        <is>
          <t>boe</t>
        </is>
      </c>
      <c r="I733" t="inlineStr">
        <is>
          <t>es</t>
        </is>
      </c>
      <c r="J733" t="inlineStr">
        <is>
          <t>intl-es</t>
        </is>
      </c>
      <c r="K733" t="b">
        <v>1</v>
      </c>
      <c r="L733" t="inlineStr">
        <is>
          <t>partial</t>
        </is>
      </c>
      <c r="M733" t="inlineStr">
        <is>
          <t>relevant</t>
        </is>
      </c>
      <c r="N733" t="inlineStr">
        <is>
          <t>partial</t>
        </is>
      </c>
      <c r="O733" t="inlineStr">
        <is>
          <t>partial</t>
        </is>
      </c>
      <c r="P733" t="b">
        <v>1</v>
      </c>
    </row>
    <row r="734">
      <c r="A734" t="inlineStr">
        <is>
          <t>rainbow baby toy</t>
        </is>
      </c>
      <c r="B734" t="inlineStr"/>
      <c r="C734" t="n">
        <v>756438944</v>
      </c>
      <c r="D734">
        <f>HYPERLINK("https://www.etsy.com/listing/756438944", "link")</f>
        <v/>
      </c>
      <c r="E734">
        <f>HYPERLINK("https://atlas.etsycorp.com/listing/756438944/lookup", "link")</f>
        <v/>
      </c>
      <c r="F734" t="inlineStr">
        <is>
          <t>Rainbow Baby Gifts for Mom, Without the Rain There would be no rainbow necklace, Encouragement gifts for her, Strength gifts necklace</t>
        </is>
      </c>
      <c r="G734" t="inlineStr">
        <is>
          <t>EuWPP3a-3z8xTsLbnY5aO4qTdLd8</t>
        </is>
      </c>
      <c r="H734" t="inlineStr">
        <is>
          <t>web</t>
        </is>
      </c>
      <c r="I734" t="inlineStr">
        <is>
          <t>en-US</t>
        </is>
      </c>
      <c r="J734" t="inlineStr">
        <is>
          <t>us_v2-direct_specified</t>
        </is>
      </c>
      <c r="K734" t="b">
        <v>1</v>
      </c>
      <c r="L734" t="inlineStr">
        <is>
          <t>not_relevant</t>
        </is>
      </c>
      <c r="M734" t="inlineStr">
        <is>
          <t>not_relevant</t>
        </is>
      </c>
      <c r="N734" t="inlineStr">
        <is>
          <t>partial</t>
        </is>
      </c>
      <c r="O734" t="inlineStr">
        <is>
          <t>not_relevant</t>
        </is>
      </c>
      <c r="P734" t="b">
        <v>1</v>
      </c>
    </row>
    <row r="735">
      <c r="A735" t="inlineStr">
        <is>
          <t>tapis keith ha</t>
        </is>
      </c>
      <c r="B735" t="inlineStr">
        <is>
          <t>keith ha rug</t>
        </is>
      </c>
      <c r="C735" t="n">
        <v>1390612526</v>
      </c>
      <c r="D735">
        <f>HYPERLINK("https://www.etsy.com/listing/1390612526", "link")</f>
        <v/>
      </c>
      <c r="E735">
        <f>HYPERLINK("https://atlas.etsycorp.com/listing/1390612526/lookup", "link")</f>
        <v/>
      </c>
      <c r="F735" t="inlineStr">
        <is>
          <t>Keith Harring Inspired Rug</t>
        </is>
      </c>
      <c r="G735" t="inlineStr">
        <is>
          <t>EumilRrogguS515ISssGh5SZQI3a</t>
        </is>
      </c>
      <c r="H735" t="inlineStr">
        <is>
          <t>boe</t>
        </is>
      </c>
      <c r="I735" t="inlineStr">
        <is>
          <t>fr</t>
        </is>
      </c>
      <c r="J735" t="inlineStr">
        <is>
          <t>intl-fr</t>
        </is>
      </c>
      <c r="K735" t="b">
        <v>1</v>
      </c>
      <c r="L735" t="inlineStr">
        <is>
          <t>relevant</t>
        </is>
      </c>
      <c r="M735" t="inlineStr">
        <is>
          <t>relevant</t>
        </is>
      </c>
      <c r="N735" t="inlineStr">
        <is>
          <t>relevant</t>
        </is>
      </c>
      <c r="O735" t="inlineStr">
        <is>
          <t>relevant</t>
        </is>
      </c>
      <c r="P735" t="b">
        <v>1</v>
      </c>
    </row>
    <row r="736">
      <c r="A736" t="inlineStr">
        <is>
          <t>couqette</t>
        </is>
      </c>
      <c r="B736" t="inlineStr"/>
      <c r="C736" t="n">
        <v>1637379846</v>
      </c>
      <c r="D736">
        <f>HYPERLINK("https://www.etsy.com/listing/1637379846", "link")</f>
        <v/>
      </c>
      <c r="E736">
        <f>HYPERLINK("https://atlas.etsycorp.com/listing/1637379846/lookup", "link")</f>
        <v/>
      </c>
      <c r="F736" t="inlineStr">
        <is>
          <t>Bow Collage Png,Pink Bow,Coquette,Cherry png,Soft Girl Era png,Aesthetic Png,Ribbon,Vday png,Social Club png,coquette shirt design</t>
        </is>
      </c>
      <c r="G736" t="inlineStr">
        <is>
          <t>EujbdRMM8qK3IWKpoXTfgc5f6jf7</t>
        </is>
      </c>
      <c r="H736" t="inlineStr">
        <is>
          <t>web</t>
        </is>
      </c>
      <c r="I736" t="inlineStr">
        <is>
          <t>en-GB</t>
        </is>
      </c>
      <c r="J736" t="inlineStr">
        <is>
          <t>us_v2-broad</t>
        </is>
      </c>
      <c r="K736" t="b">
        <v>1</v>
      </c>
      <c r="L736" t="inlineStr">
        <is>
          <t>relevant</t>
        </is>
      </c>
      <c r="M736" t="inlineStr">
        <is>
          <t>relevant</t>
        </is>
      </c>
      <c r="N736" t="inlineStr">
        <is>
          <t>relevant</t>
        </is>
      </c>
      <c r="O736" t="inlineStr">
        <is>
          <t>relevant</t>
        </is>
      </c>
      <c r="P736" t="b">
        <v>1</v>
      </c>
    </row>
    <row r="737">
      <c r="A737" t="inlineStr">
        <is>
          <t>best gifts for him</t>
        </is>
      </c>
      <c r="B737" t="inlineStr"/>
      <c r="C737" t="n">
        <v>653804038</v>
      </c>
      <c r="D737">
        <f>HYPERLINK("https://www.etsy.com/listing/653804038", "link")</f>
        <v/>
      </c>
      <c r="E737">
        <f>HYPERLINK("https://atlas.etsycorp.com/listing/653804038/lookup", "link")</f>
        <v/>
      </c>
      <c r="F737" t="inlineStr">
        <is>
          <t>Zodiac Birthday Card - Keepsake Greetings Card, Personalised With Your Horoscope Star Sign - Luxury Birthday Greetings Card For Him Or Her</t>
        </is>
      </c>
      <c r="G737" t="inlineStr">
        <is>
          <t>EuFH6vlEPzYKyBcCan54D3mrnic3</t>
        </is>
      </c>
      <c r="H737" t="inlineStr">
        <is>
          <t>boe</t>
        </is>
      </c>
      <c r="I737" t="inlineStr">
        <is>
          <t>en-GB</t>
        </is>
      </c>
      <c r="J737" t="inlineStr">
        <is>
          <t>us_v2-gift</t>
        </is>
      </c>
      <c r="K737" t="b">
        <v>1</v>
      </c>
      <c r="L737" t="inlineStr">
        <is>
          <t>not_relevant</t>
        </is>
      </c>
      <c r="M737" t="inlineStr">
        <is>
          <t>not_relevant</t>
        </is>
      </c>
      <c r="N737" t="inlineStr">
        <is>
          <t>partial</t>
        </is>
      </c>
      <c r="O737" t="inlineStr">
        <is>
          <t>not_relevant</t>
        </is>
      </c>
      <c r="P737" t="b">
        <v>1</v>
      </c>
    </row>
    <row r="738">
      <c r="A738" t="inlineStr">
        <is>
          <t>Акрил</t>
        </is>
      </c>
      <c r="B738" t="inlineStr">
        <is>
          <t>Acrylic</t>
        </is>
      </c>
      <c r="C738" t="n">
        <v>1304325126</v>
      </c>
      <c r="D738">
        <f>HYPERLINK("https://www.etsy.com/listing/1304325126", "link")</f>
        <v/>
      </c>
      <c r="E738">
        <f>HYPERLINK("https://atlas.etsycorp.com/listing/1304325126/lookup", "link")</f>
        <v/>
      </c>
      <c r="F738" t="inlineStr">
        <is>
          <t>Brilliant Painting on canvas, Original Abstract Boho 3D wall art, Fancy landscape,MinimaList  living room acrylic painting,Hand painted art</t>
        </is>
      </c>
      <c r="G738" t="inlineStr">
        <is>
          <t>EuvgMU_zURiXMwqmVVH6eF41qVe3</t>
        </is>
      </c>
      <c r="H738" t="inlineStr">
        <is>
          <t>boe</t>
        </is>
      </c>
      <c r="I738" t="inlineStr">
        <is>
          <t>ru</t>
        </is>
      </c>
      <c r="J738" t="inlineStr">
        <is>
          <t>intl-ru</t>
        </is>
      </c>
      <c r="K738" t="b">
        <v>1</v>
      </c>
      <c r="L738" t="inlineStr">
        <is>
          <t>relevant</t>
        </is>
      </c>
      <c r="M738" t="inlineStr">
        <is>
          <t>relevant</t>
        </is>
      </c>
      <c r="N738" t="inlineStr">
        <is>
          <t>partial</t>
        </is>
      </c>
      <c r="O738" t="inlineStr">
        <is>
          <t>relevant</t>
        </is>
      </c>
      <c r="P738" t="b">
        <v>1</v>
      </c>
    </row>
    <row r="739">
      <c r="A739" t="inlineStr">
        <is>
          <t>easter shirt for toddler boy</t>
        </is>
      </c>
      <c r="B739" t="inlineStr"/>
      <c r="C739" t="n">
        <v>1681420009</v>
      </c>
      <c r="D739">
        <f>HYPERLINK("https://www.etsy.com/listing/1681420009", "link")</f>
        <v/>
      </c>
      <c r="E739">
        <f>HYPERLINK("https://atlas.etsycorp.com/listing/1681420009/lookup", "link")</f>
        <v/>
      </c>
      <c r="F739" t="inlineStr">
        <is>
          <t>A Lot Can Happen In 3 Days Sweatshirt, Easter Family Shirt, Easter Christian Hoodie, Easter Shirt For Woman, Easter Bunny TShirt, Easter Day</t>
        </is>
      </c>
      <c r="G739" t="inlineStr">
        <is>
          <t>EuCtPDEeTRfvAIJG0icVbQ0yp1ce</t>
        </is>
      </c>
      <c r="H739" t="inlineStr">
        <is>
          <t>boe</t>
        </is>
      </c>
      <c r="I739" t="inlineStr">
        <is>
          <t>en-US</t>
        </is>
      </c>
      <c r="J739" t="inlineStr">
        <is>
          <t>us_v2-direct_unspecified</t>
        </is>
      </c>
      <c r="K739" t="b">
        <v>1</v>
      </c>
      <c r="L739" t="inlineStr">
        <is>
          <t>not_relevant</t>
        </is>
      </c>
      <c r="M739" t="inlineStr">
        <is>
          <t>not_relevant</t>
        </is>
      </c>
      <c r="N739" t="inlineStr">
        <is>
          <t>not_relevant</t>
        </is>
      </c>
      <c r="O739" t="inlineStr">
        <is>
          <t>relevant</t>
        </is>
      </c>
      <c r="P739" t="b">
        <v>1</v>
      </c>
    </row>
    <row r="740">
      <c r="A740" t="inlineStr">
        <is>
          <t>personalized gifts for women</t>
        </is>
      </c>
      <c r="B740" t="inlineStr"/>
      <c r="C740" t="n">
        <v>1416623939</v>
      </c>
      <c r="D740">
        <f>HYPERLINK("https://www.etsy.com/listing/1416623939", "link")</f>
        <v/>
      </c>
      <c r="E740">
        <f>HYPERLINK("https://atlas.etsycorp.com/listing/1416623939/lookup", "link")</f>
        <v/>
      </c>
      <c r="F740" t="inlineStr">
        <is>
          <t>Personalised Minimalist Name Necklace with Box Chain, Custom Name Necklace, Gold Name Necklace, Personalised Gifts, Christmas Gifts for Her</t>
        </is>
      </c>
      <c r="G740" t="inlineStr">
        <is>
          <t>Eu3B7xJlbuNGEuqDVWijoW85LV6d</t>
        </is>
      </c>
      <c r="H740" t="inlineStr">
        <is>
          <t>boe</t>
        </is>
      </c>
      <c r="I740" t="inlineStr">
        <is>
          <t>en-US</t>
        </is>
      </c>
      <c r="J740" t="inlineStr">
        <is>
          <t>us_v2-broad</t>
        </is>
      </c>
      <c r="K740" t="b">
        <v>1</v>
      </c>
      <c r="L740" t="inlineStr">
        <is>
          <t>relevant</t>
        </is>
      </c>
      <c r="M740" t="inlineStr">
        <is>
          <t>relevant</t>
        </is>
      </c>
      <c r="N740" t="inlineStr">
        <is>
          <t>relevant</t>
        </is>
      </c>
      <c r="O740" t="inlineStr">
        <is>
          <t>relevant</t>
        </is>
      </c>
      <c r="P740" t="b">
        <v>1</v>
      </c>
    </row>
    <row r="741">
      <c r="A741" t="inlineStr">
        <is>
          <t>poster</t>
        </is>
      </c>
      <c r="B741" t="inlineStr"/>
      <c r="C741" t="n">
        <v>1596405209</v>
      </c>
      <c r="D741">
        <f>HYPERLINK("https://www.etsy.com/listing/1596405209", "link")</f>
        <v/>
      </c>
      <c r="E741">
        <f>HYPERLINK("https://atlas.etsycorp.com/listing/1596405209/lookup", "link")</f>
        <v/>
      </c>
      <c r="F741" t="inlineStr">
        <is>
          <t>The First Nudie Musical</t>
        </is>
      </c>
      <c r="G741" t="inlineStr">
        <is>
          <t>Eu2XwUpuR-XCfN7UjRw0auti9521</t>
        </is>
      </c>
      <c r="H741" t="inlineStr">
        <is>
          <t>web</t>
        </is>
      </c>
      <c r="I741" t="inlineStr">
        <is>
          <t>en-US</t>
        </is>
      </c>
      <c r="J741" t="inlineStr">
        <is>
          <t>us_v2-direct_unspecified</t>
        </is>
      </c>
      <c r="K741" t="b">
        <v>1</v>
      </c>
      <c r="L741" t="inlineStr">
        <is>
          <t>relevant</t>
        </is>
      </c>
      <c r="M741" t="inlineStr">
        <is>
          <t>relevant</t>
        </is>
      </c>
      <c r="N741" t="inlineStr">
        <is>
          <t>relevant</t>
        </is>
      </c>
      <c r="O741" t="inlineStr">
        <is>
          <t>relevant</t>
        </is>
      </c>
      <c r="P741" t="b">
        <v>1</v>
      </c>
    </row>
    <row r="742">
      <c r="A742" t="inlineStr">
        <is>
          <t>cribbage svg</t>
        </is>
      </c>
      <c r="B742" t="inlineStr"/>
      <c r="C742" t="n">
        <v>1190708670</v>
      </c>
      <c r="D742">
        <f>HYPERLINK("https://www.etsy.com/listing/1190708670", "link")</f>
        <v/>
      </c>
      <c r="E742">
        <f>HYPERLINK("https://atlas.etsycorp.com/listing/1190708670/lookup", "link")</f>
        <v/>
      </c>
      <c r="F742" t="inlineStr">
        <is>
          <t>Fish Cribbage Pegs</t>
        </is>
      </c>
      <c r="G742" t="inlineStr">
        <is>
          <t>EuuzmK8BwtznUBZsPNmoCFXZZSff</t>
        </is>
      </c>
      <c r="H742" t="inlineStr">
        <is>
          <t>web</t>
        </is>
      </c>
      <c r="I742" t="inlineStr">
        <is>
          <t>en-US</t>
        </is>
      </c>
      <c r="J742" t="inlineStr">
        <is>
          <t>us_v2-direct_specified</t>
        </is>
      </c>
      <c r="K742" t="b">
        <v>1</v>
      </c>
      <c r="L742" t="inlineStr">
        <is>
          <t>not_relevant</t>
        </is>
      </c>
      <c r="M742" t="inlineStr">
        <is>
          <t>not_relevant</t>
        </is>
      </c>
      <c r="N742" t="inlineStr">
        <is>
          <t>not_relevant</t>
        </is>
      </c>
      <c r="O742" t="inlineStr">
        <is>
          <t>partial</t>
        </is>
      </c>
      <c r="P742" t="b">
        <v>1</v>
      </c>
    </row>
    <row r="743">
      <c r="A743" t="inlineStr">
        <is>
          <t>death stranding</t>
        </is>
      </c>
      <c r="B743" t="inlineStr"/>
      <c r="C743" t="n">
        <v>1559889309</v>
      </c>
      <c r="D743">
        <f>HYPERLINK("https://www.etsy.com/listing/1559889309", "link")</f>
        <v/>
      </c>
      <c r="E743">
        <f>HYPERLINK("https://atlas.etsycorp.com/listing/1559889309/lookup", "link")</f>
        <v/>
      </c>
      <c r="F743" t="inlineStr">
        <is>
          <t>Black Bead Choker with Death Head Moths and Rosary Chain Gothic Necklace</t>
        </is>
      </c>
      <c r="G743" t="inlineStr">
        <is>
          <t>Eu6YYTuxyZJr89FdSuMlG_ejRle6</t>
        </is>
      </c>
      <c r="H743" t="inlineStr">
        <is>
          <t>boe</t>
        </is>
      </c>
      <c r="I743" t="inlineStr">
        <is>
          <t>en-GB</t>
        </is>
      </c>
      <c r="J743" t="inlineStr">
        <is>
          <t>us_v2-direct_unspecified</t>
        </is>
      </c>
      <c r="K743" t="b">
        <v>1</v>
      </c>
      <c r="L743" t="inlineStr">
        <is>
          <t>not_relevant</t>
        </is>
      </c>
      <c r="M743" t="inlineStr">
        <is>
          <t>not_relevant</t>
        </is>
      </c>
      <c r="N743" t="inlineStr">
        <is>
          <t>not_relevant</t>
        </is>
      </c>
      <c r="O743" t="inlineStr">
        <is>
          <t>not_relevant</t>
        </is>
      </c>
      <c r="P743" t="b">
        <v>1</v>
      </c>
    </row>
    <row r="744">
      <c r="A744" t="inlineStr">
        <is>
          <t>ww1</t>
        </is>
      </c>
      <c r="B744" t="inlineStr">
        <is>
          <t>ww1</t>
        </is>
      </c>
      <c r="C744" t="n">
        <v>596070935</v>
      </c>
      <c r="D744">
        <f>HYPERLINK("https://www.etsy.com/listing/596070935", "link")</f>
        <v/>
      </c>
      <c r="E744">
        <f>HYPERLINK("https://atlas.etsycorp.com/listing/596070935/lookup", "link")</f>
        <v/>
      </c>
      <c r="F744" t="inlineStr">
        <is>
          <t>Original Civil War Relics (4 Piece) in Glass Topped Display Case 4 x 5&amp;quot; with COA</t>
        </is>
      </c>
      <c r="G744" t="inlineStr">
        <is>
          <t>EugCMg1XlWyAIXvwaEVJ7QzIiXdd</t>
        </is>
      </c>
      <c r="H744" t="inlineStr">
        <is>
          <t>boe</t>
        </is>
      </c>
      <c r="I744" t="inlineStr">
        <is>
          <t>es</t>
        </is>
      </c>
      <c r="J744" t="inlineStr">
        <is>
          <t>intl-es</t>
        </is>
      </c>
      <c r="K744" t="b">
        <v>1</v>
      </c>
      <c r="L744" t="inlineStr">
        <is>
          <t>not_relevant</t>
        </is>
      </c>
      <c r="M744" t="inlineStr">
        <is>
          <t>not_relevant</t>
        </is>
      </c>
      <c r="N744" t="inlineStr">
        <is>
          <t>not_relevant</t>
        </is>
      </c>
      <c r="O744" t="inlineStr">
        <is>
          <t>not_relevant</t>
        </is>
      </c>
      <c r="P744" t="b">
        <v>1</v>
      </c>
    </row>
    <row r="745">
      <c r="A745" t="inlineStr">
        <is>
          <t>vestido de fiesta arabe</t>
        </is>
      </c>
      <c r="B745" t="inlineStr"/>
      <c r="C745" t="n">
        <v>1410952723</v>
      </c>
      <c r="D745">
        <f>HYPERLINK("https://www.etsy.com/listing/1410952723", "link")</f>
        <v/>
      </c>
      <c r="E745">
        <f>HYPERLINK("https://atlas.etsycorp.com/listing/1410952723/lookup", "link")</f>
        <v/>
      </c>
      <c r="F745" t="inlineStr">
        <is>
          <t>Sale !! Royal Ethnic Wear Moroccan Dubai Bedded Kaftan Abaya Party Fancy Dresses Clothing Aari Embroidered Stones Work Net Fabrics Dresses</t>
        </is>
      </c>
      <c r="G745" t="inlineStr">
        <is>
          <t>EulSYmir8czLwX6twGFO6PI96se3</t>
        </is>
      </c>
      <c r="H745" t="inlineStr">
        <is>
          <t>web</t>
        </is>
      </c>
      <c r="I745" t="inlineStr">
        <is>
          <t>en-US</t>
        </is>
      </c>
      <c r="J745" t="inlineStr">
        <is>
          <t>us_v2-broad</t>
        </is>
      </c>
      <c r="K745" t="b">
        <v>1</v>
      </c>
      <c r="L745" t="inlineStr">
        <is>
          <t>partial</t>
        </is>
      </c>
      <c r="M745" t="inlineStr">
        <is>
          <t>partial</t>
        </is>
      </c>
      <c r="N745" t="inlineStr">
        <is>
          <t>relevant</t>
        </is>
      </c>
      <c r="O745" t="inlineStr">
        <is>
          <t>partial</t>
        </is>
      </c>
      <c r="P745" t="b">
        <v>1</v>
      </c>
    </row>
    <row r="746">
      <c r="A746" t="inlineStr">
        <is>
          <t>rsvp wedding</t>
        </is>
      </c>
      <c r="B746" t="inlineStr"/>
      <c r="C746" t="n">
        <v>1400742563</v>
      </c>
      <c r="D746">
        <f>HYPERLINK("https://www.etsy.com/listing/1400742563", "link")</f>
        <v/>
      </c>
      <c r="E746">
        <f>HYPERLINK("https://atlas.etsycorp.com/listing/1400742563/lookup", "link")</f>
        <v/>
      </c>
      <c r="F746" t="inlineStr">
        <is>
          <t>Wedding Invitation, Concertina Wedding Invites, Folded Wedding Invite, Timeline Wedding Invitation, Invitations Wedding, White Rose</t>
        </is>
      </c>
      <c r="G746" t="inlineStr">
        <is>
          <t>Euzq7m7xTSkE304QycDWDTersR30</t>
        </is>
      </c>
      <c r="H746" t="inlineStr">
        <is>
          <t>web</t>
        </is>
      </c>
      <c r="I746" t="inlineStr">
        <is>
          <t>en-GB</t>
        </is>
      </c>
      <c r="J746" t="inlineStr">
        <is>
          <t>us_v2-direct_unspecified</t>
        </is>
      </c>
      <c r="K746" t="b">
        <v>1</v>
      </c>
      <c r="L746" t="inlineStr">
        <is>
          <t>partial</t>
        </is>
      </c>
      <c r="M746" t="inlineStr">
        <is>
          <t>partial</t>
        </is>
      </c>
      <c r="N746" t="inlineStr">
        <is>
          <t>partial</t>
        </is>
      </c>
      <c r="O746" t="inlineStr">
        <is>
          <t>partial</t>
        </is>
      </c>
      <c r="P746" t="b">
        <v>1</v>
      </c>
    </row>
    <row r="747">
      <c r="A747" t="inlineStr">
        <is>
          <t>Акрил</t>
        </is>
      </c>
      <c r="B747" t="inlineStr">
        <is>
          <t>Acrylic</t>
        </is>
      </c>
      <c r="C747" t="n">
        <v>1455631920</v>
      </c>
      <c r="D747">
        <f>HYPERLINK("https://www.etsy.com/listing/1455631920", "link")</f>
        <v/>
      </c>
      <c r="E747">
        <f>HYPERLINK("https://atlas.etsycorp.com/listing/1455631920/lookup", "link")</f>
        <v/>
      </c>
      <c r="F747" t="inlineStr">
        <is>
          <t>Painting on Canvas Original Landscape, Wall decor, Hand Painted Acrylic Painting, Lanscape Original Painting, Home Wall Decor</t>
        </is>
      </c>
      <c r="G747" t="inlineStr">
        <is>
          <t>EuvgMU_zURiXMwqmVVH6eF41qVe3</t>
        </is>
      </c>
      <c r="H747" t="inlineStr">
        <is>
          <t>boe</t>
        </is>
      </c>
      <c r="I747" t="inlineStr">
        <is>
          <t>ru</t>
        </is>
      </c>
      <c r="J747" t="inlineStr">
        <is>
          <t>intl-ru</t>
        </is>
      </c>
      <c r="K747" t="b">
        <v>1</v>
      </c>
      <c r="L747" t="inlineStr">
        <is>
          <t>relevant</t>
        </is>
      </c>
      <c r="M747" t="inlineStr">
        <is>
          <t>relevant</t>
        </is>
      </c>
      <c r="N747" t="inlineStr">
        <is>
          <t>partial</t>
        </is>
      </c>
      <c r="O747" t="inlineStr">
        <is>
          <t>relevant</t>
        </is>
      </c>
      <c r="P747" t="b">
        <v>1</v>
      </c>
    </row>
    <row r="748">
      <c r="A748" t="inlineStr">
        <is>
          <t>sewn items</t>
        </is>
      </c>
      <c r="B748" t="inlineStr"/>
      <c r="C748" t="n">
        <v>187314262</v>
      </c>
      <c r="D748">
        <f>HYPERLINK("https://www.etsy.com/listing/187314262", "link")</f>
        <v/>
      </c>
      <c r="E748">
        <f>HYPERLINK("https://atlas.etsycorp.com/listing/187314262/lookup", "link")</f>
        <v/>
      </c>
      <c r="F748" t="inlineStr">
        <is>
          <t>Hemp Facial Cleansing Rounds Pads Washable Reusable Organic Cotton Fleece Eco Friendly Makeup Removers Scrubbies</t>
        </is>
      </c>
      <c r="G748" t="inlineStr">
        <is>
          <t>EuCow_GXgiiVxmjXMwJtpZfM3Aaa</t>
        </is>
      </c>
      <c r="H748" t="inlineStr">
        <is>
          <t>boe</t>
        </is>
      </c>
      <c r="I748" t="inlineStr">
        <is>
          <t>en-GB</t>
        </is>
      </c>
      <c r="J748" t="inlineStr">
        <is>
          <t>us_v2-direct_unspecified</t>
        </is>
      </c>
      <c r="K748" t="b">
        <v>1</v>
      </c>
      <c r="L748" t="inlineStr">
        <is>
          <t>not_relevant</t>
        </is>
      </c>
      <c r="M748" t="inlineStr">
        <is>
          <t>partial</t>
        </is>
      </c>
      <c r="N748" t="inlineStr">
        <is>
          <t>not_relevant</t>
        </is>
      </c>
      <c r="O748" t="inlineStr">
        <is>
          <t>not_relevant</t>
        </is>
      </c>
      <c r="P748" t="b">
        <v>1</v>
      </c>
    </row>
    <row r="749">
      <c r="A749" t="inlineStr">
        <is>
          <t>kitchen wall art</t>
        </is>
      </c>
      <c r="B749" t="inlineStr"/>
      <c r="C749" t="n">
        <v>1277260431</v>
      </c>
      <c r="D749">
        <f>HYPERLINK("https://www.etsy.com/listing/1277260431", "link")</f>
        <v/>
      </c>
      <c r="E749">
        <f>HYPERLINK("https://atlas.etsycorp.com/listing/1277260431/lookup", "link")</f>
        <v/>
      </c>
      <c r="F749" t="inlineStr">
        <is>
          <t>Modern Kitchen Decor Set of 13 Printables, Dessert Art, Food Print, Blue Art,Kitchen Poster, Dining Room Print Cooking Lover Trendy Food Art</t>
        </is>
      </c>
      <c r="G749" t="inlineStr">
        <is>
          <t>EuS2C7L_GQ5hRg7X2f_CBMlzAWc6</t>
        </is>
      </c>
      <c r="H749" t="inlineStr">
        <is>
          <t>web</t>
        </is>
      </c>
      <c r="I749" t="inlineStr">
        <is>
          <t>en-US</t>
        </is>
      </c>
      <c r="J749" t="inlineStr">
        <is>
          <t>us_v2-direct_unspecified</t>
        </is>
      </c>
      <c r="K749" t="b">
        <v>1</v>
      </c>
      <c r="L749" t="inlineStr">
        <is>
          <t>relevant</t>
        </is>
      </c>
      <c r="M749" t="inlineStr">
        <is>
          <t>relevant</t>
        </is>
      </c>
      <c r="N749" t="inlineStr">
        <is>
          <t>relevant</t>
        </is>
      </c>
      <c r="O749" t="inlineStr">
        <is>
          <t>relevant</t>
        </is>
      </c>
      <c r="P749" t="b">
        <v>1</v>
      </c>
    </row>
    <row r="750">
      <c r="A750" t="inlineStr">
        <is>
          <t>Sonnenschirm 60er kleiner</t>
        </is>
      </c>
      <c r="B750" t="inlineStr">
        <is>
          <t>Parasol 60s smaller</t>
        </is>
      </c>
      <c r="C750" t="n">
        <v>1643084870</v>
      </c>
      <c r="D750">
        <f>HYPERLINK("https://www.etsy.com/listing/1643084870", "link")</f>
        <v/>
      </c>
      <c r="E750">
        <f>HYPERLINK("https://atlas.etsycorp.com/listing/1643084870/lookup", "link")</f>
        <v/>
      </c>
      <c r="F750" t="inlineStr">
        <is>
          <t>Parasol, bridal umbrella, wedding umbrella, lace umbrella, with handmade Battenburg lace</t>
        </is>
      </c>
      <c r="G750" t="inlineStr">
        <is>
          <t>EuNtxlnDju8oS3PElzVsh9u-BQ19</t>
        </is>
      </c>
      <c r="H750" t="inlineStr">
        <is>
          <t>web</t>
        </is>
      </c>
      <c r="I750" t="inlineStr">
        <is>
          <t>de</t>
        </is>
      </c>
      <c r="J750" t="inlineStr">
        <is>
          <t>intl-de</t>
        </is>
      </c>
      <c r="K750" t="b">
        <v>1</v>
      </c>
      <c r="L750" t="inlineStr">
        <is>
          <t>partial</t>
        </is>
      </c>
      <c r="M750" t="inlineStr">
        <is>
          <t>relevant</t>
        </is>
      </c>
      <c r="N750" t="inlineStr">
        <is>
          <t>partial</t>
        </is>
      </c>
      <c r="O750" t="inlineStr">
        <is>
          <t>partial</t>
        </is>
      </c>
      <c r="P750" t="b">
        <v>1</v>
      </c>
    </row>
    <row r="751">
      <c r="A751" t="inlineStr">
        <is>
          <t>anello dentizione</t>
        </is>
      </c>
      <c r="B751" t="inlineStr">
        <is>
          <t>teething ring</t>
        </is>
      </c>
      <c r="C751" t="n">
        <v>992939743</v>
      </c>
      <c r="D751">
        <f>HYPERLINK("https://www.etsy.com/listing/992939743", "link")</f>
        <v/>
      </c>
      <c r="E751">
        <f>HYPERLINK("https://atlas.etsycorp.com/listing/992939743/lookup", "link")</f>
        <v/>
      </c>
      <c r="F751" t="inlineStr">
        <is>
          <t>Baby Teether | Natural Wood Elephant Teething Ring | Baby Safe Teether | New Baby Gift | Baby Shower Gift | Baby Girl | Baby Boy</t>
        </is>
      </c>
      <c r="G751" t="inlineStr">
        <is>
          <t>Euqw_3pY6gYPmP7TGFqmNfTSk4a6</t>
        </is>
      </c>
      <c r="H751" t="inlineStr">
        <is>
          <t>web</t>
        </is>
      </c>
      <c r="I751" t="inlineStr">
        <is>
          <t>it</t>
        </is>
      </c>
      <c r="J751" t="inlineStr">
        <is>
          <t>intl-it</t>
        </is>
      </c>
      <c r="K751" t="b">
        <v>1</v>
      </c>
      <c r="L751" t="inlineStr">
        <is>
          <t>relevant</t>
        </is>
      </c>
      <c r="M751" t="inlineStr">
        <is>
          <t>relevant</t>
        </is>
      </c>
      <c r="N751" t="inlineStr">
        <is>
          <t>relevant</t>
        </is>
      </c>
      <c r="O751" t="inlineStr">
        <is>
          <t>relevant</t>
        </is>
      </c>
      <c r="P751" t="b">
        <v>1</v>
      </c>
    </row>
    <row r="752">
      <c r="A752" t="inlineStr">
        <is>
          <t>echarpe triangle</t>
        </is>
      </c>
      <c r="B752" t="inlineStr">
        <is>
          <t>triangle scarf</t>
        </is>
      </c>
      <c r="C752" t="n">
        <v>1683812586</v>
      </c>
      <c r="D752">
        <f>HYPERLINK("https://www.etsy.com/listing/1683812586", "link")</f>
        <v/>
      </c>
      <c r="E752">
        <f>HYPERLINK("https://atlas.etsycorp.com/listing/1683812586/lookup", "link")</f>
        <v/>
      </c>
      <c r="F752" t="inlineStr">
        <is>
          <t>Set of 5 personalizable muslin baby toddler scarves triangular scarves burp cloths organic cotton bibs lemon gauze gift</t>
        </is>
      </c>
      <c r="G752" t="inlineStr">
        <is>
          <t>EuHMADbLaTX7rs2r6Frilwd6ORb8</t>
        </is>
      </c>
      <c r="H752" t="inlineStr">
        <is>
          <t>web</t>
        </is>
      </c>
      <c r="I752" t="inlineStr">
        <is>
          <t>fr</t>
        </is>
      </c>
      <c r="J752" t="inlineStr">
        <is>
          <t>intl-fr</t>
        </is>
      </c>
      <c r="K752" t="b">
        <v>1</v>
      </c>
      <c r="L752" t="inlineStr">
        <is>
          <t>relevant</t>
        </is>
      </c>
      <c r="M752" t="inlineStr">
        <is>
          <t>relevant</t>
        </is>
      </c>
      <c r="N752" t="inlineStr">
        <is>
          <t>relevant</t>
        </is>
      </c>
      <c r="O752" t="inlineStr">
        <is>
          <t>not_relevant</t>
        </is>
      </c>
      <c r="P752" t="b">
        <v>1</v>
      </c>
    </row>
    <row r="753">
      <c r="A753" t="inlineStr">
        <is>
          <t>SUBLIMATION PROPERTY MANAGER BUSINESS SHIRT</t>
        </is>
      </c>
      <c r="B753" t="inlineStr"/>
      <c r="C753" t="n">
        <v>1280750172</v>
      </c>
      <c r="D753">
        <f>HYPERLINK("https://www.etsy.com/listing/1280750172", "link")</f>
        <v/>
      </c>
      <c r="E753">
        <f>HYPERLINK("https://atlas.etsycorp.com/listing/1280750172/lookup", "link")</f>
        <v/>
      </c>
      <c r="F753" t="inlineStr">
        <is>
          <t>Operations Manager Shirt,General Manager,Boss,Operational Manager,Senior Manager,Chief Operating Officer,Corporate,Warehouse,Management</t>
        </is>
      </c>
      <c r="G753" t="inlineStr">
        <is>
          <t>Eu4XnKReExbFOoiDhRlSQvfkPK03</t>
        </is>
      </c>
      <c r="H753" t="inlineStr">
        <is>
          <t>web</t>
        </is>
      </c>
      <c r="I753" t="inlineStr">
        <is>
          <t>en-US</t>
        </is>
      </c>
      <c r="J753" t="inlineStr">
        <is>
          <t>us_v2-direct_specified</t>
        </is>
      </c>
      <c r="K753" t="b">
        <v>1</v>
      </c>
      <c r="L753" t="inlineStr">
        <is>
          <t>partial</t>
        </is>
      </c>
      <c r="M753" t="inlineStr">
        <is>
          <t>partial</t>
        </is>
      </c>
      <c r="N753" t="inlineStr">
        <is>
          <t>partial</t>
        </is>
      </c>
      <c r="O753" t="inlineStr">
        <is>
          <t>partial</t>
        </is>
      </c>
      <c r="P753" t="b">
        <v>1</v>
      </c>
    </row>
    <row r="754">
      <c r="A754" t="inlineStr">
        <is>
          <t>26 ft runner</t>
        </is>
      </c>
      <c r="B754" t="inlineStr"/>
      <c r="C754" t="n">
        <v>1634307403</v>
      </c>
      <c r="D754">
        <f>HYPERLINK("https://www.etsy.com/listing/1634307403", "link")</f>
        <v/>
      </c>
      <c r="E754">
        <f>HYPERLINK("https://atlas.etsycorp.com/listing/1634307403/lookup", "link")</f>
        <v/>
      </c>
      <c r="F754" t="inlineStr">
        <is>
          <t>3&amp;#39;3&amp;quot; x 24&amp;#39; ft runner rug Extra long, Vintage 3x24 turkish runner, Long runner for hallway, Antique long runner, Stair rug, Heriz rug runner</t>
        </is>
      </c>
      <c r="G754" t="inlineStr">
        <is>
          <t>EuaW_OhrezZzv3OtGbo8Y8HBok3f</t>
        </is>
      </c>
      <c r="H754" t="inlineStr">
        <is>
          <t>web</t>
        </is>
      </c>
      <c r="I754" t="inlineStr">
        <is>
          <t>en-US</t>
        </is>
      </c>
      <c r="J754" t="inlineStr">
        <is>
          <t>us_v2-direct_unspecified</t>
        </is>
      </c>
      <c r="K754" t="b">
        <v>1</v>
      </c>
      <c r="L754" t="inlineStr">
        <is>
          <t>partial</t>
        </is>
      </c>
      <c r="M754" t="inlineStr">
        <is>
          <t>partial</t>
        </is>
      </c>
      <c r="N754" t="inlineStr">
        <is>
          <t>relevant</t>
        </is>
      </c>
      <c r="O754" t="inlineStr">
        <is>
          <t>partial</t>
        </is>
      </c>
      <c r="P754" t="b">
        <v>1</v>
      </c>
    </row>
    <row r="755">
      <c r="A755" t="inlineStr">
        <is>
          <t>ถุงมือ allpa back</t>
        </is>
      </c>
      <c r="B755" t="inlineStr"/>
      <c r="C755" t="n">
        <v>1545680818</v>
      </c>
      <c r="D755">
        <f>HYPERLINK("https://www.etsy.com/listing/1545680818", "link")</f>
        <v/>
      </c>
      <c r="E755">
        <f>HYPERLINK("https://atlas.etsycorp.com/listing/1545680818/lookup", "link")</f>
        <v/>
      </c>
      <c r="F755" t="inlineStr">
        <is>
          <t>Backpack with Autumn Leaves and Books Clipart Bundle- 10 High Quality Watercolor JPGs- Fall Art, Journaling, Scrapbook, Digital Download</t>
        </is>
      </c>
      <c r="G755" t="inlineStr">
        <is>
          <t>EuGvOCeQq7E_rTm2m2HA4MN4oH23</t>
        </is>
      </c>
      <c r="H755" t="inlineStr">
        <is>
          <t>web</t>
        </is>
      </c>
      <c r="I755" t="inlineStr">
        <is>
          <t>en-US</t>
        </is>
      </c>
      <c r="J755" t="inlineStr">
        <is>
          <t>us_v2-broad</t>
        </is>
      </c>
      <c r="K755" t="b">
        <v>1</v>
      </c>
      <c r="L755" t="inlineStr">
        <is>
          <t>not_relevant</t>
        </is>
      </c>
      <c r="M755" t="inlineStr">
        <is>
          <t>not_relevant</t>
        </is>
      </c>
      <c r="N755" t="inlineStr">
        <is>
          <t>not_relevant</t>
        </is>
      </c>
      <c r="O755" t="inlineStr">
        <is>
          <t>not_relevant</t>
        </is>
      </c>
      <c r="P755" t="b">
        <v>1</v>
      </c>
    </row>
    <row r="756">
      <c r="A756" t="inlineStr">
        <is>
          <t>chevrolet silverado 2013</t>
        </is>
      </c>
      <c r="B756" t="inlineStr">
        <is>
          <t>2013 chevrolet silverado</t>
        </is>
      </c>
      <c r="C756" t="n">
        <v>1227292600</v>
      </c>
      <c r="D756">
        <f>HYPERLINK("https://www.etsy.com/listing/1227292600", "link")</f>
        <v/>
      </c>
      <c r="E756">
        <f>HYPERLINK("https://atlas.etsycorp.com/listing/1227292600/lookup", "link")</f>
        <v/>
      </c>
      <c r="F756" t="inlineStr">
        <is>
          <t>2017 Chevrolet Silverado Shirt, Car Enthusiast, Car Art, 2017 Chevy Silverado 1500, Chevy Silverado Shirt, Gift, 2017 Chevy Pickup Truck</t>
        </is>
      </c>
      <c r="G756" t="inlineStr">
        <is>
          <t>Euxp6Kx_31Ro7rci_UnawUj7Qnd8</t>
        </is>
      </c>
      <c r="H756" t="inlineStr">
        <is>
          <t>boe</t>
        </is>
      </c>
      <c r="I756" t="inlineStr">
        <is>
          <t>es</t>
        </is>
      </c>
      <c r="J756" t="inlineStr">
        <is>
          <t>intl-es</t>
        </is>
      </c>
      <c r="K756" t="b">
        <v>1</v>
      </c>
      <c r="L756" t="inlineStr">
        <is>
          <t>partial</t>
        </is>
      </c>
      <c r="M756" t="inlineStr">
        <is>
          <t>partial</t>
        </is>
      </c>
      <c r="N756" t="inlineStr">
        <is>
          <t>not_relevant</t>
        </is>
      </c>
      <c r="O756" t="inlineStr">
        <is>
          <t>partial</t>
        </is>
      </c>
      <c r="P756" t="b">
        <v>1</v>
      </c>
    </row>
    <row r="757">
      <c r="A757" t="inlineStr">
        <is>
          <t>ledapol</t>
        </is>
      </c>
      <c r="B757" t="inlineStr">
        <is>
          <t>ledapol</t>
        </is>
      </c>
      <c r="C757" t="n">
        <v>575527175</v>
      </c>
      <c r="D757">
        <f>HYPERLINK("https://www.etsy.com/listing/575527175", "link")</f>
        <v/>
      </c>
      <c r="E757">
        <f>HYPERLINK("https://atlas.etsycorp.com/listing/575527175/lookup", "link")</f>
        <v/>
      </c>
      <c r="F757" t="inlineStr">
        <is>
          <t>Full latex lingerie set/outfit: high neck top, high leg briefs and stockings</t>
        </is>
      </c>
      <c r="G757" t="inlineStr">
        <is>
          <t>EurjraMhQ5hR5EZx1wjER5PZ3p92</t>
        </is>
      </c>
      <c r="H757" t="inlineStr">
        <is>
          <t>web</t>
        </is>
      </c>
      <c r="I757" t="inlineStr">
        <is>
          <t>de</t>
        </is>
      </c>
      <c r="J757" t="inlineStr">
        <is>
          <t>intl-de</t>
        </is>
      </c>
      <c r="K757" t="b">
        <v>1</v>
      </c>
      <c r="L757" t="inlineStr">
        <is>
          <t>relevant</t>
        </is>
      </c>
      <c r="M757" t="inlineStr">
        <is>
          <t>relevant</t>
        </is>
      </c>
      <c r="N757" t="inlineStr">
        <is>
          <t>partial</t>
        </is>
      </c>
      <c r="O757" t="inlineStr">
        <is>
          <t>relevant</t>
        </is>
      </c>
      <c r="P757" t="b">
        <v>1</v>
      </c>
    </row>
    <row r="758">
      <c r="A758" t="inlineStr">
        <is>
          <t>hearts for friendship</t>
        </is>
      </c>
      <c r="B758" t="inlineStr"/>
      <c r="C758" t="n">
        <v>1643949504</v>
      </c>
      <c r="D758">
        <f>HYPERLINK("https://www.etsy.com/listing/1643949504", "link")</f>
        <v/>
      </c>
      <c r="E758">
        <f>HYPERLINK("https://atlas.etsycorp.com/listing/1643949504/lookup", "link")</f>
        <v/>
      </c>
      <c r="F758" t="inlineStr">
        <is>
          <t>2pc Couple Dino Kawaii Plushie Dino Keychain Matching Cute Best Friend Gift Valentine’s Day Gift Anniversary Gift Bag Accessory Charm</t>
        </is>
      </c>
      <c r="G758" t="inlineStr">
        <is>
          <t>Eu0kBMatjgYsSfkeMQ7b0jCe_778</t>
        </is>
      </c>
      <c r="H758" t="inlineStr">
        <is>
          <t>web</t>
        </is>
      </c>
      <c r="I758" t="inlineStr">
        <is>
          <t>en-US</t>
        </is>
      </c>
      <c r="J758" t="inlineStr">
        <is>
          <t>us_v2-gift</t>
        </is>
      </c>
      <c r="K758" t="b">
        <v>1</v>
      </c>
      <c r="L758" t="inlineStr">
        <is>
          <t>not_relevant</t>
        </is>
      </c>
      <c r="M758" t="inlineStr">
        <is>
          <t>partial</t>
        </is>
      </c>
      <c r="N758" t="inlineStr">
        <is>
          <t>not_relevant</t>
        </is>
      </c>
      <c r="O758" t="inlineStr">
        <is>
          <t>not_relevant</t>
        </is>
      </c>
      <c r="P758" t="b">
        <v>1</v>
      </c>
    </row>
    <row r="759">
      <c r="A759" t="inlineStr">
        <is>
          <t>mini and mickey engagement card</t>
        </is>
      </c>
      <c r="B759" t="inlineStr"/>
      <c r="C759" t="n">
        <v>1372610202</v>
      </c>
      <c r="D759">
        <f>HYPERLINK("https://www.etsy.com/listing/1372610202", "link")</f>
        <v/>
      </c>
      <c r="E759">
        <f>HYPERLINK("https://atlas.etsycorp.com/listing/1372610202/lookup", "link")</f>
        <v/>
      </c>
      <c r="F759" t="inlineStr">
        <is>
          <t>Personalised Engagement Card, Congratulations On Your Engagement Card, Engagement Card, Giraffe Card, Congratulations Card, Engaged Card</t>
        </is>
      </c>
      <c r="G759" t="inlineStr">
        <is>
          <t>EuFLcEP_vJMDaPRWR5ispcL9SI31</t>
        </is>
      </c>
      <c r="H759" t="inlineStr">
        <is>
          <t>web</t>
        </is>
      </c>
      <c r="I759" t="inlineStr">
        <is>
          <t>en-GB</t>
        </is>
      </c>
      <c r="J759" t="inlineStr">
        <is>
          <t>us_v2-direct_specified</t>
        </is>
      </c>
      <c r="K759" t="b">
        <v>1</v>
      </c>
      <c r="L759" t="inlineStr">
        <is>
          <t>partial</t>
        </is>
      </c>
      <c r="M759" t="inlineStr">
        <is>
          <t>partial</t>
        </is>
      </c>
      <c r="N759" t="inlineStr">
        <is>
          <t>partial</t>
        </is>
      </c>
      <c r="O759" t="inlineStr">
        <is>
          <t>partial</t>
        </is>
      </c>
      <c r="P759" t="b">
        <v>1</v>
      </c>
    </row>
    <row r="760">
      <c r="A760" t="inlineStr">
        <is>
          <t>final fantasy cookie</t>
        </is>
      </c>
      <c r="B760" t="inlineStr">
        <is>
          <t>final fantasy cookie</t>
        </is>
      </c>
      <c r="C760" t="n">
        <v>598730978</v>
      </c>
      <c r="D760">
        <f>HYPERLINK("https://www.etsy.com/listing/598730978", "link")</f>
        <v/>
      </c>
      <c r="E760">
        <f>HYPERLINK("https://atlas.etsycorp.com/listing/598730978/lookup", "link")</f>
        <v/>
      </c>
      <c r="F760" t="inlineStr">
        <is>
          <t>FFXIV Soul Stone Cookie Cutters (Set 2 of 4) -Drg, Brd, Blm, Drk, Ast - FF14- DRG Soul Crystal Cookie Cutter</t>
        </is>
      </c>
      <c r="G760" t="inlineStr">
        <is>
          <t>Euss7Q4KSsME3_qASdg9XG2z2B5c</t>
        </is>
      </c>
      <c r="H760" t="inlineStr">
        <is>
          <t>web</t>
        </is>
      </c>
      <c r="I760" t="inlineStr">
        <is>
          <t>fr</t>
        </is>
      </c>
      <c r="J760" t="inlineStr">
        <is>
          <t>intl-fr</t>
        </is>
      </c>
      <c r="K760" t="b">
        <v>1</v>
      </c>
      <c r="L760" t="inlineStr">
        <is>
          <t>not_relevant</t>
        </is>
      </c>
      <c r="M760" t="inlineStr">
        <is>
          <t>not_relevant</t>
        </is>
      </c>
      <c r="N760" t="inlineStr">
        <is>
          <t>relevant</t>
        </is>
      </c>
      <c r="O760" t="inlineStr">
        <is>
          <t>not_relevant</t>
        </is>
      </c>
      <c r="P760" t="b">
        <v>1</v>
      </c>
    </row>
    <row r="761">
      <c r="A761" t="inlineStr">
        <is>
          <t>cast iron chicken fryer</t>
        </is>
      </c>
      <c r="B761" t="inlineStr"/>
      <c r="C761" t="n">
        <v>1545025982</v>
      </c>
      <c r="D761">
        <f>HYPERLINK("https://www.etsy.com/listing/1545025982", "link")</f>
        <v/>
      </c>
      <c r="E761">
        <f>HYPERLINK("https://atlas.etsycorp.com/listing/1545025982/lookup", "link")</f>
        <v/>
      </c>
      <c r="F761" t="inlineStr">
        <is>
          <t>Fourth Wing | Officially Licensed Fourth Wing by Rebecca Yarros Soy Wax Candle</t>
        </is>
      </c>
      <c r="G761" t="inlineStr">
        <is>
          <t>EuoAd7ZelBlJeu8Ku1mNPrtiBu3a</t>
        </is>
      </c>
      <c r="H761" t="inlineStr">
        <is>
          <t>boe</t>
        </is>
      </c>
      <c r="I761" t="inlineStr">
        <is>
          <t>en-US</t>
        </is>
      </c>
      <c r="J761" t="inlineStr">
        <is>
          <t>us_v2-direct_specified</t>
        </is>
      </c>
      <c r="K761" t="b">
        <v>1</v>
      </c>
      <c r="L761" t="inlineStr">
        <is>
          <t>not_relevant</t>
        </is>
      </c>
      <c r="M761" t="inlineStr">
        <is>
          <t>not_relevant</t>
        </is>
      </c>
      <c r="N761" t="inlineStr">
        <is>
          <t>not_relevant</t>
        </is>
      </c>
      <c r="O761" t="inlineStr">
        <is>
          <t>not_relevant</t>
        </is>
      </c>
      <c r="P761" t="b">
        <v>1</v>
      </c>
    </row>
    <row r="762">
      <c r="A762" t="inlineStr">
        <is>
          <t>gold ping pong balls</t>
        </is>
      </c>
      <c r="B762" t="inlineStr"/>
      <c r="C762" t="n">
        <v>1141897906</v>
      </c>
      <c r="D762">
        <f>HYPERLINK("https://www.etsy.com/listing/1141897906", "link")</f>
        <v/>
      </c>
      <c r="E762">
        <f>HYPERLINK("https://atlas.etsycorp.com/listing/1141897906/lookup", "link")</f>
        <v/>
      </c>
      <c r="F762" t="inlineStr">
        <is>
          <t>Doormat Mischief Managed | Geek Chic Doormat Magical Fantasy Nerdy Housewarming Gift Doormat Closing Gift | Welcome Mat | Home Decor 1611**</t>
        </is>
      </c>
      <c r="G762" t="inlineStr">
        <is>
          <t>Eu1AzON89eCq9iGNo5gG9sMtbf9e</t>
        </is>
      </c>
      <c r="H762" t="inlineStr">
        <is>
          <t>boe</t>
        </is>
      </c>
      <c r="I762" t="inlineStr">
        <is>
          <t>en-US</t>
        </is>
      </c>
      <c r="J762" t="inlineStr">
        <is>
          <t>us_v2-direct_specified</t>
        </is>
      </c>
      <c r="K762" t="b">
        <v>1</v>
      </c>
      <c r="L762" t="inlineStr">
        <is>
          <t>not_relevant</t>
        </is>
      </c>
      <c r="M762" t="inlineStr">
        <is>
          <t>not_relevant</t>
        </is>
      </c>
      <c r="N762" t="inlineStr">
        <is>
          <t>not_relevant</t>
        </is>
      </c>
      <c r="O762" t="inlineStr">
        <is>
          <t>not_relevant</t>
        </is>
      </c>
      <c r="P762" t="b">
        <v>1</v>
      </c>
    </row>
    <row r="763">
      <c r="A763" t="inlineStr">
        <is>
          <t>go taylors boyfriend sweatshirt</t>
        </is>
      </c>
      <c r="B763" t="inlineStr"/>
      <c r="C763" t="n">
        <v>1456210335</v>
      </c>
      <c r="D763">
        <f>HYPERLINK("https://www.etsy.com/listing/1456210335", "link")</f>
        <v/>
      </c>
      <c r="E763">
        <f>HYPERLINK("https://atlas.etsycorp.com/listing/1456210335/lookup", "link")</f>
        <v/>
      </c>
      <c r="F763" t="inlineStr">
        <is>
          <t>Funny Boyfriend Shirt, It&amp;#39;S Me, Hi I&amp;#39;M The Boyfriend Shirt, Father&amp;#39;S Day Gift, Swiftie Boyfriend Shirt, Gift For Boyfriend, Boyfriend Shirt</t>
        </is>
      </c>
      <c r="G763" t="inlineStr">
        <is>
          <t>EuAJWrsc0-vgQXCJk3d1miOYUh5e</t>
        </is>
      </c>
      <c r="H763" t="inlineStr">
        <is>
          <t>boe</t>
        </is>
      </c>
      <c r="I763" t="inlineStr">
        <is>
          <t>en-US</t>
        </is>
      </c>
      <c r="J763" t="inlineStr">
        <is>
          <t>us_v2-direct_specified</t>
        </is>
      </c>
      <c r="K763" t="b">
        <v>1</v>
      </c>
      <c r="L763" t="inlineStr">
        <is>
          <t>partial</t>
        </is>
      </c>
      <c r="M763" t="inlineStr">
        <is>
          <t>partial</t>
        </is>
      </c>
      <c r="N763" t="inlineStr">
        <is>
          <t>partial</t>
        </is>
      </c>
      <c r="O763" t="inlineStr">
        <is>
          <t>partial</t>
        </is>
      </c>
      <c r="P763" t="b">
        <v>1</v>
      </c>
    </row>
    <row r="764">
      <c r="A764" t="inlineStr">
        <is>
          <t>magic</t>
        </is>
      </c>
      <c r="B764" t="inlineStr">
        <is>
          <t>magic</t>
        </is>
      </c>
      <c r="C764" t="n">
        <v>1323697272</v>
      </c>
      <c r="D764">
        <f>HYPERLINK("https://www.etsy.com/listing/1323697272", "link")</f>
        <v/>
      </c>
      <c r="E764">
        <f>HYPERLINK("https://atlas.etsycorp.com/listing/1323697272/lookup", "link")</f>
        <v/>
      </c>
      <c r="F764" t="inlineStr">
        <is>
          <t>Magic Home Protection, Witch Bells, Witchy Things, Clear Negative Energies, Attracts Positive, Wicca Decor, Wicca Supplies</t>
        </is>
      </c>
      <c r="G764" t="inlineStr">
        <is>
          <t>EuhvkN94sx_VuSUKMWiqO3geGQbf</t>
        </is>
      </c>
      <c r="H764" t="inlineStr">
        <is>
          <t>boe</t>
        </is>
      </c>
      <c r="I764" t="inlineStr">
        <is>
          <t>nl</t>
        </is>
      </c>
      <c r="J764" t="inlineStr">
        <is>
          <t>intl-nl</t>
        </is>
      </c>
      <c r="K764" t="b">
        <v>1</v>
      </c>
      <c r="L764" t="inlineStr">
        <is>
          <t>relevant</t>
        </is>
      </c>
      <c r="M764" t="inlineStr">
        <is>
          <t>relevant</t>
        </is>
      </c>
      <c r="N764" t="inlineStr">
        <is>
          <t>relevant</t>
        </is>
      </c>
      <c r="O764" t="inlineStr">
        <is>
          <t>relevant</t>
        </is>
      </c>
      <c r="P764" t="b">
        <v>1</v>
      </c>
    </row>
    <row r="765">
      <c r="A765" t="inlineStr">
        <is>
          <t>autocollant mural personnalisé</t>
        </is>
      </c>
      <c r="B765" t="inlineStr">
        <is>
          <t>personalized wall sticker</t>
        </is>
      </c>
      <c r="C765" t="n">
        <v>1587854442</v>
      </c>
      <c r="D765">
        <f>HYPERLINK("https://www.etsy.com/listing/1587854442", "link")</f>
        <v/>
      </c>
      <c r="E765">
        <f>HYPERLINK("https://atlas.etsycorp.com/listing/1587854442/lookup", "link")</f>
        <v/>
      </c>
      <c r="F765" t="inlineStr">
        <is>
          <t>Kids Name Wall Decal/ Kids room/ Nursery/ Custom name and butterfly sticker/ Personalized Wall Decal/ Baby Name Deca/ Gift/ Made in USA</t>
        </is>
      </c>
      <c r="G765" t="inlineStr">
        <is>
          <t>Eubc0--wBBrgojf8w1RSE7jlQ679</t>
        </is>
      </c>
      <c r="H765" t="inlineStr">
        <is>
          <t>boe</t>
        </is>
      </c>
      <c r="I765" t="inlineStr">
        <is>
          <t>fr</t>
        </is>
      </c>
      <c r="J765" t="inlineStr">
        <is>
          <t>intl-fr</t>
        </is>
      </c>
      <c r="K765" t="b">
        <v>1</v>
      </c>
      <c r="L765" t="inlineStr">
        <is>
          <t>relevant</t>
        </is>
      </c>
      <c r="M765" t="inlineStr">
        <is>
          <t>relevant</t>
        </is>
      </c>
      <c r="N765" t="inlineStr">
        <is>
          <t>relevant</t>
        </is>
      </c>
      <c r="O765" t="inlineStr">
        <is>
          <t>relevant</t>
        </is>
      </c>
      <c r="P765" t="b">
        <v>1</v>
      </c>
    </row>
    <row r="766">
      <c r="A766" t="inlineStr">
        <is>
          <t>schema pinguini punto croce</t>
        </is>
      </c>
      <c r="B766" t="inlineStr">
        <is>
          <t>Cross stitch penguins pattern</t>
        </is>
      </c>
      <c r="C766" t="n">
        <v>1217628791</v>
      </c>
      <c r="D766">
        <f>HYPERLINK("https://www.etsy.com/listing/1217628791", "link")</f>
        <v/>
      </c>
      <c r="E766">
        <f>HYPERLINK("https://atlas.etsycorp.com/listing/1217628791/lookup", "link")</f>
        <v/>
      </c>
      <c r="F766" t="inlineStr">
        <is>
          <t>Penguin cross pattern, Modern cross stich, PDF Pattern,  cross stitch chart, Kids cross stitch. Easy cross stitch. Funny cross stitch.</t>
        </is>
      </c>
      <c r="G766" t="inlineStr">
        <is>
          <t>EuLG1a-dmyNUAbK36r6o4dajfa38</t>
        </is>
      </c>
      <c r="H766" t="inlineStr">
        <is>
          <t>web</t>
        </is>
      </c>
      <c r="I766" t="inlineStr">
        <is>
          <t>it</t>
        </is>
      </c>
      <c r="J766" t="inlineStr">
        <is>
          <t>intl-it</t>
        </is>
      </c>
      <c r="K766" t="b">
        <v>1</v>
      </c>
      <c r="L766" t="inlineStr">
        <is>
          <t>relevant</t>
        </is>
      </c>
      <c r="M766" t="inlineStr">
        <is>
          <t>relevant</t>
        </is>
      </c>
      <c r="N766" t="inlineStr">
        <is>
          <t>relevant</t>
        </is>
      </c>
      <c r="O766" t="inlineStr">
        <is>
          <t>relevant</t>
        </is>
      </c>
      <c r="P766" t="b">
        <v>1</v>
      </c>
    </row>
    <row r="767">
      <c r="A767" t="inlineStr">
        <is>
          <t>moomin groke</t>
        </is>
      </c>
      <c r="B767" t="inlineStr"/>
      <c r="C767" t="n">
        <v>1127633443</v>
      </c>
      <c r="D767">
        <f>HYPERLINK("https://www.etsy.com/listing/1127633443", "link")</f>
        <v/>
      </c>
      <c r="E767">
        <f>HYPERLINK("https://atlas.etsycorp.com/listing/1127633443/lookup", "link")</f>
        <v/>
      </c>
      <c r="F767" t="inlineStr">
        <is>
          <t>Moomin nightlight, moomin snorkmaiden love lamp,</t>
        </is>
      </c>
      <c r="G767" t="inlineStr">
        <is>
          <t>EuuUXLt3cJvlaWqpVKagaYLMmy4c</t>
        </is>
      </c>
      <c r="H767" t="inlineStr">
        <is>
          <t>web</t>
        </is>
      </c>
      <c r="I767" t="inlineStr">
        <is>
          <t>en-US</t>
        </is>
      </c>
      <c r="J767" t="inlineStr">
        <is>
          <t>us_v2-broad</t>
        </is>
      </c>
      <c r="K767" t="b">
        <v>1</v>
      </c>
      <c r="L767" t="inlineStr">
        <is>
          <t>partial</t>
        </is>
      </c>
      <c r="M767" t="inlineStr">
        <is>
          <t>partial</t>
        </is>
      </c>
      <c r="N767" t="inlineStr">
        <is>
          <t>partial</t>
        </is>
      </c>
      <c r="O767" t="inlineStr">
        <is>
          <t>partial</t>
        </is>
      </c>
      <c r="P767" t="b">
        <v>1</v>
      </c>
    </row>
    <row r="768">
      <c r="A768" t="inlineStr">
        <is>
          <t>Find shirts</t>
        </is>
      </c>
      <c r="B768" t="inlineStr">
        <is>
          <t>Find shirts</t>
        </is>
      </c>
      <c r="C768" t="n">
        <v>1374738787</v>
      </c>
      <c r="D768">
        <f>HYPERLINK("https://www.etsy.com/listing/1374738787", "link")</f>
        <v/>
      </c>
      <c r="E768">
        <f>HYPERLINK("https://atlas.etsycorp.com/listing/1374738787/lookup", "link")</f>
        <v/>
      </c>
      <c r="F768" t="inlineStr">
        <is>
          <t>Funny Workout Sweatshirt - if I&amp;#39;m too much go find less - Unisex Heavyweight Hoodie - Girl Motivational Charge Underestimate Be Fun</t>
        </is>
      </c>
      <c r="G768" t="inlineStr">
        <is>
          <t>Eu9KnGYUddsOQ_3XzbOQ0Uqc6Dcd</t>
        </is>
      </c>
      <c r="H768" t="inlineStr">
        <is>
          <t>web</t>
        </is>
      </c>
      <c r="I768" t="inlineStr">
        <is>
          <t>es</t>
        </is>
      </c>
      <c r="J768" t="inlineStr">
        <is>
          <t>intl-es</t>
        </is>
      </c>
      <c r="K768" t="b">
        <v>1</v>
      </c>
      <c r="L768" t="inlineStr">
        <is>
          <t>partial</t>
        </is>
      </c>
      <c r="M768" t="inlineStr">
        <is>
          <t>partial</t>
        </is>
      </c>
      <c r="N768" t="inlineStr">
        <is>
          <t>not_relevant</t>
        </is>
      </c>
      <c r="O768" t="inlineStr">
        <is>
          <t>partial</t>
        </is>
      </c>
      <c r="P768" t="b">
        <v>1</v>
      </c>
    </row>
    <row r="769">
      <c r="A769" t="inlineStr">
        <is>
          <t>watercolor terracota flower</t>
        </is>
      </c>
      <c r="B769" t="inlineStr">
        <is>
          <t>watercolor terracotta flower</t>
        </is>
      </c>
      <c r="C769" t="n">
        <v>1341450991</v>
      </c>
      <c r="D769">
        <f>HYPERLINK("https://www.etsy.com/listing/1341450991", "link")</f>
        <v/>
      </c>
      <c r="E769">
        <f>HYPERLINK("https://atlas.etsycorp.com/listing/1341450991/lookup", "link")</f>
        <v/>
      </c>
      <c r="F769" t="inlineStr">
        <is>
          <t>Abstract Watercolor Flowers Painting, Original One Of A Kind, Fine Art, Fine Art Wall Art</t>
        </is>
      </c>
      <c r="G769" t="inlineStr">
        <is>
          <t>EuVg2_EkWq0UB6b9_yBLs4iW3Uc8</t>
        </is>
      </c>
      <c r="H769" t="inlineStr">
        <is>
          <t>web</t>
        </is>
      </c>
      <c r="I769" t="inlineStr">
        <is>
          <t>pt</t>
        </is>
      </c>
      <c r="J769" t="inlineStr">
        <is>
          <t>intl-pt</t>
        </is>
      </c>
      <c r="K769" t="b">
        <v>1</v>
      </c>
      <c r="L769" t="inlineStr">
        <is>
          <t>partial</t>
        </is>
      </c>
      <c r="M769" t="inlineStr">
        <is>
          <t>partial</t>
        </is>
      </c>
      <c r="N769" t="inlineStr">
        <is>
          <t>partial</t>
        </is>
      </c>
      <c r="O769" t="inlineStr">
        <is>
          <t>partial</t>
        </is>
      </c>
      <c r="P769" t="b">
        <v>1</v>
      </c>
    </row>
    <row r="770">
      <c r="A770" t="inlineStr">
        <is>
          <t>amoniet hanger goud</t>
        </is>
      </c>
      <c r="B770" t="inlineStr">
        <is>
          <t>amonite pendant gold</t>
        </is>
      </c>
      <c r="C770" t="n">
        <v>1199847364</v>
      </c>
      <c r="D770">
        <f>HYPERLINK("https://www.etsy.com/listing/1199847364", "link")</f>
        <v/>
      </c>
      <c r="E770">
        <f>HYPERLINK("https://atlas.etsycorp.com/listing/1199847364/lookup", "link")</f>
        <v/>
      </c>
      <c r="F770" t="inlineStr">
        <is>
          <t>Ammonite Pair / Opalized Ammonite / Ammonite Specimen / Polished Ammonite / Opal Ammonite / Ammonite Fossil / Ammonite Slice / Ammonite</t>
        </is>
      </c>
      <c r="G770" t="inlineStr">
        <is>
          <t>EuW-HFv8vWIPB3AEEz9N8_eF3084</t>
        </is>
      </c>
      <c r="H770" t="inlineStr">
        <is>
          <t>web</t>
        </is>
      </c>
      <c r="I770" t="inlineStr">
        <is>
          <t>nl</t>
        </is>
      </c>
      <c r="J770" t="inlineStr">
        <is>
          <t>intl-nl</t>
        </is>
      </c>
      <c r="K770" t="b">
        <v>1</v>
      </c>
      <c r="L770" t="inlineStr">
        <is>
          <t>not_relevant</t>
        </is>
      </c>
      <c r="M770" t="inlineStr">
        <is>
          <t>relevant</t>
        </is>
      </c>
      <c r="N770" t="inlineStr">
        <is>
          <t>not_relevant</t>
        </is>
      </c>
      <c r="O770" t="inlineStr">
        <is>
          <t>not_relevant</t>
        </is>
      </c>
      <c r="P770" t="b">
        <v>1</v>
      </c>
    </row>
    <row r="771">
      <c r="A771" t="inlineStr">
        <is>
          <t>tulip crochet corset</t>
        </is>
      </c>
      <c r="B771" t="inlineStr"/>
      <c r="C771" t="n">
        <v>1217087826</v>
      </c>
      <c r="D771">
        <f>HYPERLINK("https://www.etsy.com/listing/1217087826", "link")</f>
        <v/>
      </c>
      <c r="E771">
        <f>HYPERLINK("https://atlas.etsycorp.com/listing/1217087826/lookup", "link")</f>
        <v/>
      </c>
      <c r="F771" t="inlineStr">
        <is>
          <t>Skeleton Harness Crochet Pattern</t>
        </is>
      </c>
      <c r="G771" t="inlineStr">
        <is>
          <t>EuEcuPgeRLcEb6jbvcgR0dU4Gm7a</t>
        </is>
      </c>
      <c r="H771" t="inlineStr">
        <is>
          <t>web</t>
        </is>
      </c>
      <c r="I771" t="inlineStr">
        <is>
          <t>en-GB</t>
        </is>
      </c>
      <c r="J771" t="inlineStr">
        <is>
          <t>us_v2-direct_unspecified</t>
        </is>
      </c>
      <c r="K771" t="b">
        <v>1</v>
      </c>
      <c r="L771" t="inlineStr">
        <is>
          <t>partial</t>
        </is>
      </c>
      <c r="M771" t="inlineStr">
        <is>
          <t>partial</t>
        </is>
      </c>
      <c r="N771" t="inlineStr">
        <is>
          <t>partial</t>
        </is>
      </c>
      <c r="O771" t="inlineStr">
        <is>
          <t>partial</t>
        </is>
      </c>
      <c r="P771" t="b">
        <v>1</v>
      </c>
    </row>
    <row r="772">
      <c r="A772" t="inlineStr">
        <is>
          <t>yoga posters</t>
        </is>
      </c>
      <c r="B772" t="inlineStr"/>
      <c r="C772" t="n">
        <v>1069757445</v>
      </c>
      <c r="D772">
        <f>HYPERLINK("https://www.etsy.com/listing/1069757445", "link")</f>
        <v/>
      </c>
      <c r="E772">
        <f>HYPERLINK("https://atlas.etsycorp.com/listing/1069757445/lookup", "link")</f>
        <v/>
      </c>
      <c r="F772" t="inlineStr">
        <is>
          <t>Yoga Print, Yoga Poses Chakra Chart, 7 Chakras Yoga Print, Yoga Art Wall Hanging, Chakra Yoga Asanas Spiritual Decor, Yoga Gifts, Yogi Gift</t>
        </is>
      </c>
      <c r="G772" t="inlineStr">
        <is>
          <t>EuZTm6ZPHF9K_ym3bgM-IO1w0V9a</t>
        </is>
      </c>
      <c r="H772" t="inlineStr">
        <is>
          <t>boe</t>
        </is>
      </c>
      <c r="I772" t="inlineStr">
        <is>
          <t>en-GB</t>
        </is>
      </c>
      <c r="J772" t="inlineStr">
        <is>
          <t>us_v2-direct_unspecified</t>
        </is>
      </c>
      <c r="K772" t="b">
        <v>1</v>
      </c>
      <c r="L772" t="inlineStr">
        <is>
          <t>relevant</t>
        </is>
      </c>
      <c r="M772" t="inlineStr">
        <is>
          <t>relevant</t>
        </is>
      </c>
      <c r="N772" t="inlineStr">
        <is>
          <t>relevant</t>
        </is>
      </c>
      <c r="O772" t="inlineStr">
        <is>
          <t>relevant</t>
        </is>
      </c>
      <c r="P772" t="b">
        <v>1</v>
      </c>
    </row>
    <row r="773">
      <c r="A773" t="inlineStr">
        <is>
          <t>Accesorio de película de tijeras</t>
        </is>
      </c>
      <c r="B773" t="inlineStr">
        <is>
          <t>Scissors Movie Prop</t>
        </is>
      </c>
      <c r="C773" t="n">
        <v>1647961350</v>
      </c>
      <c r="D773">
        <f>HYPERLINK("https://www.etsy.com/listing/1647961350", "link")</f>
        <v/>
      </c>
      <c r="E773">
        <f>HYPERLINK("https://atlas.etsycorp.com/listing/1647961350/lookup", "link")</f>
        <v/>
      </c>
      <c r="F773" t="inlineStr">
        <is>
          <t>Fourth Wing Magnetic Bookmarks | The Empyrean book series booktok merch Iron Flame Xaden Riorson Violet Sorrengail Basgiath book accessories</t>
        </is>
      </c>
      <c r="G773" t="inlineStr">
        <is>
          <t>Eu6gZw6yGPhE9i2EHc6B21Yd2sd6</t>
        </is>
      </c>
      <c r="H773" t="inlineStr">
        <is>
          <t>web</t>
        </is>
      </c>
      <c r="I773" t="inlineStr">
        <is>
          <t>es</t>
        </is>
      </c>
      <c r="J773" t="inlineStr">
        <is>
          <t>intl-es</t>
        </is>
      </c>
      <c r="K773" t="b">
        <v>1</v>
      </c>
      <c r="L773" t="inlineStr">
        <is>
          <t>not_relevant</t>
        </is>
      </c>
      <c r="M773" t="inlineStr">
        <is>
          <t>not_sure</t>
        </is>
      </c>
      <c r="N773" t="inlineStr">
        <is>
          <t>not_relevant</t>
        </is>
      </c>
      <c r="O773" t="inlineStr">
        <is>
          <t>not_relevant</t>
        </is>
      </c>
      <c r="P773" t="b">
        <v>1</v>
      </c>
    </row>
    <row r="774">
      <c r="A774" t="inlineStr">
        <is>
          <t>orecchini in titanio</t>
        </is>
      </c>
      <c r="B774" t="inlineStr">
        <is>
          <t>titanium earrings</t>
        </is>
      </c>
      <c r="C774" t="n">
        <v>1706385908</v>
      </c>
      <c r="D774">
        <f>HYPERLINK("https://www.etsy.com/listing/1706385908", "link")</f>
        <v/>
      </c>
      <c r="E774">
        <f>HYPERLINK("https://atlas.etsycorp.com/listing/1706385908/lookup", "link")</f>
        <v/>
      </c>
      <c r="F774" t="inlineStr">
        <is>
          <t>Titanium ASTM F136 (in227) Chain and Spike Labret internally threaded 1.2mm (16ga) suitable for lobe, cartilage, helix, etc</t>
        </is>
      </c>
      <c r="G774" t="inlineStr">
        <is>
          <t>EupflULKTBG1_-3tIgHglcjiCoc9</t>
        </is>
      </c>
      <c r="H774" t="inlineStr">
        <is>
          <t>boe</t>
        </is>
      </c>
      <c r="I774" t="inlineStr">
        <is>
          <t>it</t>
        </is>
      </c>
      <c r="J774" t="inlineStr">
        <is>
          <t>intl-it</t>
        </is>
      </c>
      <c r="K774" t="b">
        <v>1</v>
      </c>
      <c r="L774" t="inlineStr">
        <is>
          <t>relevant</t>
        </is>
      </c>
      <c r="M774" t="inlineStr">
        <is>
          <t>relevant</t>
        </is>
      </c>
      <c r="N774" t="inlineStr">
        <is>
          <t>relevant</t>
        </is>
      </c>
      <c r="O774" t="inlineStr">
        <is>
          <t>relevant</t>
        </is>
      </c>
      <c r="P774" t="b">
        <v>1</v>
      </c>
    </row>
    <row r="775">
      <c r="A775" t="inlineStr">
        <is>
          <t>bully dad cap</t>
        </is>
      </c>
      <c r="B775" t="inlineStr"/>
      <c r="C775" t="n">
        <v>1008543613</v>
      </c>
      <c r="D775">
        <f>HYPERLINK("https://www.etsy.com/listing/1008543613", "link")</f>
        <v/>
      </c>
      <c r="E775">
        <f>HYPERLINK("https://atlas.etsycorp.com/listing/1008543613/lookup", "link")</f>
        <v/>
      </c>
      <c r="F775" t="inlineStr">
        <is>
          <t>Pitbull Dad hat / Pitbull mom gift / Pitbull dad gift / American Staffordshire Terrier hat / Gift for Pitbull lover / Pitbull owner gift</t>
        </is>
      </c>
      <c r="G775" t="inlineStr">
        <is>
          <t>EupaW53-VwZA29C_5sdnSGsssHd9</t>
        </is>
      </c>
      <c r="H775" t="inlineStr">
        <is>
          <t>web</t>
        </is>
      </c>
      <c r="I775" t="inlineStr">
        <is>
          <t>en-US</t>
        </is>
      </c>
      <c r="J775" t="inlineStr">
        <is>
          <t>us_v2-direct_unspecified</t>
        </is>
      </c>
      <c r="K775" t="b">
        <v>1</v>
      </c>
      <c r="L775" t="inlineStr">
        <is>
          <t>partial</t>
        </is>
      </c>
      <c r="M775" t="inlineStr">
        <is>
          <t>partial</t>
        </is>
      </c>
      <c r="N775" t="inlineStr">
        <is>
          <t>relevant</t>
        </is>
      </c>
      <c r="O775" t="inlineStr">
        <is>
          <t>partial</t>
        </is>
      </c>
      <c r="P775" t="b">
        <v>1</v>
      </c>
    </row>
    <row r="776">
      <c r="A776" t="inlineStr">
        <is>
          <t>sandspielzeug tasche</t>
        </is>
      </c>
      <c r="B776" t="inlineStr">
        <is>
          <t>sand toy bag</t>
        </is>
      </c>
      <c r="C776" t="n">
        <v>1185008031</v>
      </c>
      <c r="D776">
        <f>HYPERLINK("https://www.etsy.com/listing/1185008031", "link")</f>
        <v/>
      </c>
      <c r="E776">
        <f>HYPERLINK("https://atlas.etsycorp.com/listing/1185008031/lookup", "link")</f>
        <v/>
      </c>
      <c r="F776" t="inlineStr">
        <is>
          <t>Golf Towel - Absorbent &amp; Fast Drying - Easily Shake Off Sand/Grass/Dirt, Green Golf Towel, Black Golf Towel, Ladies Golf Towel, Golf</t>
        </is>
      </c>
      <c r="G776" t="inlineStr">
        <is>
          <t>Euf0U3KXLV_OjTno31g11wUbPxf6</t>
        </is>
      </c>
      <c r="H776" t="inlineStr">
        <is>
          <t>boe</t>
        </is>
      </c>
      <c r="I776" t="inlineStr">
        <is>
          <t>de</t>
        </is>
      </c>
      <c r="J776" t="inlineStr">
        <is>
          <t>intl-de</t>
        </is>
      </c>
      <c r="K776" t="b">
        <v>1</v>
      </c>
      <c r="L776" t="inlineStr">
        <is>
          <t>not_relevant</t>
        </is>
      </c>
      <c r="M776" t="inlineStr">
        <is>
          <t>not_relevant</t>
        </is>
      </c>
      <c r="N776" t="inlineStr">
        <is>
          <t>not_relevant</t>
        </is>
      </c>
      <c r="O776" t="inlineStr">
        <is>
          <t>not_relevant</t>
        </is>
      </c>
      <c r="P776" t="b">
        <v>1</v>
      </c>
    </row>
    <row r="777">
      <c r="A777" t="inlineStr">
        <is>
          <t>kindle stickers</t>
        </is>
      </c>
      <c r="B777" t="inlineStr">
        <is>
          <t>kindle stickers</t>
        </is>
      </c>
      <c r="C777" t="n">
        <v>1513190325</v>
      </c>
      <c r="D777">
        <f>HYPERLINK("https://www.etsy.com/listing/1513190325", "link")</f>
        <v/>
      </c>
      <c r="E777">
        <f>HYPERLINK("https://atlas.etsycorp.com/listing/1513190325/lookup", "link")</f>
        <v/>
      </c>
      <c r="F777" t="inlineStr">
        <is>
          <t>Fantasy Book Dragon Sticker Holographic / Bookish Sticker / Book Worm / Book Sticker / Kindle sticker / Booktok</t>
        </is>
      </c>
      <c r="G777" t="inlineStr">
        <is>
          <t>Eu_tykt2BA1prKts-IQ2FGHrLS6a</t>
        </is>
      </c>
      <c r="H777" t="inlineStr">
        <is>
          <t>boe</t>
        </is>
      </c>
      <c r="I777" t="inlineStr">
        <is>
          <t>nl</t>
        </is>
      </c>
      <c r="J777" t="inlineStr">
        <is>
          <t>intl-nl</t>
        </is>
      </c>
      <c r="K777" t="b">
        <v>1</v>
      </c>
      <c r="L777" t="inlineStr">
        <is>
          <t>relevant</t>
        </is>
      </c>
      <c r="M777" t="inlineStr">
        <is>
          <t>relevant</t>
        </is>
      </c>
      <c r="N777" t="inlineStr">
        <is>
          <t>relevant</t>
        </is>
      </c>
      <c r="O777" t="inlineStr">
        <is>
          <t>relevant</t>
        </is>
      </c>
      <c r="P777" t="b">
        <v>1</v>
      </c>
    </row>
    <row r="778">
      <c r="A778" t="inlineStr">
        <is>
          <t>linux tux plush</t>
        </is>
      </c>
      <c r="B778" t="inlineStr"/>
      <c r="C778" t="n">
        <v>1582126276</v>
      </c>
      <c r="D778">
        <f>HYPERLINK("https://www.etsy.com/listing/1582126276", "link")</f>
        <v/>
      </c>
      <c r="E778">
        <f>HYPERLINK("https://atlas.etsycorp.com/listing/1582126276/lookup", "link")</f>
        <v/>
      </c>
      <c r="F778" t="inlineStr">
        <is>
          <t>E-books: OS, Operating Systems, Linux, Ubuntu, Kali, Unix, Bsd, Windows, OSX, Kernel, Vim, Bash, Cheat Sheets, Power tools - OS Dev ebooks</t>
        </is>
      </c>
      <c r="G778" t="inlineStr">
        <is>
          <t>Euc5muUSUX302nB5iOOYBeQ-PB3a</t>
        </is>
      </c>
      <c r="H778" t="inlineStr">
        <is>
          <t>boe</t>
        </is>
      </c>
      <c r="I778" t="inlineStr">
        <is>
          <t>en-US</t>
        </is>
      </c>
      <c r="J778" t="inlineStr">
        <is>
          <t>us_v2-direct_specified</t>
        </is>
      </c>
      <c r="K778" t="b">
        <v>1</v>
      </c>
      <c r="L778" t="inlineStr">
        <is>
          <t>not_relevant</t>
        </is>
      </c>
      <c r="M778" t="inlineStr">
        <is>
          <t>not_relevant</t>
        </is>
      </c>
      <c r="N778" t="inlineStr">
        <is>
          <t>not_relevant</t>
        </is>
      </c>
      <c r="O778" t="inlineStr">
        <is>
          <t>partial</t>
        </is>
      </c>
      <c r="P778" t="b">
        <v>1</v>
      </c>
    </row>
    <row r="779">
      <c r="A779" t="inlineStr">
        <is>
          <t>christmas frame mockup</t>
        </is>
      </c>
      <c r="B779" t="inlineStr">
        <is>
          <t>christmas frame mockup</t>
        </is>
      </c>
      <c r="C779" t="n">
        <v>1379452157</v>
      </c>
      <c r="D779">
        <f>HYPERLINK("https://www.etsy.com/listing/1379452157", "link")</f>
        <v/>
      </c>
      <c r="E779">
        <f>HYPERLINK("https://atlas.etsycorp.com/listing/1379452157/lookup", "link")</f>
        <v/>
      </c>
      <c r="F779" t="inlineStr">
        <is>
          <t>Frame Mockup Bundle, Boho, Frame Mockup, Wall Frame Mockup, Poster Mockup, Interior Mockup, Styled Mockup, Print Mockup, Mock Up Frame</t>
        </is>
      </c>
      <c r="G779" t="inlineStr">
        <is>
          <t>Eu6G_geFjvyzWzT2F0DRo8JuQV34</t>
        </is>
      </c>
      <c r="H779" t="inlineStr">
        <is>
          <t>boe</t>
        </is>
      </c>
      <c r="I779" t="inlineStr">
        <is>
          <t>it</t>
        </is>
      </c>
      <c r="J779" t="inlineStr">
        <is>
          <t>intl-it</t>
        </is>
      </c>
      <c r="K779" t="b">
        <v>1</v>
      </c>
      <c r="L779" t="inlineStr">
        <is>
          <t>partial</t>
        </is>
      </c>
      <c r="M779" t="inlineStr">
        <is>
          <t>partial</t>
        </is>
      </c>
      <c r="N779" t="inlineStr">
        <is>
          <t>partial</t>
        </is>
      </c>
      <c r="O779" t="inlineStr">
        <is>
          <t>partial</t>
        </is>
      </c>
      <c r="P779" t="b">
        <v>1</v>
      </c>
    </row>
    <row r="780">
      <c r="A780" t="inlineStr">
        <is>
          <t>art canvas original</t>
        </is>
      </c>
      <c r="B780" t="inlineStr"/>
      <c r="C780" t="n">
        <v>1082993055</v>
      </c>
      <c r="D780">
        <f>HYPERLINK("https://www.etsy.com/listing/1082993055", "link")</f>
        <v/>
      </c>
      <c r="E780">
        <f>HYPERLINK("https://atlas.etsycorp.com/listing/1082993055/lookup", "link")</f>
        <v/>
      </c>
      <c r="F780" t="inlineStr">
        <is>
          <t>extra large Original gold leaf lady portrait large abstract gold foil painting on stretched canvas modern sealed gold black woman oversized</t>
        </is>
      </c>
      <c r="G780" t="inlineStr">
        <is>
          <t>EuDANLCaBZKsfi-gXywsqkZEou54</t>
        </is>
      </c>
      <c r="H780" t="inlineStr">
        <is>
          <t>boe</t>
        </is>
      </c>
      <c r="I780" t="inlineStr">
        <is>
          <t>en-GB</t>
        </is>
      </c>
      <c r="J780" t="inlineStr">
        <is>
          <t>us_v2-direct_specified</t>
        </is>
      </c>
      <c r="K780" t="b">
        <v>1</v>
      </c>
      <c r="L780" t="inlineStr">
        <is>
          <t>relevant</t>
        </is>
      </c>
      <c r="M780" t="inlineStr">
        <is>
          <t>relevant</t>
        </is>
      </c>
      <c r="N780" t="inlineStr">
        <is>
          <t>relevant</t>
        </is>
      </c>
      <c r="O780" t="inlineStr">
        <is>
          <t>relevant</t>
        </is>
      </c>
      <c r="P780" t="b">
        <v>1</v>
      </c>
    </row>
    <row r="781">
      <c r="A781" t="inlineStr">
        <is>
          <t>warcry</t>
        </is>
      </c>
      <c r="B781" t="inlineStr"/>
      <c r="C781" t="n">
        <v>1169439532</v>
      </c>
      <c r="D781">
        <f>HYPERLINK("https://www.etsy.com/listing/1169439532", "link")</f>
        <v/>
      </c>
      <c r="E781">
        <f>HYPERLINK("https://atlas.etsycorp.com/listing/1169439532/lookup", "link")</f>
        <v/>
      </c>
      <c r="F781" t="inlineStr">
        <is>
          <t>Wasteland Bone Terrain | Terrain Essentials | 32mm Tabletop | 4K Detail | D&amp;D | Pathfinder | RPG | Boardgame | Wargaming | AUS | Cast n Play</t>
        </is>
      </c>
      <c r="G781" t="inlineStr">
        <is>
          <t>Eu51HUvjqWueJ04KEngideuJbmfa</t>
        </is>
      </c>
      <c r="H781" t="inlineStr">
        <is>
          <t>web</t>
        </is>
      </c>
      <c r="I781" t="inlineStr">
        <is>
          <t>en-GB</t>
        </is>
      </c>
      <c r="J781" t="inlineStr">
        <is>
          <t>us_v2-broad</t>
        </is>
      </c>
      <c r="K781" t="b">
        <v>1</v>
      </c>
      <c r="L781" t="inlineStr">
        <is>
          <t>partial</t>
        </is>
      </c>
      <c r="M781" t="inlineStr">
        <is>
          <t>not_relevant</t>
        </is>
      </c>
      <c r="N781" t="inlineStr">
        <is>
          <t>partial</t>
        </is>
      </c>
      <c r="O781" t="inlineStr">
        <is>
          <t>partial</t>
        </is>
      </c>
      <c r="P781" t="b">
        <v>1</v>
      </c>
    </row>
    <row r="782">
      <c r="A782" t="inlineStr">
        <is>
          <t>tende</t>
        </is>
      </c>
      <c r="B782" t="inlineStr">
        <is>
          <t>curtains</t>
        </is>
      </c>
      <c r="C782" t="n">
        <v>1065435862</v>
      </c>
      <c r="D782">
        <f>HYPERLINK("https://www.etsy.com/listing/1065435862", "link")</f>
        <v/>
      </c>
      <c r="E782">
        <f>HYPERLINK("https://atlas.etsycorp.com/listing/1065435862/lookup", "link")</f>
        <v/>
      </c>
      <c r="F782" t="inlineStr">
        <is>
          <t>LINEN CURTAINS panel with GROMMETS, drape with eyelets, curtain with ringlets, 100% Linen Curtain. Stonewashed Linen Window Panel</t>
        </is>
      </c>
      <c r="G782" t="inlineStr">
        <is>
          <t>Eu72wPHCEuQboLJQ6uL5nKz5Rc10</t>
        </is>
      </c>
      <c r="H782" t="inlineStr">
        <is>
          <t>web</t>
        </is>
      </c>
      <c r="I782" t="inlineStr">
        <is>
          <t>it</t>
        </is>
      </c>
      <c r="J782" t="inlineStr">
        <is>
          <t>intl-it</t>
        </is>
      </c>
      <c r="K782" t="b">
        <v>1</v>
      </c>
      <c r="L782" t="inlineStr">
        <is>
          <t>relevant</t>
        </is>
      </c>
      <c r="M782" t="inlineStr">
        <is>
          <t>relevant</t>
        </is>
      </c>
      <c r="N782" t="inlineStr">
        <is>
          <t>relevant</t>
        </is>
      </c>
      <c r="O782" t="inlineStr">
        <is>
          <t>relevant</t>
        </is>
      </c>
      <c r="P782" t="b">
        <v>1</v>
      </c>
    </row>
    <row r="783">
      <c r="A783" t="inlineStr">
        <is>
          <t>elephant crochet</t>
        </is>
      </c>
      <c r="B783" t="inlineStr">
        <is>
          <t>elephant crochet</t>
        </is>
      </c>
      <c r="C783" t="n">
        <v>1206855011</v>
      </c>
      <c r="D783">
        <f>HYPERLINK("https://www.etsy.com/listing/1206855011", "link")</f>
        <v/>
      </c>
      <c r="E783">
        <f>HYPERLINK("https://atlas.etsycorp.com/listing/1206855011/lookup", "link")</f>
        <v/>
      </c>
      <c r="F783" t="inlineStr">
        <is>
          <t>Plushie crochet elephant/ chunky wool crochet elephant/ velvet touch teddy/ chunky elephant teddy/ super soft crochet elephant</t>
        </is>
      </c>
      <c r="G783" t="inlineStr">
        <is>
          <t>EuA-96lGPtvlo59xB9MAarjFDR7c</t>
        </is>
      </c>
      <c r="H783" t="inlineStr">
        <is>
          <t>boe</t>
        </is>
      </c>
      <c r="I783" t="inlineStr">
        <is>
          <t>es</t>
        </is>
      </c>
      <c r="J783" t="inlineStr">
        <is>
          <t>intl-es</t>
        </is>
      </c>
      <c r="K783" t="b">
        <v>1</v>
      </c>
      <c r="L783" t="inlineStr">
        <is>
          <t>relevant</t>
        </is>
      </c>
      <c r="M783" t="inlineStr">
        <is>
          <t>relevant</t>
        </is>
      </c>
      <c r="N783" t="inlineStr">
        <is>
          <t>relevant</t>
        </is>
      </c>
      <c r="O783" t="inlineStr">
        <is>
          <t>relevant</t>
        </is>
      </c>
      <c r="P783" t="b">
        <v>1</v>
      </c>
    </row>
    <row r="784">
      <c r="A784" t="inlineStr">
        <is>
          <t>hoja para pluma</t>
        </is>
      </c>
      <c r="B784" t="inlineStr">
        <is>
          <t>pen sheet</t>
        </is>
      </c>
      <c r="C784" t="n">
        <v>1591265829</v>
      </c>
      <c r="D784">
        <f>HYPERLINK("https://www.etsy.com/listing/1591265829", "link")</f>
        <v/>
      </c>
      <c r="E784">
        <f>HYPERLINK("https://atlas.etsycorp.com/listing/1591265829/lookup", "link")</f>
        <v/>
      </c>
      <c r="F784" t="inlineStr">
        <is>
          <t>Pen Sublimation Template, SVG, DXF, Canva, Ms Word Docx, Png, Psd, 8.5x11 size sheet, Printable</t>
        </is>
      </c>
      <c r="G784" t="inlineStr">
        <is>
          <t>EuUT1c-N3wd4tEwRzl1yKSTFi113</t>
        </is>
      </c>
      <c r="H784" t="inlineStr">
        <is>
          <t>web</t>
        </is>
      </c>
      <c r="I784" t="inlineStr">
        <is>
          <t>es</t>
        </is>
      </c>
      <c r="J784" t="inlineStr">
        <is>
          <t>intl-es</t>
        </is>
      </c>
      <c r="K784" t="b">
        <v>1</v>
      </c>
      <c r="L784" t="inlineStr">
        <is>
          <t>partial</t>
        </is>
      </c>
      <c r="M784" t="inlineStr">
        <is>
          <t>not_relevant</t>
        </is>
      </c>
      <c r="N784" t="inlineStr">
        <is>
          <t>partial</t>
        </is>
      </c>
      <c r="O784" t="inlineStr">
        <is>
          <t>partial</t>
        </is>
      </c>
      <c r="P784" t="b">
        <v>1</v>
      </c>
    </row>
    <row r="785">
      <c r="A785" t="inlineStr">
        <is>
          <t>ehlers danlos syndrome pins</t>
        </is>
      </c>
      <c r="B785" t="inlineStr"/>
      <c r="C785" t="n">
        <v>1022133242</v>
      </c>
      <c r="D785">
        <f>HYPERLINK("https://www.etsy.com/listing/1022133242", "link")</f>
        <v/>
      </c>
      <c r="E785">
        <f>HYPERLINK("https://atlas.etsycorp.com/listing/1022133242/lookup", "link")</f>
        <v/>
      </c>
      <c r="F785" t="inlineStr">
        <is>
          <t>Don&amp;#39;t Touch My Wheelchair Button Badge - Chronic Illness Pin - Disability Awareness</t>
        </is>
      </c>
      <c r="G785" t="inlineStr">
        <is>
          <t>EubpA5WIMHl7UbsGSVpYWXfRh176</t>
        </is>
      </c>
      <c r="H785" t="inlineStr">
        <is>
          <t>boe</t>
        </is>
      </c>
      <c r="I785" t="inlineStr">
        <is>
          <t>en-US</t>
        </is>
      </c>
      <c r="J785" t="inlineStr">
        <is>
          <t>us_v2-direct_specified</t>
        </is>
      </c>
      <c r="K785" t="b">
        <v>1</v>
      </c>
      <c r="L785" t="inlineStr">
        <is>
          <t>partial</t>
        </is>
      </c>
      <c r="M785" t="inlineStr">
        <is>
          <t>partial</t>
        </is>
      </c>
      <c r="N785" t="inlineStr">
        <is>
          <t>partial</t>
        </is>
      </c>
      <c r="O785" t="inlineStr">
        <is>
          <t>partial</t>
        </is>
      </c>
      <c r="P785" t="b">
        <v>1</v>
      </c>
    </row>
    <row r="786">
      <c r="A786" t="inlineStr">
        <is>
          <t>wood ring forest</t>
        </is>
      </c>
      <c r="B786" t="inlineStr">
        <is>
          <t>wood ring forest</t>
        </is>
      </c>
      <c r="C786" t="n">
        <v>765438508</v>
      </c>
      <c r="D786">
        <f>HYPERLINK("https://www.etsy.com/listing/765438508", "link")</f>
        <v/>
      </c>
      <c r="E786">
        <f>HYPERLINK("https://atlas.etsycorp.com/listing/765438508/lookup", "link")</f>
        <v/>
      </c>
      <c r="F786" t="inlineStr">
        <is>
          <t>Forest bark ring, Spring wood ring, Moss women ring, Stack moss ring, Moss resin ring, Wood engagement ring, Moss jewelry, Forest gift</t>
        </is>
      </c>
      <c r="G786" t="inlineStr">
        <is>
          <t>Eu4y-vXQU2D6AgIwqUo3Ovel5Odb</t>
        </is>
      </c>
      <c r="H786" t="inlineStr">
        <is>
          <t>web</t>
        </is>
      </c>
      <c r="I786" t="inlineStr">
        <is>
          <t>it</t>
        </is>
      </c>
      <c r="J786" t="inlineStr">
        <is>
          <t>intl-it</t>
        </is>
      </c>
      <c r="K786" t="b">
        <v>1</v>
      </c>
      <c r="L786" t="inlineStr">
        <is>
          <t>relevant</t>
        </is>
      </c>
      <c r="M786" t="inlineStr">
        <is>
          <t>relevant</t>
        </is>
      </c>
      <c r="N786" t="inlineStr">
        <is>
          <t>relevant</t>
        </is>
      </c>
      <c r="O786" t="inlineStr">
        <is>
          <t>relevant</t>
        </is>
      </c>
      <c r="P786" t="b">
        <v>1</v>
      </c>
    </row>
    <row r="787">
      <c r="A787" t="inlineStr">
        <is>
          <t>proposly</t>
        </is>
      </c>
      <c r="B787" t="inlineStr">
        <is>
          <t>proposly</t>
        </is>
      </c>
      <c r="C787" t="n">
        <v>1589745132</v>
      </c>
      <c r="D787">
        <f>HYPERLINK("https://www.etsy.com/listing/1589745132", "link")</f>
        <v/>
      </c>
      <c r="E787">
        <f>HYPERLINK("https://atlas.etsycorp.com/listing/1589745132/lookup", "link")</f>
        <v/>
      </c>
      <c r="F787" t="inlineStr">
        <is>
          <t>Gray Newborn Props for photography, Newborn Knit Blanket, Newborn Knitted Wrap, Newborn Posing Fabric Backdrop, Newborn Boy Photo Props Set,</t>
        </is>
      </c>
      <c r="G787" t="inlineStr">
        <is>
          <t>EuDpuQHHhmTMDaMpNKOjdS0gS39b</t>
        </is>
      </c>
      <c r="H787" t="inlineStr">
        <is>
          <t>boe</t>
        </is>
      </c>
      <c r="I787" t="inlineStr">
        <is>
          <t>es</t>
        </is>
      </c>
      <c r="J787" t="inlineStr">
        <is>
          <t>intl-es</t>
        </is>
      </c>
      <c r="K787" t="b">
        <v>1</v>
      </c>
      <c r="L787" t="inlineStr">
        <is>
          <t>relevant</t>
        </is>
      </c>
      <c r="M787" t="inlineStr">
        <is>
          <t>not_sure</t>
        </is>
      </c>
      <c r="N787" t="inlineStr">
        <is>
          <t>relevant</t>
        </is>
      </c>
      <c r="O787" t="inlineStr">
        <is>
          <t>relevant</t>
        </is>
      </c>
      <c r="P787" t="b">
        <v>1</v>
      </c>
    </row>
    <row r="788">
      <c r="A788" t="inlineStr">
        <is>
          <t>epcot shirt plus size</t>
        </is>
      </c>
      <c r="B788" t="inlineStr"/>
      <c r="C788" t="n">
        <v>1649496177</v>
      </c>
      <c r="D788">
        <f>HYPERLINK("https://www.etsy.com/listing/1649496177", "link")</f>
        <v/>
      </c>
      <c r="E788">
        <f>HYPERLINK("https://atlas.etsycorp.com/listing/1649496177/lookup", "link")</f>
        <v/>
      </c>
      <c r="F788" t="inlineStr">
        <is>
          <t>Disney Epcot Comfort Colors Shirt, Mickey And Friends Shirt, Epcot Center 1982 Shirt, Mickey Epcot Shirt, Epcot Drink Around The World Tour</t>
        </is>
      </c>
      <c r="G788" t="inlineStr">
        <is>
          <t>EuzitWLCpbDxqZ-M4KvJh-tHQO9a</t>
        </is>
      </c>
      <c r="H788" t="inlineStr">
        <is>
          <t>boe</t>
        </is>
      </c>
      <c r="I788" t="inlineStr">
        <is>
          <t>en-US</t>
        </is>
      </c>
      <c r="J788" t="inlineStr">
        <is>
          <t>us_v2-direct_specified</t>
        </is>
      </c>
      <c r="K788" t="b">
        <v>1</v>
      </c>
      <c r="L788" t="inlineStr">
        <is>
          <t>relevant</t>
        </is>
      </c>
      <c r="M788" t="inlineStr">
        <is>
          <t>relevant</t>
        </is>
      </c>
      <c r="N788" t="inlineStr">
        <is>
          <t>relevant</t>
        </is>
      </c>
      <c r="O788" t="inlineStr">
        <is>
          <t>relevant</t>
        </is>
      </c>
      <c r="P788" t="b">
        <v>1</v>
      </c>
    </row>
    <row r="789">
      <c r="A789" t="inlineStr">
        <is>
          <t>cannonball run poster</t>
        </is>
      </c>
      <c r="B789" t="inlineStr"/>
      <c r="C789" t="n">
        <v>1246370003</v>
      </c>
      <c r="D789">
        <f>HYPERLINK("https://www.etsy.com/listing/1246370003", "link")</f>
        <v/>
      </c>
      <c r="E789">
        <f>HYPERLINK("https://atlas.etsycorp.com/listing/1246370003/lookup", "link")</f>
        <v/>
      </c>
      <c r="F789" t="inlineStr">
        <is>
          <t>1981 Syroco Wall Hanger</t>
        </is>
      </c>
      <c r="G789" t="inlineStr">
        <is>
          <t>EuC9e9KNTHcPnj_tbuN65Wn1pw01</t>
        </is>
      </c>
      <c r="H789" t="inlineStr">
        <is>
          <t>boe</t>
        </is>
      </c>
      <c r="I789" t="inlineStr">
        <is>
          <t>en-US</t>
        </is>
      </c>
      <c r="J789" t="inlineStr">
        <is>
          <t>us_v2-direct_specified</t>
        </is>
      </c>
      <c r="K789" t="b">
        <v>1</v>
      </c>
      <c r="L789" t="inlineStr">
        <is>
          <t>not_relevant</t>
        </is>
      </c>
      <c r="M789" t="inlineStr">
        <is>
          <t>not_relevant</t>
        </is>
      </c>
      <c r="N789" t="inlineStr">
        <is>
          <t>not_relevant</t>
        </is>
      </c>
      <c r="O789" t="inlineStr">
        <is>
          <t>not_relevant</t>
        </is>
      </c>
      <c r="P789" t="b">
        <v>1</v>
      </c>
    </row>
    <row r="790">
      <c r="A790" t="inlineStr">
        <is>
          <t>lakers vintage practice jersey</t>
        </is>
      </c>
      <c r="B790" t="inlineStr"/>
      <c r="C790" t="n">
        <v>1658147652</v>
      </c>
      <c r="D790">
        <f>HYPERLINK("https://www.etsy.com/listing/1658147652", "link")</f>
        <v/>
      </c>
      <c r="E790">
        <f>HYPERLINK("https://atlas.etsycorp.com/listing/1658147652/lookup", "link")</f>
        <v/>
      </c>
      <c r="F790" t="inlineStr">
        <is>
          <t>Kobe Bryant LA Lakers Jersey Men&amp;#39;s Size (S/M/L) Brand New</t>
        </is>
      </c>
      <c r="G790" t="inlineStr">
        <is>
          <t>Eu8nmedxVDDP1tFELAde44T_etab</t>
        </is>
      </c>
      <c r="H790" t="inlineStr">
        <is>
          <t>web</t>
        </is>
      </c>
      <c r="I790" t="inlineStr">
        <is>
          <t>en-US</t>
        </is>
      </c>
      <c r="J790" t="inlineStr">
        <is>
          <t>us_v2-direct_specified</t>
        </is>
      </c>
      <c r="K790" t="b">
        <v>1</v>
      </c>
      <c r="L790" t="inlineStr">
        <is>
          <t>relevant</t>
        </is>
      </c>
      <c r="M790" t="inlineStr">
        <is>
          <t>partial</t>
        </is>
      </c>
      <c r="N790" t="inlineStr">
        <is>
          <t>relevant</t>
        </is>
      </c>
      <c r="O790" t="inlineStr">
        <is>
          <t>relevant</t>
        </is>
      </c>
      <c r="P790" t="b">
        <v>1</v>
      </c>
    </row>
    <row r="791">
      <c r="A791" t="inlineStr">
        <is>
          <t>pantalon linl</t>
        </is>
      </c>
      <c r="B791" t="inlineStr">
        <is>
          <t>Linl pants</t>
        </is>
      </c>
      <c r="C791" t="n">
        <v>1266204648</v>
      </c>
      <c r="D791">
        <f>HYPERLINK("https://www.etsy.com/listing/1266204648", "link")</f>
        <v/>
      </c>
      <c r="E791">
        <f>HYPERLINK("https://atlas.etsycorp.com/listing/1266204648/lookup", "link")</f>
        <v/>
      </c>
      <c r="F791" t="inlineStr">
        <is>
          <t>White floral pareo pants, wrap pants, Brazilian zouk pants, side slit trousers, yoga pants, Thai pants</t>
        </is>
      </c>
      <c r="G791" t="inlineStr">
        <is>
          <t>Euk1aWrNEHww5SYnNY2n5ayHS1c6</t>
        </is>
      </c>
      <c r="H791" t="inlineStr">
        <is>
          <t>boe</t>
        </is>
      </c>
      <c r="I791" t="inlineStr">
        <is>
          <t>es</t>
        </is>
      </c>
      <c r="J791" t="inlineStr">
        <is>
          <t>intl-es</t>
        </is>
      </c>
      <c r="K791" t="b">
        <v>1</v>
      </c>
      <c r="L791" t="inlineStr">
        <is>
          <t>partial</t>
        </is>
      </c>
      <c r="M791" t="inlineStr">
        <is>
          <t>partial</t>
        </is>
      </c>
      <c r="N791" t="inlineStr">
        <is>
          <t>relevant</t>
        </is>
      </c>
      <c r="O791" t="inlineStr">
        <is>
          <t>partial</t>
        </is>
      </c>
      <c r="P791" t="b">
        <v>1</v>
      </c>
    </row>
    <row r="792">
      <c r="A792" t="inlineStr">
        <is>
          <t>magic</t>
        </is>
      </c>
      <c r="B792" t="inlineStr">
        <is>
          <t>magic</t>
        </is>
      </c>
      <c r="C792" t="n">
        <v>1399002949</v>
      </c>
      <c r="D792">
        <f>HYPERLINK("https://www.etsy.com/listing/1399002949", "link")</f>
        <v/>
      </c>
      <c r="E792">
        <f>HYPERLINK("https://atlas.etsycorp.com/listing/1399002949/lookup", "link")</f>
        <v/>
      </c>
      <c r="F792" t="inlineStr">
        <is>
          <t>Essential spell kits • easy to do spells • DIY spell • real witches spell • spells for beginners • easy spell • fast powerful spells • witch</t>
        </is>
      </c>
      <c r="G792" t="inlineStr">
        <is>
          <t>EuhvkN94sx_VuSUKMWiqO3geGQbf</t>
        </is>
      </c>
      <c r="H792" t="inlineStr">
        <is>
          <t>boe</t>
        </is>
      </c>
      <c r="I792" t="inlineStr">
        <is>
          <t>nl</t>
        </is>
      </c>
      <c r="J792" t="inlineStr">
        <is>
          <t>intl-nl</t>
        </is>
      </c>
      <c r="K792" t="b">
        <v>1</v>
      </c>
      <c r="L792" t="inlineStr">
        <is>
          <t>not_relevant</t>
        </is>
      </c>
      <c r="M792" t="inlineStr">
        <is>
          <t>not_relevant</t>
        </is>
      </c>
      <c r="N792" t="inlineStr">
        <is>
          <t>not_relevant</t>
        </is>
      </c>
      <c r="O792" t="inlineStr">
        <is>
          <t>not_relevant</t>
        </is>
      </c>
      <c r="P792" t="b">
        <v>1</v>
      </c>
    </row>
    <row r="793">
      <c r="A793" t="inlineStr">
        <is>
          <t>SCRAP BOOK PAPER PACKS</t>
        </is>
      </c>
      <c r="B793" t="inlineStr"/>
      <c r="C793" t="n">
        <v>1192183825</v>
      </c>
      <c r="D793">
        <f>HYPERLINK("https://www.etsy.com/listing/1192183825", "link")</f>
        <v/>
      </c>
      <c r="E793">
        <f>HYPERLINK("https://atlas.etsycorp.com/listing/1192183825/lookup", "link")</f>
        <v/>
      </c>
      <c r="F793" t="inlineStr">
        <is>
          <t>Retro Scrapbooking Paper Set, Vintage Style Decorative Paper, Junk Journals, Ephemera Supplies, Collage Paper, DIY Material Paper</t>
        </is>
      </c>
      <c r="G793" t="inlineStr">
        <is>
          <t>EuJLC8Ynfm8p4VonYBgevxhfVi7d</t>
        </is>
      </c>
      <c r="H793" t="inlineStr">
        <is>
          <t>web</t>
        </is>
      </c>
      <c r="I793" t="inlineStr">
        <is>
          <t>en-US</t>
        </is>
      </c>
      <c r="J793" t="inlineStr">
        <is>
          <t>us_v2-direct_specified</t>
        </is>
      </c>
      <c r="K793" t="b">
        <v>1</v>
      </c>
      <c r="L793" t="inlineStr">
        <is>
          <t>partial</t>
        </is>
      </c>
      <c r="M793" t="inlineStr">
        <is>
          <t>partial</t>
        </is>
      </c>
      <c r="N793" t="inlineStr">
        <is>
          <t>relevant</t>
        </is>
      </c>
      <c r="O793" t="inlineStr">
        <is>
          <t>partial</t>
        </is>
      </c>
      <c r="P793" t="b">
        <v>1</v>
      </c>
    </row>
    <row r="794">
      <c r="A794" t="inlineStr">
        <is>
          <t>Find shirts</t>
        </is>
      </c>
      <c r="B794" t="inlineStr">
        <is>
          <t>Find shirts</t>
        </is>
      </c>
      <c r="C794" t="n">
        <v>1743924759</v>
      </c>
      <c r="D794">
        <f>HYPERLINK("https://www.etsy.com/listing/1743924759", "link")</f>
        <v/>
      </c>
      <c r="E794">
        <f>HYPERLINK("https://atlas.etsycorp.com/listing/1743924759/lookup", "link")</f>
        <v/>
      </c>
      <c r="F794" t="inlineStr">
        <is>
          <t>Find Purpose Compass Graphic T-shirt, Motivational tee, Inspirational Shirt, Land Navigation, Nautical, Vintage Distressed Graphic Tshirt</t>
        </is>
      </c>
      <c r="G794" t="inlineStr">
        <is>
          <t>Eu7wCLqqIuyxv4tKtoUZxrmFzOf2</t>
        </is>
      </c>
      <c r="H794" t="inlineStr">
        <is>
          <t>web</t>
        </is>
      </c>
      <c r="I794" t="inlineStr">
        <is>
          <t>es</t>
        </is>
      </c>
      <c r="J794" t="inlineStr">
        <is>
          <t>intl-es</t>
        </is>
      </c>
      <c r="K794" t="b">
        <v>1</v>
      </c>
      <c r="L794" t="inlineStr">
        <is>
          <t>relevant</t>
        </is>
      </c>
      <c r="M794" t="inlineStr">
        <is>
          <t>relevant</t>
        </is>
      </c>
      <c r="N794" t="inlineStr">
        <is>
          <t>relevant</t>
        </is>
      </c>
      <c r="O794" t="inlineStr">
        <is>
          <t>relevant</t>
        </is>
      </c>
      <c r="P794" t="b">
        <v>1</v>
      </c>
    </row>
    <row r="795">
      <c r="A795" t="inlineStr">
        <is>
          <t>monedas de fantasia</t>
        </is>
      </c>
      <c r="B795" t="inlineStr">
        <is>
          <t>fantasy coins</t>
        </is>
      </c>
      <c r="C795" t="n">
        <v>1545891955</v>
      </c>
      <c r="D795">
        <f>HYPERLINK("https://www.etsy.com/listing/1545891955", "link")</f>
        <v/>
      </c>
      <c r="E795">
        <f>HYPERLINK("https://atlas.etsycorp.com/listing/1545891955/lookup", "link")</f>
        <v/>
      </c>
      <c r="F795" t="inlineStr">
        <is>
          <t>Faceted Natural Green Serpentine Jade Coin Beads 6mm 8mm 10mm 15.5&amp;quot; Strand</t>
        </is>
      </c>
      <c r="G795" t="inlineStr">
        <is>
          <t>EuYMO9aILfGgDleJPStQ3pab3x1b</t>
        </is>
      </c>
      <c r="H795" t="inlineStr">
        <is>
          <t>web</t>
        </is>
      </c>
      <c r="I795" t="inlineStr">
        <is>
          <t>es</t>
        </is>
      </c>
      <c r="J795" t="inlineStr">
        <is>
          <t>intl-es</t>
        </is>
      </c>
      <c r="K795" t="b">
        <v>1</v>
      </c>
      <c r="L795" t="inlineStr">
        <is>
          <t>not_relevant</t>
        </is>
      </c>
      <c r="M795" t="inlineStr">
        <is>
          <t>not_relevant</t>
        </is>
      </c>
      <c r="N795" t="inlineStr">
        <is>
          <t>partial</t>
        </is>
      </c>
      <c r="O795" t="inlineStr">
        <is>
          <t>not_relevant</t>
        </is>
      </c>
      <c r="P795" t="b">
        <v>1</v>
      </c>
    </row>
    <row r="796">
      <c r="A796" t="inlineStr">
        <is>
          <t>nudit</t>
        </is>
      </c>
      <c r="B796" t="inlineStr">
        <is>
          <t>nudit</t>
        </is>
      </c>
      <c r="C796" t="n">
        <v>1745703682</v>
      </c>
      <c r="D796">
        <f>HYPERLINK("https://www.etsy.com/listing/1745703682", "link")</f>
        <v/>
      </c>
      <c r="E796">
        <f>HYPERLINK("https://atlas.etsycorp.com/listing/1745703682/lookup", "link")</f>
        <v/>
      </c>
      <c r="F796" t="inlineStr">
        <is>
          <t>FKK Jung und Frei - Scanned magazines. 11 issues, available for download only. 739 pages (No paper, No physical copies).</t>
        </is>
      </c>
      <c r="G796" t="inlineStr">
        <is>
          <t>Eu8iqBM5o0CSx59BStDDleD6uD07</t>
        </is>
      </c>
      <c r="H796" t="inlineStr">
        <is>
          <t>boe</t>
        </is>
      </c>
      <c r="I796" t="inlineStr">
        <is>
          <t>es</t>
        </is>
      </c>
      <c r="J796" t="inlineStr">
        <is>
          <t>intl-es</t>
        </is>
      </c>
      <c r="K796" t="b">
        <v>1</v>
      </c>
      <c r="L796" t="inlineStr">
        <is>
          <t>not_relevant</t>
        </is>
      </c>
      <c r="M796" t="inlineStr">
        <is>
          <t>not_relevant</t>
        </is>
      </c>
      <c r="N796" t="inlineStr">
        <is>
          <t>not_relevant</t>
        </is>
      </c>
      <c r="O796" t="inlineStr">
        <is>
          <t>not_relevant</t>
        </is>
      </c>
      <c r="P796" t="b">
        <v>1</v>
      </c>
    </row>
    <row r="797">
      <c r="A797" t="inlineStr">
        <is>
          <t>foxy hoodie</t>
        </is>
      </c>
      <c r="B797" t="inlineStr"/>
      <c r="C797" t="n">
        <v>1568759421</v>
      </c>
      <c r="D797">
        <f>HYPERLINK("https://www.etsy.com/listing/1568759421", "link")</f>
        <v/>
      </c>
      <c r="E797">
        <f>HYPERLINK("https://atlas.etsycorp.com/listing/1568759421/lookup", "link")</f>
        <v/>
      </c>
      <c r="F797" t="inlineStr">
        <is>
          <t>Sigma Sigma Sigma Smiley Face Sorority Sweatshirt | Tri Sigma Sorority Apparel | Custom Sorority Hoodie</t>
        </is>
      </c>
      <c r="G797" t="inlineStr">
        <is>
          <t>EudssBKKAry5fRDOms7esXNlQ170</t>
        </is>
      </c>
      <c r="H797" t="inlineStr">
        <is>
          <t>web</t>
        </is>
      </c>
      <c r="I797" t="inlineStr">
        <is>
          <t>en-US</t>
        </is>
      </c>
      <c r="J797" t="inlineStr">
        <is>
          <t>us_v2-direct_specified</t>
        </is>
      </c>
      <c r="K797" t="b">
        <v>1</v>
      </c>
      <c r="L797" t="inlineStr">
        <is>
          <t>partial</t>
        </is>
      </c>
      <c r="M797" t="inlineStr">
        <is>
          <t>partial</t>
        </is>
      </c>
      <c r="N797" t="inlineStr">
        <is>
          <t>partial</t>
        </is>
      </c>
      <c r="O797" t="inlineStr">
        <is>
          <t>partial</t>
        </is>
      </c>
      <c r="P797" t="b">
        <v>1</v>
      </c>
    </row>
    <row r="798">
      <c r="A798" t="inlineStr">
        <is>
          <t>malliot foot espagne</t>
        </is>
      </c>
      <c r="B798" t="inlineStr">
        <is>
          <t>malliot football spain</t>
        </is>
      </c>
      <c r="C798" t="n">
        <v>1678508796</v>
      </c>
      <c r="D798">
        <f>HYPERLINK("https://www.etsy.com/listing/1678508796", "link")</f>
        <v/>
      </c>
      <c r="E798">
        <f>HYPERLINK("https://atlas.etsycorp.com/listing/1678508796/lookup", "link")</f>
        <v/>
      </c>
      <c r="F798" t="inlineStr">
        <is>
          <t>Pósters de Lamine Yamal FCBarcelona, fútbol fan, Pósters, Cartel de fútbol, Regalo del padre, Regalo hijo adolescente, Barça.</t>
        </is>
      </c>
      <c r="G798" t="inlineStr">
        <is>
          <t>EulDQfhwO7kTD1oV-Y6DIqMfJe86</t>
        </is>
      </c>
      <c r="H798" t="inlineStr">
        <is>
          <t>web</t>
        </is>
      </c>
      <c r="I798" t="inlineStr">
        <is>
          <t>fr</t>
        </is>
      </c>
      <c r="J798" t="inlineStr">
        <is>
          <t>intl-fr</t>
        </is>
      </c>
      <c r="K798" t="b">
        <v>1</v>
      </c>
      <c r="L798" t="inlineStr">
        <is>
          <t>not_relevant</t>
        </is>
      </c>
      <c r="M798" t="inlineStr">
        <is>
          <t>not_relevant</t>
        </is>
      </c>
      <c r="N798" t="inlineStr">
        <is>
          <t>not_relevant</t>
        </is>
      </c>
      <c r="O798" t="inlineStr">
        <is>
          <t>not_relevant</t>
        </is>
      </c>
      <c r="P798" t="b">
        <v>1</v>
      </c>
    </row>
    <row r="799">
      <c r="A799" t="inlineStr">
        <is>
          <t>bracelet personnalisé femme</t>
        </is>
      </c>
      <c r="B799" t="inlineStr">
        <is>
          <t>personalized bracelet for women</t>
        </is>
      </c>
      <c r="C799" t="n">
        <v>1686830500</v>
      </c>
      <c r="D799">
        <f>HYPERLINK("https://www.etsy.com/listing/1686830500", "link")</f>
        <v/>
      </c>
      <c r="E799">
        <f>HYPERLINK("https://atlas.etsycorp.com/listing/1686830500/lookup", "link")</f>
        <v/>
      </c>
      <c r="F799" t="inlineStr">
        <is>
          <t>Personalized liberty fabric bracelet, personalized gift, first name bracelet, child jewelry, nanny gift, birth gift</t>
        </is>
      </c>
      <c r="G799" t="inlineStr">
        <is>
          <t>EuCbt8rvfhJ07YGo8eoa_dgBD96f</t>
        </is>
      </c>
      <c r="H799" t="inlineStr">
        <is>
          <t>web</t>
        </is>
      </c>
      <c r="I799" t="inlineStr">
        <is>
          <t>fr</t>
        </is>
      </c>
      <c r="J799" t="inlineStr">
        <is>
          <t>intl-fr</t>
        </is>
      </c>
      <c r="K799" t="b">
        <v>1</v>
      </c>
      <c r="L799" t="inlineStr">
        <is>
          <t>relevant</t>
        </is>
      </c>
      <c r="M799" t="inlineStr">
        <is>
          <t>relevant</t>
        </is>
      </c>
      <c r="N799" t="inlineStr">
        <is>
          <t>relevant</t>
        </is>
      </c>
      <c r="O799" t="inlineStr">
        <is>
          <t>relevant</t>
        </is>
      </c>
      <c r="P799" t="b">
        <v>1</v>
      </c>
    </row>
    <row r="800">
      <c r="A800" t="inlineStr">
        <is>
          <t>patterns sewing vogue</t>
        </is>
      </c>
      <c r="B800" t="inlineStr"/>
      <c r="C800" t="n">
        <v>587308183</v>
      </c>
      <c r="D800">
        <f>HYPERLINK("https://www.etsy.com/listing/587308183", "link")</f>
        <v/>
      </c>
      <c r="E800">
        <f>HYPERLINK("https://atlas.etsycorp.com/listing/587308183/lookup", "link")</f>
        <v/>
      </c>
      <c r="F800" t="inlineStr">
        <is>
          <t>22&amp;quot; Vogue 7519 Pattern TURBAN Hat Designer Halston Ledger</t>
        </is>
      </c>
      <c r="G800" t="inlineStr">
        <is>
          <t>Eu4IHHsx-R7YIHCtCGiDDn5vKk23</t>
        </is>
      </c>
      <c r="H800" t="inlineStr">
        <is>
          <t>boe</t>
        </is>
      </c>
      <c r="I800" t="inlineStr">
        <is>
          <t>en-GB</t>
        </is>
      </c>
      <c r="J800" t="inlineStr">
        <is>
          <t>us_v2-direct_specified</t>
        </is>
      </c>
      <c r="K800" t="b">
        <v>1</v>
      </c>
      <c r="L800" t="inlineStr">
        <is>
          <t>not_relevant</t>
        </is>
      </c>
      <c r="M800" t="inlineStr">
        <is>
          <t>partial</t>
        </is>
      </c>
      <c r="N800" t="inlineStr">
        <is>
          <t>not_relevant</t>
        </is>
      </c>
      <c r="O800" t="inlineStr">
        <is>
          <t>not_relevant</t>
        </is>
      </c>
      <c r="P800" t="b">
        <v>1</v>
      </c>
    </row>
    <row r="801">
      <c r="A801" t="inlineStr">
        <is>
          <t>geburtstag müllabfuhr</t>
        </is>
      </c>
      <c r="B801" t="inlineStr">
        <is>
          <t>birthday garbage collection</t>
        </is>
      </c>
      <c r="C801" t="n">
        <v>676457462</v>
      </c>
      <c r="D801">
        <f>HYPERLINK("https://www.etsy.com/listing/676457462", "link")</f>
        <v/>
      </c>
      <c r="E801">
        <f>HYPERLINK("https://atlas.etsycorp.com/listing/676457462/lookup", "link")</f>
        <v/>
      </c>
      <c r="F801" t="inlineStr">
        <is>
          <t>Garbage Truck Birthday Invitation/ Waste Management Birthday Invitation/ Garbage Truck Party Invite EDITABLE Printable</t>
        </is>
      </c>
      <c r="G801" t="inlineStr">
        <is>
          <t>EuZiPBwSJVmDKcICfnNMLPvfte14</t>
        </is>
      </c>
      <c r="H801" t="inlineStr">
        <is>
          <t>web</t>
        </is>
      </c>
      <c r="I801" t="inlineStr">
        <is>
          <t>de</t>
        </is>
      </c>
      <c r="J801" t="inlineStr">
        <is>
          <t>intl-de</t>
        </is>
      </c>
      <c r="K801" t="b">
        <v>1</v>
      </c>
      <c r="L801" t="inlineStr">
        <is>
          <t>relevant</t>
        </is>
      </c>
      <c r="M801" t="inlineStr">
        <is>
          <t>relevant</t>
        </is>
      </c>
      <c r="N801" t="inlineStr">
        <is>
          <t>relevant</t>
        </is>
      </c>
      <c r="O801" t="inlineStr">
        <is>
          <t>relevant</t>
        </is>
      </c>
      <c r="P801" t="b">
        <v>1</v>
      </c>
    </row>
    <row r="802">
      <c r="A802" t="inlineStr">
        <is>
          <t>provincial ceramic mold girl</t>
        </is>
      </c>
      <c r="B802" t="inlineStr"/>
      <c r="C802" t="n">
        <v>1135328862</v>
      </c>
      <c r="D802">
        <f>HYPERLINK("https://www.etsy.com/listing/1135328862", "link")</f>
        <v/>
      </c>
      <c r="E802">
        <f>HYPERLINK("https://atlas.etsycorp.com/listing/1135328862/lookup", "link")</f>
        <v/>
      </c>
      <c r="F802" t="inlineStr">
        <is>
          <t>9-5/8&amp;quot; - Ramen/Salad/Serving Bowl Mold - Plaster Drape Mold for Pottery, Ceramics, Made-to-Order</t>
        </is>
      </c>
      <c r="G802" t="inlineStr">
        <is>
          <t>Eu8KVaCtW7hVDWJ1wuhcrJ0oy37f</t>
        </is>
      </c>
      <c r="H802" t="inlineStr">
        <is>
          <t>boe</t>
        </is>
      </c>
      <c r="I802" t="inlineStr">
        <is>
          <t>en-US</t>
        </is>
      </c>
      <c r="J802" t="inlineStr">
        <is>
          <t>us_v2-direct_specified</t>
        </is>
      </c>
      <c r="K802" t="b">
        <v>1</v>
      </c>
      <c r="L802" t="inlineStr">
        <is>
          <t>partial</t>
        </is>
      </c>
      <c r="M802" t="inlineStr">
        <is>
          <t>partial</t>
        </is>
      </c>
      <c r="N802" t="inlineStr">
        <is>
          <t>partial</t>
        </is>
      </c>
      <c r="O802" t="inlineStr">
        <is>
          <t>partial</t>
        </is>
      </c>
      <c r="P802" t="b">
        <v>1</v>
      </c>
    </row>
    <row r="803">
      <c r="A803" t="inlineStr">
        <is>
          <t>iinside my head</t>
        </is>
      </c>
      <c r="B803" t="inlineStr">
        <is>
          <t>inside my head</t>
        </is>
      </c>
      <c r="C803" t="n">
        <v>1727461441</v>
      </c>
      <c r="D803">
        <f>HYPERLINK("https://www.etsy.com/listing/1727461441", "link")</f>
        <v/>
      </c>
      <c r="E803">
        <f>HYPERLINK("https://atlas.etsycorp.com/listing/1727461441/lookup", "link")</f>
        <v/>
      </c>
      <c r="F803" t="inlineStr">
        <is>
          <t>Button Badge for Personal Space, Accessible Pin, Anti-Touch Reminder, Social Distancing Tool, Communication Aid, 32mm/58mm</t>
        </is>
      </c>
      <c r="G803" t="inlineStr">
        <is>
          <t>EuEmlWnoeSwsd7mZoIEpTtB08_d4</t>
        </is>
      </c>
      <c r="H803" t="inlineStr">
        <is>
          <t>web</t>
        </is>
      </c>
      <c r="I803" t="inlineStr">
        <is>
          <t>nl</t>
        </is>
      </c>
      <c r="J803" t="inlineStr">
        <is>
          <t>intl-nl</t>
        </is>
      </c>
      <c r="K803" t="b">
        <v>1</v>
      </c>
      <c r="L803" t="inlineStr">
        <is>
          <t>not_relevant</t>
        </is>
      </c>
      <c r="M803" t="inlineStr">
        <is>
          <t>not_relevant</t>
        </is>
      </c>
      <c r="N803" t="inlineStr">
        <is>
          <t>not_relevant</t>
        </is>
      </c>
      <c r="O803" t="inlineStr">
        <is>
          <t>not_relevant</t>
        </is>
      </c>
      <c r="P803" t="b">
        <v>1</v>
      </c>
    </row>
    <row r="804">
      <c r="A804" t="inlineStr">
        <is>
          <t>pendurar puxador</t>
        </is>
      </c>
      <c r="B804" t="inlineStr">
        <is>
          <t>hang handle</t>
        </is>
      </c>
      <c r="C804" t="n">
        <v>1606925579</v>
      </c>
      <c r="D804">
        <f>HYPERLINK("https://www.etsy.com/listing/1606925579", "link")</f>
        <v/>
      </c>
      <c r="E804">
        <f>HYPERLINK("https://atlas.etsycorp.com/listing/1606925579/lookup", "link")</f>
        <v/>
      </c>
      <c r="F804" t="inlineStr">
        <is>
          <t>Christmas 3D Puffy 40oz Quencher Tumbler Template Christmas 3D Inflated Tumblerful Wrap Sublimation Design</t>
        </is>
      </c>
      <c r="G804" t="inlineStr">
        <is>
          <t>EuErvFNHbrqIRnJ0kuJMDvPWhH72</t>
        </is>
      </c>
      <c r="H804" t="inlineStr">
        <is>
          <t>boe</t>
        </is>
      </c>
      <c r="I804" t="inlineStr">
        <is>
          <t>pt</t>
        </is>
      </c>
      <c r="J804" t="inlineStr">
        <is>
          <t>intl-pt</t>
        </is>
      </c>
      <c r="K804" t="b">
        <v>1</v>
      </c>
      <c r="L804" t="inlineStr">
        <is>
          <t>not_relevant</t>
        </is>
      </c>
      <c r="M804" t="inlineStr">
        <is>
          <t>not_relevant</t>
        </is>
      </c>
      <c r="N804" t="inlineStr">
        <is>
          <t>not_relevant</t>
        </is>
      </c>
      <c r="O804" t="inlineStr">
        <is>
          <t>not_relevant</t>
        </is>
      </c>
      <c r="P804" t="b">
        <v>1</v>
      </c>
    </row>
    <row r="805">
      <c r="A805" t="inlineStr">
        <is>
          <t>sooth todes</t>
        </is>
      </c>
      <c r="B805" t="inlineStr"/>
      <c r="C805" t="n">
        <v>692024961</v>
      </c>
      <c r="D805">
        <f>HYPERLINK("https://www.etsy.com/listing/692024961", "link")</f>
        <v/>
      </c>
      <c r="E805">
        <f>HYPERLINK("https://atlas.etsycorp.com/listing/692024961/lookup", "link")</f>
        <v/>
      </c>
      <c r="F805" t="inlineStr">
        <is>
          <t>Gloom Noise Attack Devastating Tokyo City Shirt</t>
        </is>
      </c>
      <c r="G805" t="inlineStr">
        <is>
          <t>EudLCpktCMksXE06h0fo7HytzI53</t>
        </is>
      </c>
      <c r="H805" t="inlineStr">
        <is>
          <t>web</t>
        </is>
      </c>
      <c r="I805" t="inlineStr">
        <is>
          <t>en-US</t>
        </is>
      </c>
      <c r="J805" t="inlineStr">
        <is>
          <t>us_v2-broad</t>
        </is>
      </c>
      <c r="K805" t="b">
        <v>1</v>
      </c>
      <c r="L805" t="inlineStr">
        <is>
          <t>not_relevant</t>
        </is>
      </c>
      <c r="M805" t="inlineStr">
        <is>
          <t>not_relevant</t>
        </is>
      </c>
      <c r="N805" t="inlineStr">
        <is>
          <t>not_relevant</t>
        </is>
      </c>
      <c r="O805" t="inlineStr">
        <is>
          <t>not_relevant</t>
        </is>
      </c>
      <c r="P805" t="b">
        <v>1</v>
      </c>
    </row>
    <row r="806">
      <c r="A806" t="inlineStr">
        <is>
          <t>gifts for women</t>
        </is>
      </c>
      <c r="B806" t="inlineStr">
        <is>
          <t>gifts for women</t>
        </is>
      </c>
      <c r="C806" t="n">
        <v>1322651680</v>
      </c>
      <c r="D806">
        <f>HYPERLINK("https://www.etsy.com/listing/1322651680", "link")</f>
        <v/>
      </c>
      <c r="E806">
        <f>HYPERLINK("https://atlas.etsycorp.com/listing/1322651680/lookup", "link")</f>
        <v/>
      </c>
      <c r="F806" t="inlineStr">
        <is>
          <t>Customizable scratch-off messages kit - 50 things I wanted to tell you</t>
        </is>
      </c>
      <c r="G806" t="inlineStr">
        <is>
          <t>Eu_btmtZ_H__zzgEo04aBkt1m1c3</t>
        </is>
      </c>
      <c r="H806" t="inlineStr">
        <is>
          <t>boe</t>
        </is>
      </c>
      <c r="I806" t="inlineStr">
        <is>
          <t>fr</t>
        </is>
      </c>
      <c r="J806" t="inlineStr">
        <is>
          <t>intl-fr</t>
        </is>
      </c>
      <c r="K806" t="b">
        <v>1</v>
      </c>
      <c r="L806" t="inlineStr">
        <is>
          <t>not_relevant</t>
        </is>
      </c>
      <c r="M806" t="inlineStr">
        <is>
          <t>not_relevant</t>
        </is>
      </c>
      <c r="N806" t="inlineStr">
        <is>
          <t>not_relevant</t>
        </is>
      </c>
      <c r="O806" t="inlineStr">
        <is>
          <t>partial</t>
        </is>
      </c>
      <c r="P806" t="b">
        <v>1</v>
      </c>
    </row>
    <row r="807">
      <c r="A807" t="inlineStr">
        <is>
          <t>leatherbound dantes inferno</t>
        </is>
      </c>
      <c r="B807" t="inlineStr"/>
      <c r="C807" t="n">
        <v>1006266239</v>
      </c>
      <c r="D807">
        <f>HYPERLINK("https://www.etsy.com/listing/1006266239", "link")</f>
        <v/>
      </c>
      <c r="E807">
        <f>HYPERLINK("https://atlas.etsycorp.com/listing/1006266239/lookup", "link")</f>
        <v/>
      </c>
      <c r="F807" t="inlineStr">
        <is>
          <t>Original DALI SIGNED 1960 Divine Comedy Woodcut &amp;quot;Grotesque&amp;#39; Devil&amp;quot; Custom Framed COA</t>
        </is>
      </c>
      <c r="G807" t="inlineStr">
        <is>
          <t>EuEmaPAmz0CMX9_B2kP8f9aa5zb9</t>
        </is>
      </c>
      <c r="H807" t="inlineStr">
        <is>
          <t>web</t>
        </is>
      </c>
      <c r="I807" t="inlineStr">
        <is>
          <t>en-US</t>
        </is>
      </c>
      <c r="J807" t="inlineStr">
        <is>
          <t>us_v2-broad</t>
        </is>
      </c>
      <c r="K807" t="b">
        <v>1</v>
      </c>
      <c r="L807" t="inlineStr">
        <is>
          <t>not_relevant</t>
        </is>
      </c>
      <c r="M807" t="inlineStr">
        <is>
          <t>not_relevant</t>
        </is>
      </c>
      <c r="N807" t="inlineStr">
        <is>
          <t>not_relevant</t>
        </is>
      </c>
      <c r="O807" t="inlineStr">
        <is>
          <t>not_relevant</t>
        </is>
      </c>
      <c r="P807" t="b">
        <v>1</v>
      </c>
    </row>
    <row r="808">
      <c r="A808" t="inlineStr">
        <is>
          <t>Jordan idol</t>
        </is>
      </c>
      <c r="B808" t="inlineStr">
        <is>
          <t>Jordan idol</t>
        </is>
      </c>
      <c r="C808" t="n">
        <v>1516103600</v>
      </c>
      <c r="D808">
        <f>HYPERLINK("https://www.etsy.com/listing/1516103600", "link")</f>
        <v/>
      </c>
      <c r="E808">
        <f>HYPERLINK("https://atlas.etsycorp.com/listing/1516103600/lookup", "link")</f>
        <v/>
      </c>
      <c r="F808" t="inlineStr">
        <is>
          <t>Billy Idol autographed card with COA</t>
        </is>
      </c>
      <c r="G808" t="inlineStr">
        <is>
          <t>EuEJV8aqEiJmKse3qVyncB00aLd9</t>
        </is>
      </c>
      <c r="H808" t="inlineStr">
        <is>
          <t>boe</t>
        </is>
      </c>
      <c r="I808" t="inlineStr">
        <is>
          <t>it</t>
        </is>
      </c>
      <c r="J808" t="inlineStr">
        <is>
          <t>intl-it</t>
        </is>
      </c>
      <c r="K808" t="b">
        <v>1</v>
      </c>
      <c r="L808" t="inlineStr">
        <is>
          <t>not_relevant</t>
        </is>
      </c>
      <c r="M808" t="inlineStr">
        <is>
          <t>not_relevant</t>
        </is>
      </c>
      <c r="N808" t="inlineStr">
        <is>
          <t>not_relevant</t>
        </is>
      </c>
      <c r="O808" t="inlineStr">
        <is>
          <t>not_relevant</t>
        </is>
      </c>
      <c r="P808" t="b">
        <v>1</v>
      </c>
    </row>
    <row r="809">
      <c r="A809" t="inlineStr">
        <is>
          <t>outdoor hosting</t>
        </is>
      </c>
      <c r="B809" t="inlineStr">
        <is>
          <t>outdoorhosting</t>
        </is>
      </c>
      <c r="C809" t="n">
        <v>1133669683</v>
      </c>
      <c r="D809">
        <f>HYPERLINK("https://www.etsy.com/listing/1133669683", "link")</f>
        <v/>
      </c>
      <c r="E809">
        <f>HYPERLINK("https://atlas.etsycorp.com/listing/1133669683/lookup", "link")</f>
        <v/>
      </c>
      <c r="F809" t="inlineStr">
        <is>
          <t>Personalized sandbox shovel, shovel with name, 3DKidsDesigns</t>
        </is>
      </c>
      <c r="G809" t="inlineStr">
        <is>
          <t>Eu1WpEEhzfkICNsf0vk87QEA0sd2</t>
        </is>
      </c>
      <c r="H809" t="inlineStr">
        <is>
          <t>web</t>
        </is>
      </c>
      <c r="I809" t="inlineStr">
        <is>
          <t>de</t>
        </is>
      </c>
      <c r="J809" t="inlineStr">
        <is>
          <t>intl-de</t>
        </is>
      </c>
      <c r="K809" t="b">
        <v>1</v>
      </c>
      <c r="L809" t="inlineStr">
        <is>
          <t>not_relevant</t>
        </is>
      </c>
      <c r="M809" t="inlineStr">
        <is>
          <t>not_relevant</t>
        </is>
      </c>
      <c r="N809" t="inlineStr">
        <is>
          <t>not_relevant</t>
        </is>
      </c>
      <c r="O809" t="inlineStr">
        <is>
          <t>not_relevant</t>
        </is>
      </c>
      <c r="P809" t="b">
        <v>1</v>
      </c>
    </row>
    <row r="810">
      <c r="A810" t="inlineStr">
        <is>
          <t>set of 4 slate coasters</t>
        </is>
      </c>
      <c r="B810" t="inlineStr"/>
      <c r="C810" t="n">
        <v>1352377342</v>
      </c>
      <c r="D810">
        <f>HYPERLINK("https://www.etsy.com/listing/1352377342", "link")</f>
        <v/>
      </c>
      <c r="E810">
        <f>HYPERLINK("https://atlas.etsycorp.com/listing/1352377342/lookup", "link")</f>
        <v/>
      </c>
      <c r="F810" t="inlineStr">
        <is>
          <t>Slate Coasters (Set of 16), Blank, Square, Natural Stone Coasters, Black Slate, laser supplies</t>
        </is>
      </c>
      <c r="G810" t="inlineStr">
        <is>
          <t>EuMStUrn-CUxRoJMXm3OwZOoXw87</t>
        </is>
      </c>
      <c r="H810" t="inlineStr">
        <is>
          <t>web</t>
        </is>
      </c>
      <c r="I810" t="inlineStr">
        <is>
          <t>en-US</t>
        </is>
      </c>
      <c r="J810" t="inlineStr">
        <is>
          <t>us_v2-direct_specified</t>
        </is>
      </c>
      <c r="K810" t="b">
        <v>1</v>
      </c>
      <c r="L810" t="inlineStr">
        <is>
          <t>partial</t>
        </is>
      </c>
      <c r="M810" t="inlineStr">
        <is>
          <t>partial</t>
        </is>
      </c>
      <c r="N810" t="inlineStr">
        <is>
          <t>partial</t>
        </is>
      </c>
      <c r="O810" t="inlineStr">
        <is>
          <t>partial</t>
        </is>
      </c>
      <c r="P810" t="b">
        <v>1</v>
      </c>
    </row>
    <row r="811">
      <c r="A811" t="inlineStr">
        <is>
          <t>sapphire drop pendant</t>
        </is>
      </c>
      <c r="B811" t="inlineStr"/>
      <c r="C811" t="n">
        <v>1543423500</v>
      </c>
      <c r="D811">
        <f>HYPERLINK("https://www.etsy.com/listing/1543423500", "link")</f>
        <v/>
      </c>
      <c r="E811">
        <f>HYPERLINK("https://atlas.etsycorp.com/listing/1543423500/lookup", "link")</f>
        <v/>
      </c>
      <c r="F811" t="inlineStr">
        <is>
          <t>New! Waterproof Natural Blue Aquamarine Gemstone Necklace,Gold Blue Quartz Necklace,Dainty Blue Oval Pendant Necklace,Gift for Her</t>
        </is>
      </c>
      <c r="G811" t="inlineStr">
        <is>
          <t>EuthhGOGCxlFclzxoYSmBQvhd_57</t>
        </is>
      </c>
      <c r="H811" t="inlineStr">
        <is>
          <t>web</t>
        </is>
      </c>
      <c r="I811" t="inlineStr">
        <is>
          <t>en-US</t>
        </is>
      </c>
      <c r="J811" t="inlineStr">
        <is>
          <t>us_v2-direct_specified</t>
        </is>
      </c>
      <c r="K811" t="b">
        <v>1</v>
      </c>
      <c r="L811" t="inlineStr">
        <is>
          <t>partial</t>
        </is>
      </c>
      <c r="M811" t="inlineStr">
        <is>
          <t>partial</t>
        </is>
      </c>
      <c r="N811" t="inlineStr">
        <is>
          <t>partial</t>
        </is>
      </c>
      <c r="O811" t="inlineStr">
        <is>
          <t>partial</t>
        </is>
      </c>
      <c r="P811" t="b">
        <v>1</v>
      </c>
    </row>
    <row r="812">
      <c r="A812" t="inlineStr">
        <is>
          <t>spiderman 3rd birthday</t>
        </is>
      </c>
      <c r="B812" t="inlineStr"/>
      <c r="C812" t="n">
        <v>1562364492</v>
      </c>
      <c r="D812">
        <f>HYPERLINK("https://www.etsy.com/listing/1562364492", "link")</f>
        <v/>
      </c>
      <c r="E812">
        <f>HYPERLINK("https://atlas.etsycorp.com/listing/1562364492/lookup", "link")</f>
        <v/>
      </c>
      <c r="F812" t="inlineStr">
        <is>
          <t>Spidey and His Amazing Friends- Kids Birthday T-Shirt Designs</t>
        </is>
      </c>
      <c r="G812" t="inlineStr">
        <is>
          <t>Eu-bqV8nyR3Zyg52U_JJcJWZvoba</t>
        </is>
      </c>
      <c r="H812" t="inlineStr">
        <is>
          <t>boe</t>
        </is>
      </c>
      <c r="I812" t="inlineStr">
        <is>
          <t>en-US</t>
        </is>
      </c>
      <c r="J812" t="inlineStr">
        <is>
          <t>us_v2-broad</t>
        </is>
      </c>
      <c r="K812" t="b">
        <v>1</v>
      </c>
      <c r="L812" t="inlineStr">
        <is>
          <t>partial</t>
        </is>
      </c>
      <c r="M812" t="inlineStr">
        <is>
          <t>partial</t>
        </is>
      </c>
      <c r="N812" t="inlineStr">
        <is>
          <t>partial</t>
        </is>
      </c>
      <c r="O812" t="inlineStr">
        <is>
          <t>partial</t>
        </is>
      </c>
      <c r="P812" t="b">
        <v>1</v>
      </c>
    </row>
    <row r="813">
      <c r="A813" t="inlineStr">
        <is>
          <t>scx24 body toyota</t>
        </is>
      </c>
      <c r="B813" t="inlineStr"/>
      <c r="C813" t="n">
        <v>1631152276</v>
      </c>
      <c r="D813">
        <f>HYPERLINK("https://www.etsy.com/listing/1631152276", "link")</f>
        <v/>
      </c>
      <c r="E813">
        <f>HYPERLINK("https://atlas.etsycorp.com/listing/1631152276/lookup", "link")</f>
        <v/>
      </c>
      <c r="F813" t="inlineStr">
        <is>
          <t>Axial SCX10.3 CJ-7 Clipless Body Latch System</t>
        </is>
      </c>
      <c r="G813" t="inlineStr">
        <is>
          <t>EuTP5wljKNWe62Y4HE-8kytAG58a</t>
        </is>
      </c>
      <c r="H813" t="inlineStr">
        <is>
          <t>boe</t>
        </is>
      </c>
      <c r="I813" t="inlineStr">
        <is>
          <t>en-US</t>
        </is>
      </c>
      <c r="J813" t="inlineStr">
        <is>
          <t>us_v2-direct_specified</t>
        </is>
      </c>
      <c r="K813" t="b">
        <v>1</v>
      </c>
      <c r="L813" t="inlineStr">
        <is>
          <t>partial</t>
        </is>
      </c>
      <c r="M813" t="inlineStr">
        <is>
          <t>relevant</t>
        </is>
      </c>
      <c r="N813" t="inlineStr">
        <is>
          <t>partial</t>
        </is>
      </c>
      <c r="O813" t="inlineStr">
        <is>
          <t>partial</t>
        </is>
      </c>
      <c r="P813" t="b">
        <v>1</v>
      </c>
    </row>
    <row r="814">
      <c r="A814" t="inlineStr">
        <is>
          <t>groomsman proposal box</t>
        </is>
      </c>
      <c r="B814" t="inlineStr"/>
      <c r="C814" t="n">
        <v>967924021</v>
      </c>
      <c r="D814">
        <f>HYPERLINK("https://www.etsy.com/listing/967924021", "link")</f>
        <v/>
      </c>
      <c r="E814">
        <f>HYPERLINK("https://atlas.etsycorp.com/listing/967924021/lookup", "link")</f>
        <v/>
      </c>
      <c r="F814" t="inlineStr">
        <is>
          <t>Personalized Hunting Ammo Box, Groomsmen Gifts, Fathers Day Gift, Gifts for Him, Gifts for Men, Ammunition Box, Personalized Gifts for Dad</t>
        </is>
      </c>
      <c r="G814" t="inlineStr">
        <is>
          <t>Eub6x21-775myBxQABCfA5mAdH49</t>
        </is>
      </c>
      <c r="H814" t="inlineStr">
        <is>
          <t>boe</t>
        </is>
      </c>
      <c r="I814" t="inlineStr">
        <is>
          <t>en-US</t>
        </is>
      </c>
      <c r="J814" t="inlineStr">
        <is>
          <t>us_v2-direct_unspecified</t>
        </is>
      </c>
      <c r="K814" t="b">
        <v>1</v>
      </c>
      <c r="L814" t="inlineStr">
        <is>
          <t>relevant</t>
        </is>
      </c>
      <c r="M814" t="inlineStr">
        <is>
          <t>relevant</t>
        </is>
      </c>
      <c r="N814" t="inlineStr">
        <is>
          <t>relevant</t>
        </is>
      </c>
      <c r="O814" t="inlineStr">
        <is>
          <t>relevant</t>
        </is>
      </c>
      <c r="P814" t="b">
        <v>1</v>
      </c>
    </row>
    <row r="815">
      <c r="A815" t="inlineStr">
        <is>
          <t>baseball treat box easy for cricut svg</t>
        </is>
      </c>
      <c r="B815" t="inlineStr"/>
      <c r="C815" t="n">
        <v>1230972006</v>
      </c>
      <c r="D815">
        <f>HYPERLINK("https://www.etsy.com/listing/1230972006", "link")</f>
        <v/>
      </c>
      <c r="E815">
        <f>HYPERLINK("https://atlas.etsycorp.com/listing/1230972006/lookup", "link")</f>
        <v/>
      </c>
      <c r="F815" t="inlineStr">
        <is>
          <t>Baseball SVG Bundle, Baseball Svg. Baseball Stitches svg, Baseball Monogram SVG</t>
        </is>
      </c>
      <c r="G815" t="inlineStr">
        <is>
          <t>EuvCGKlnHy2sKdoFtWTDBR4ie461</t>
        </is>
      </c>
      <c r="H815" t="inlineStr">
        <is>
          <t>web</t>
        </is>
      </c>
      <c r="I815" t="inlineStr">
        <is>
          <t>en-US</t>
        </is>
      </c>
      <c r="J815" t="inlineStr">
        <is>
          <t>us_v2-direct_specified</t>
        </is>
      </c>
      <c r="K815" t="b">
        <v>1</v>
      </c>
      <c r="L815" t="inlineStr">
        <is>
          <t>partial</t>
        </is>
      </c>
      <c r="M815" t="inlineStr">
        <is>
          <t>partial</t>
        </is>
      </c>
      <c r="N815" t="inlineStr">
        <is>
          <t>partial</t>
        </is>
      </c>
      <c r="O815" t="inlineStr">
        <is>
          <t>partial</t>
        </is>
      </c>
      <c r="P815" t="b">
        <v>1</v>
      </c>
    </row>
    <row r="816">
      <c r="A816" t="inlineStr">
        <is>
          <t>fursuit</t>
        </is>
      </c>
      <c r="B816" t="inlineStr"/>
      <c r="C816" t="n">
        <v>1655551213</v>
      </c>
      <c r="D816">
        <f>HYPERLINK("https://www.etsy.com/listing/1655551213", "link")</f>
        <v/>
      </c>
      <c r="E816">
        <f>HYPERLINK("https://atlas.etsycorp.com/listing/1655551213/lookup", "link")</f>
        <v/>
      </c>
      <c r="F816" t="inlineStr">
        <is>
          <t>Firefly the Protogen Fursuit Partial</t>
        </is>
      </c>
      <c r="G816" t="inlineStr">
        <is>
          <t>EuZqWsdFYx8qXWhBZcr-rOwg9zc6</t>
        </is>
      </c>
      <c r="H816" t="inlineStr">
        <is>
          <t>boe</t>
        </is>
      </c>
      <c r="I816" t="inlineStr">
        <is>
          <t>en-GB</t>
        </is>
      </c>
      <c r="J816" t="inlineStr">
        <is>
          <t>us_v2-direct_unspecified</t>
        </is>
      </c>
      <c r="K816" t="b">
        <v>1</v>
      </c>
      <c r="L816" t="inlineStr">
        <is>
          <t>relevant</t>
        </is>
      </c>
      <c r="M816" t="inlineStr">
        <is>
          <t>relevant</t>
        </is>
      </c>
      <c r="N816" t="inlineStr">
        <is>
          <t>relevant</t>
        </is>
      </c>
      <c r="O816" t="inlineStr">
        <is>
          <t>relevant</t>
        </is>
      </c>
      <c r="P816" t="b">
        <v>1</v>
      </c>
    </row>
    <row r="817">
      <c r="A817" t="inlineStr">
        <is>
          <t>cadre personnalise main</t>
        </is>
      </c>
      <c r="B817" t="inlineStr">
        <is>
          <t>hand personalized frame</t>
        </is>
      </c>
      <c r="C817" t="n">
        <v>1205338220</v>
      </c>
      <c r="D817">
        <f>HYPERLINK("https://www.etsy.com/listing/1205338220", "link")</f>
        <v/>
      </c>
      <c r="E817">
        <f>HYPERLINK("https://atlas.etsycorp.com/listing/1205338220/lookup", "link")</f>
        <v/>
      </c>
      <c r="F817" t="inlineStr">
        <is>
          <t>Love Message! Hand-rolled Paper Flowers Box| Rolled Flower|Customised | Mother| Father| Gifts for her | Anniversary | Birthday | Graduation</t>
        </is>
      </c>
      <c r="G817" t="inlineStr">
        <is>
          <t>EuecDMfMJ5TT_CmkgL60Ca98z-f9</t>
        </is>
      </c>
      <c r="H817" t="inlineStr">
        <is>
          <t>boe</t>
        </is>
      </c>
      <c r="I817" t="inlineStr">
        <is>
          <t>fr</t>
        </is>
      </c>
      <c r="J817" t="inlineStr">
        <is>
          <t>intl-fr</t>
        </is>
      </c>
      <c r="K817" t="b">
        <v>1</v>
      </c>
      <c r="L817" t="inlineStr">
        <is>
          <t>not_relevant</t>
        </is>
      </c>
      <c r="M817" t="inlineStr">
        <is>
          <t>not_relevant</t>
        </is>
      </c>
      <c r="N817" t="inlineStr">
        <is>
          <t>partial</t>
        </is>
      </c>
      <c r="O817" t="inlineStr">
        <is>
          <t>not_relevant</t>
        </is>
      </c>
      <c r="P817" t="b">
        <v>1</v>
      </c>
    </row>
    <row r="818">
      <c r="A818" t="inlineStr">
        <is>
          <t>Find shirts</t>
        </is>
      </c>
      <c r="B818" t="inlineStr">
        <is>
          <t>Find shirts</t>
        </is>
      </c>
      <c r="C818" t="n">
        <v>1417247931</v>
      </c>
      <c r="D818">
        <f>HYPERLINK("https://www.etsy.com/listing/1417247931", "link")</f>
        <v/>
      </c>
      <c r="E818">
        <f>HYPERLINK("https://atlas.etsycorp.com/listing/1417247931/lookup", "link")</f>
        <v/>
      </c>
      <c r="F818" t="inlineStr">
        <is>
          <t>You can find me at the pub shirt, St. Patrick&amp;#39;s Day shirt, funny Irish shirt, Shamrock shirt, bar shirt, drinking shirt, Unisex t-shirt</t>
        </is>
      </c>
      <c r="G818" t="inlineStr">
        <is>
          <t>EuvIS1lmey4F6GIBWbndSoAuVE5b</t>
        </is>
      </c>
      <c r="H818" t="inlineStr">
        <is>
          <t>web</t>
        </is>
      </c>
      <c r="I818" t="inlineStr">
        <is>
          <t>es</t>
        </is>
      </c>
      <c r="J818" t="inlineStr">
        <is>
          <t>intl-es</t>
        </is>
      </c>
      <c r="K818" t="b">
        <v>1</v>
      </c>
      <c r="L818" t="inlineStr">
        <is>
          <t>relevant</t>
        </is>
      </c>
      <c r="M818" t="inlineStr">
        <is>
          <t>relevant</t>
        </is>
      </c>
      <c r="N818" t="inlineStr">
        <is>
          <t>relevant</t>
        </is>
      </c>
      <c r="O818" t="inlineStr">
        <is>
          <t>relevant</t>
        </is>
      </c>
      <c r="P818" t="b">
        <v>1</v>
      </c>
    </row>
    <row r="819">
      <c r="A819" t="inlineStr">
        <is>
          <t>womans size 10 rain boot</t>
        </is>
      </c>
      <c r="B819" t="inlineStr"/>
      <c r="C819" t="n">
        <v>1085881254</v>
      </c>
      <c r="D819">
        <f>HYPERLINK("https://www.etsy.com/listing/1085881254", "link")</f>
        <v/>
      </c>
      <c r="E819">
        <f>HYPERLINK("https://atlas.etsycorp.com/listing/1085881254/lookup", "link")</f>
        <v/>
      </c>
      <c r="F819" t="inlineStr">
        <is>
          <t>personalized Tall Duck  boots, Monogram Duck Boots, Rain Boot, Boat-Shoe Style, Shoes Two Tone rain boots, snow boot, tall boots</t>
        </is>
      </c>
      <c r="G819" t="inlineStr">
        <is>
          <t>EuvvE6dtwlGuEfKM6REQEovuMe97</t>
        </is>
      </c>
      <c r="H819" t="inlineStr">
        <is>
          <t>boe</t>
        </is>
      </c>
      <c r="I819" t="inlineStr">
        <is>
          <t>en-US</t>
        </is>
      </c>
      <c r="J819" t="inlineStr">
        <is>
          <t>us_v2-direct_specified</t>
        </is>
      </c>
      <c r="K819" t="b">
        <v>1</v>
      </c>
      <c r="L819" t="inlineStr">
        <is>
          <t>partial</t>
        </is>
      </c>
      <c r="M819" t="inlineStr">
        <is>
          <t>partial</t>
        </is>
      </c>
      <c r="N819" t="inlineStr">
        <is>
          <t>partial</t>
        </is>
      </c>
      <c r="O819" t="inlineStr">
        <is>
          <t>partial</t>
        </is>
      </c>
      <c r="P819" t="b">
        <v>1</v>
      </c>
    </row>
    <row r="820">
      <c r="A820" t="inlineStr">
        <is>
          <t>wedding couple gift</t>
        </is>
      </c>
      <c r="B820" t="inlineStr"/>
      <c r="C820" t="n">
        <v>1177383634</v>
      </c>
      <c r="D820">
        <f>HYPERLINK("https://www.etsy.com/listing/1177383634", "link")</f>
        <v/>
      </c>
      <c r="E820">
        <f>HYPERLINK("https://atlas.etsycorp.com/listing/1177383634/lookup", "link")</f>
        <v/>
      </c>
      <c r="F820" t="inlineStr">
        <is>
          <t>Custom Book Folding Book Art Unique Gift</t>
        </is>
      </c>
      <c r="G820" t="inlineStr">
        <is>
          <t>Eutgcp2E-Z3SNESZyWvWOKvgJC18</t>
        </is>
      </c>
      <c r="H820" t="inlineStr">
        <is>
          <t>boe</t>
        </is>
      </c>
      <c r="I820" t="inlineStr">
        <is>
          <t>en-US</t>
        </is>
      </c>
      <c r="J820" t="inlineStr">
        <is>
          <t>us_v2-gift</t>
        </is>
      </c>
      <c r="K820" t="b">
        <v>1</v>
      </c>
      <c r="L820" t="inlineStr">
        <is>
          <t>not_relevant</t>
        </is>
      </c>
      <c r="M820" t="inlineStr">
        <is>
          <t>not_relevant</t>
        </is>
      </c>
      <c r="N820" t="inlineStr">
        <is>
          <t>not_relevant</t>
        </is>
      </c>
      <c r="O820" t="inlineStr">
        <is>
          <t>relevant</t>
        </is>
      </c>
      <c r="P820" t="b">
        <v>1</v>
      </c>
    </row>
    <row r="821">
      <c r="A821" t="inlineStr">
        <is>
          <t>rouge à levres sans titane</t>
        </is>
      </c>
      <c r="B821" t="inlineStr">
        <is>
          <t>lipstick without titanium</t>
        </is>
      </c>
      <c r="C821" t="n">
        <v>1592327781</v>
      </c>
      <c r="D821">
        <f>HYPERLINK("https://www.etsy.com/listing/1592327781", "link")</f>
        <v/>
      </c>
      <c r="E821">
        <f>HYPERLINK("https://atlas.etsycorp.com/listing/1592327781/lookup", "link")</f>
        <v/>
      </c>
      <c r="F821" t="inlineStr">
        <is>
          <t>Titanium ASTM F136 Red Marquise Fan Threadless Top Piercing Conch Tragus Flat Cartilage Helix Nose</t>
        </is>
      </c>
      <c r="G821" t="inlineStr">
        <is>
          <t>EuzBD9_lcW02dTyqZUguflcwPmf3</t>
        </is>
      </c>
      <c r="H821" t="inlineStr">
        <is>
          <t>web</t>
        </is>
      </c>
      <c r="I821" t="inlineStr">
        <is>
          <t>fr</t>
        </is>
      </c>
      <c r="J821" t="inlineStr">
        <is>
          <t>intl-fr</t>
        </is>
      </c>
      <c r="K821" t="b">
        <v>1</v>
      </c>
      <c r="L821" t="inlineStr">
        <is>
          <t>not_relevant</t>
        </is>
      </c>
      <c r="M821" t="inlineStr">
        <is>
          <t>not_relevant</t>
        </is>
      </c>
      <c r="N821" t="inlineStr">
        <is>
          <t>not_relevant</t>
        </is>
      </c>
      <c r="O821" t="inlineStr">
        <is>
          <t>not_relevant</t>
        </is>
      </c>
      <c r="P821" t="b">
        <v>1</v>
      </c>
    </row>
    <row r="822">
      <c r="A822" t="inlineStr">
        <is>
          <t>Accesorio de película de tijeras</t>
        </is>
      </c>
      <c r="B822" t="inlineStr">
        <is>
          <t>Scissors Movie Prop</t>
        </is>
      </c>
      <c r="C822" t="n">
        <v>743929018</v>
      </c>
      <c r="D822">
        <f>HYPERLINK("https://www.etsy.com/listing/743929018", "link")</f>
        <v/>
      </c>
      <c r="E822">
        <f>HYPERLINK("https://atlas.etsycorp.com/listing/743929018/lookup", "link")</f>
        <v/>
      </c>
      <c r="F822" t="inlineStr">
        <is>
          <t>Spanish Bible Bookmarks, Printable Set of 8, 7 x 2.5 Inches, Instant Download, Bookmarks Inspirational Art Journal, Spanish Scripture Cards</t>
        </is>
      </c>
      <c r="G822" t="inlineStr">
        <is>
          <t>Eu6gZw6yGPhE9i2EHc6B21Yd2sd6</t>
        </is>
      </c>
      <c r="H822" t="inlineStr">
        <is>
          <t>web</t>
        </is>
      </c>
      <c r="I822" t="inlineStr">
        <is>
          <t>es</t>
        </is>
      </c>
      <c r="J822" t="inlineStr">
        <is>
          <t>intl-es</t>
        </is>
      </c>
      <c r="K822" t="b">
        <v>1</v>
      </c>
      <c r="L822" t="inlineStr">
        <is>
          <t>not_relevant</t>
        </is>
      </c>
      <c r="M822" t="inlineStr">
        <is>
          <t>not_sure</t>
        </is>
      </c>
      <c r="N822" t="inlineStr">
        <is>
          <t>not_relevant</t>
        </is>
      </c>
      <c r="O822" t="inlineStr">
        <is>
          <t>not_relevant</t>
        </is>
      </c>
      <c r="P822" t="b">
        <v>1</v>
      </c>
    </row>
    <row r="823">
      <c r="A823" t="inlineStr">
        <is>
          <t>basketball mousepad nome</t>
        </is>
      </c>
      <c r="B823" t="inlineStr">
        <is>
          <t>basketball mousepad name</t>
        </is>
      </c>
      <c r="C823" t="n">
        <v>1740914206</v>
      </c>
      <c r="D823">
        <f>HYPERLINK("https://www.etsy.com/listing/1740914206", "link")</f>
        <v/>
      </c>
      <c r="E823">
        <f>HYPERLINK("https://atlas.etsycorp.com/listing/1740914206/lookup", "link")</f>
        <v/>
      </c>
      <c r="F823" t="inlineStr">
        <is>
          <t>Basketball Desk Mat Modern Art Print Sports Mouse Pad Home Office Decor Colorful Abstract Artwork Desk Mat Gift Unique Game Room Art Sporty</t>
        </is>
      </c>
      <c r="G823" t="inlineStr">
        <is>
          <t>EuhfKewGnq5uIkuwiMz7jZJiIS22</t>
        </is>
      </c>
      <c r="H823" t="inlineStr">
        <is>
          <t>web</t>
        </is>
      </c>
      <c r="I823" t="inlineStr">
        <is>
          <t>it</t>
        </is>
      </c>
      <c r="J823" t="inlineStr">
        <is>
          <t>intl-it</t>
        </is>
      </c>
      <c r="K823" t="b">
        <v>1</v>
      </c>
      <c r="L823" t="inlineStr">
        <is>
          <t>relevant</t>
        </is>
      </c>
      <c r="M823" t="inlineStr">
        <is>
          <t>relevant</t>
        </is>
      </c>
      <c r="N823" t="inlineStr">
        <is>
          <t>partial</t>
        </is>
      </c>
      <c r="O823" t="inlineStr">
        <is>
          <t>relevant</t>
        </is>
      </c>
      <c r="P823" t="b">
        <v>1</v>
      </c>
    </row>
    <row r="824">
      <c r="A824" t="inlineStr">
        <is>
          <t>Batman</t>
        </is>
      </c>
      <c r="B824" t="inlineStr">
        <is>
          <t>Batman</t>
        </is>
      </c>
      <c r="C824" t="n">
        <v>1517114171</v>
      </c>
      <c r="D824">
        <f>HYPERLINK("https://www.etsy.com/listing/1517114171", "link")</f>
        <v/>
      </c>
      <c r="E824">
        <f>HYPERLINK("https://atlas.etsycorp.com/listing/1517114171/lookup", "link")</f>
        <v/>
      </c>
      <c r="F824" t="inlineStr">
        <is>
          <t>Full set armor for super hero without helmet</t>
        </is>
      </c>
      <c r="G824" t="inlineStr">
        <is>
          <t>EuB59DrwREHlo0mJN-C1D98DEL82</t>
        </is>
      </c>
      <c r="H824" t="inlineStr">
        <is>
          <t>boe</t>
        </is>
      </c>
      <c r="I824" t="inlineStr">
        <is>
          <t>it</t>
        </is>
      </c>
      <c r="J824" t="inlineStr">
        <is>
          <t>intl-it</t>
        </is>
      </c>
      <c r="K824" t="b">
        <v>1</v>
      </c>
      <c r="L824" t="inlineStr">
        <is>
          <t>relevant</t>
        </is>
      </c>
      <c r="M824" t="inlineStr">
        <is>
          <t>relevant</t>
        </is>
      </c>
      <c r="N824" t="inlineStr">
        <is>
          <t>relevant</t>
        </is>
      </c>
      <c r="O824" t="inlineStr">
        <is>
          <t>relevant</t>
        </is>
      </c>
      <c r="P824" t="b">
        <v>1</v>
      </c>
    </row>
    <row r="825">
      <c r="A825" t="inlineStr">
        <is>
          <t>cinderella sweet 16 invitations</t>
        </is>
      </c>
      <c r="B825" t="inlineStr"/>
      <c r="C825" t="n">
        <v>1199626592</v>
      </c>
      <c r="D825">
        <f>HYPERLINK("https://www.etsy.com/listing/1199626592", "link")</f>
        <v/>
      </c>
      <c r="E825">
        <f>HYPERLINK("https://atlas.etsycorp.com/listing/1199626592/lookup", "link")</f>
        <v/>
      </c>
      <c r="F825" t="inlineStr">
        <is>
          <t>Cinderella cards and gifts sign | Cinderella wedding sign | Cinderella wedding | fairytale wedding | Disney wedding | Cinderella birthday |</t>
        </is>
      </c>
      <c r="G825" t="inlineStr">
        <is>
          <t>EuPw5t6VrqoMhkovou1ifpJB_de5</t>
        </is>
      </c>
      <c r="H825" t="inlineStr">
        <is>
          <t>boe</t>
        </is>
      </c>
      <c r="I825" t="inlineStr">
        <is>
          <t>en-US</t>
        </is>
      </c>
      <c r="J825" t="inlineStr">
        <is>
          <t>us_v2-direct_specified</t>
        </is>
      </c>
      <c r="K825" t="b">
        <v>1</v>
      </c>
      <c r="L825" t="inlineStr">
        <is>
          <t>partial</t>
        </is>
      </c>
      <c r="M825" t="inlineStr">
        <is>
          <t>partial</t>
        </is>
      </c>
      <c r="N825" t="inlineStr">
        <is>
          <t>partial</t>
        </is>
      </c>
      <c r="O825" t="inlineStr">
        <is>
          <t>relevant</t>
        </is>
      </c>
      <c r="P825" t="b">
        <v>1</v>
      </c>
    </row>
    <row r="826">
      <c r="A826" t="inlineStr">
        <is>
          <t>12 volt bus bars circuits</t>
        </is>
      </c>
      <c r="B826" t="inlineStr"/>
      <c r="C826" t="n">
        <v>936075993</v>
      </c>
      <c r="D826">
        <f>HYPERLINK("https://www.etsy.com/listing/936075993", "link")</f>
        <v/>
      </c>
      <c r="E826">
        <f>HYPERLINK("https://atlas.etsycorp.com/listing/936075993/lookup", "link")</f>
        <v/>
      </c>
      <c r="F826" t="inlineStr">
        <is>
          <t>The Roamer Bus Plans</t>
        </is>
      </c>
      <c r="G826" t="inlineStr">
        <is>
          <t>EudJaJ-xKOyX_nZDG_QJmyXRaW29</t>
        </is>
      </c>
      <c r="H826" t="inlineStr">
        <is>
          <t>web</t>
        </is>
      </c>
      <c r="I826" t="inlineStr">
        <is>
          <t>en-GB</t>
        </is>
      </c>
      <c r="J826" t="inlineStr">
        <is>
          <t>us_v2-direct_unspecified</t>
        </is>
      </c>
      <c r="K826" t="b">
        <v>1</v>
      </c>
      <c r="L826" t="inlineStr">
        <is>
          <t>not_relevant</t>
        </is>
      </c>
      <c r="M826" t="inlineStr">
        <is>
          <t>not_relevant</t>
        </is>
      </c>
      <c r="N826" t="inlineStr">
        <is>
          <t>not_relevant</t>
        </is>
      </c>
      <c r="O826" t="inlineStr">
        <is>
          <t>not_relevant</t>
        </is>
      </c>
      <c r="P826" t="b">
        <v>1</v>
      </c>
    </row>
    <row r="827">
      <c r="A827" t="inlineStr">
        <is>
          <t>engagement gift</t>
        </is>
      </c>
      <c r="B827" t="inlineStr"/>
      <c r="C827" t="n">
        <v>1241667747</v>
      </c>
      <c r="D827">
        <f>HYPERLINK("https://www.etsy.com/listing/1241667747", "link")</f>
        <v/>
      </c>
      <c r="E827">
        <f>HYPERLINK("https://atlas.etsycorp.com/listing/1241667747/lookup", "link")</f>
        <v/>
      </c>
      <c r="F827" t="inlineStr">
        <is>
          <t>Bride Shirt, Bride to Be, Engagement Shirt, Honeymoon Shirt, Bridal Gift, Wedding Tee, Bridal Shower Gift, Bride Tshirt, Future Mrs</t>
        </is>
      </c>
      <c r="G827" t="inlineStr">
        <is>
          <t>Eusd0mbJO_mYieFPDpYCNoJ3JV3f</t>
        </is>
      </c>
      <c r="H827" t="inlineStr">
        <is>
          <t>web</t>
        </is>
      </c>
      <c r="I827" t="inlineStr">
        <is>
          <t>en-US</t>
        </is>
      </c>
      <c r="J827" t="inlineStr">
        <is>
          <t>us_v2-broad</t>
        </is>
      </c>
      <c r="K827" t="b">
        <v>1</v>
      </c>
      <c r="L827" t="inlineStr">
        <is>
          <t>relevant</t>
        </is>
      </c>
      <c r="M827" t="inlineStr">
        <is>
          <t>relevant</t>
        </is>
      </c>
      <c r="N827" t="inlineStr">
        <is>
          <t>relevant</t>
        </is>
      </c>
      <c r="O827" t="inlineStr">
        <is>
          <t>relevant</t>
        </is>
      </c>
      <c r="P827" t="b">
        <v>1</v>
      </c>
    </row>
    <row r="828">
      <c r="A828" t="inlineStr">
        <is>
          <t>segment ring chirugenstahm</t>
        </is>
      </c>
      <c r="B828" t="inlineStr">
        <is>
          <t>segment ring surgical stem</t>
        </is>
      </c>
      <c r="C828" t="n">
        <v>1542817321</v>
      </c>
      <c r="D828">
        <f>HYPERLINK("https://www.etsy.com/listing/1542817321", "link")</f>
        <v/>
      </c>
      <c r="E828">
        <f>HYPERLINK("https://atlas.etsycorp.com/listing/1542817321/lookup", "link")</f>
        <v/>
      </c>
      <c r="F828" t="inlineStr">
        <is>
          <t>00G/0G/2G/4G/6G/8G/10G/12G Silver Implant Grade Titanium Large Gauge Hinged Clicker Segment Ring Seamless Hoops New Advanced Secure Clickers</t>
        </is>
      </c>
      <c r="G828" t="inlineStr">
        <is>
          <t>EuVp7tzLjANE5_qCJlBdDrVF8R7b</t>
        </is>
      </c>
      <c r="H828" t="inlineStr">
        <is>
          <t>web</t>
        </is>
      </c>
      <c r="I828" t="inlineStr">
        <is>
          <t>de</t>
        </is>
      </c>
      <c r="J828" t="inlineStr">
        <is>
          <t>intl-de</t>
        </is>
      </c>
      <c r="K828" t="b">
        <v>1</v>
      </c>
      <c r="L828" t="inlineStr">
        <is>
          <t>relevant</t>
        </is>
      </c>
      <c r="M828" t="inlineStr">
        <is>
          <t>relevant</t>
        </is>
      </c>
      <c r="N828" t="inlineStr">
        <is>
          <t>relevant</t>
        </is>
      </c>
      <c r="O828" t="inlineStr">
        <is>
          <t>partial</t>
        </is>
      </c>
      <c r="P828" t="b">
        <v>1</v>
      </c>
    </row>
    <row r="829">
      <c r="A829" t="inlineStr">
        <is>
          <t>geldgeschenk einschulung</t>
        </is>
      </c>
      <c r="B829" t="inlineStr">
        <is>
          <t>cash gift school enrollment</t>
        </is>
      </c>
      <c r="C829" t="n">
        <v>1743193805</v>
      </c>
      <c r="D829">
        <f>HYPERLINK("https://www.etsy.com/listing/1743193805", "link")</f>
        <v/>
      </c>
      <c r="E829">
        <f>HYPERLINK("https://atlas.etsycorp.com/listing/1743193805/lookup", "link")</f>
        <v/>
      </c>
      <c r="F829" t="inlineStr">
        <is>
          <t>SVG file including commercial license 30 gift tags</t>
        </is>
      </c>
      <c r="G829" t="inlineStr">
        <is>
          <t>EuZyD7N1EcmIVe0n9JyS3E0Aij74</t>
        </is>
      </c>
      <c r="H829" t="inlineStr">
        <is>
          <t>boe</t>
        </is>
      </c>
      <c r="I829" t="inlineStr">
        <is>
          <t>de</t>
        </is>
      </c>
      <c r="J829" t="inlineStr">
        <is>
          <t>intl-de</t>
        </is>
      </c>
      <c r="K829" t="b">
        <v>1</v>
      </c>
      <c r="L829" t="inlineStr">
        <is>
          <t>not_relevant</t>
        </is>
      </c>
      <c r="M829" t="inlineStr">
        <is>
          <t>relevant</t>
        </is>
      </c>
      <c r="N829" t="inlineStr">
        <is>
          <t>not_relevant</t>
        </is>
      </c>
      <c r="O829" t="inlineStr">
        <is>
          <t>not_relevant</t>
        </is>
      </c>
      <c r="P829" t="b">
        <v>1</v>
      </c>
    </row>
    <row r="830">
      <c r="A830" t="inlineStr">
        <is>
          <t>valentine jewelry for her</t>
        </is>
      </c>
      <c r="B830" t="inlineStr"/>
      <c r="C830" t="n">
        <v>608121858</v>
      </c>
      <c r="D830">
        <f>HYPERLINK("https://www.etsy.com/listing/608121858", "link")</f>
        <v/>
      </c>
      <c r="E830">
        <f>HYPERLINK("https://atlas.etsycorp.com/listing/608121858/lookup", "link")</f>
        <v/>
      </c>
      <c r="F830" t="inlineStr">
        <is>
          <t>Handmade gift Gold earring ear cuff no piercing earring hoop earring earcuff non pierced ear sterling silver jewerly Trendy</t>
        </is>
      </c>
      <c r="G830" t="inlineStr">
        <is>
          <t>Eu-sLsB_sOlpmt7WilOykJWh6K51</t>
        </is>
      </c>
      <c r="H830" t="inlineStr">
        <is>
          <t>web</t>
        </is>
      </c>
      <c r="I830" t="inlineStr">
        <is>
          <t>en-US</t>
        </is>
      </c>
      <c r="J830" t="inlineStr">
        <is>
          <t>us_v2-gift</t>
        </is>
      </c>
      <c r="K830" t="b">
        <v>1</v>
      </c>
      <c r="L830" t="inlineStr">
        <is>
          <t>partial</t>
        </is>
      </c>
      <c r="M830" t="inlineStr">
        <is>
          <t>partial</t>
        </is>
      </c>
      <c r="N830" t="inlineStr">
        <is>
          <t>partial</t>
        </is>
      </c>
      <c r="O830" t="inlineStr">
        <is>
          <t>relevant</t>
        </is>
      </c>
      <c r="P830" t="b">
        <v>1</v>
      </c>
    </row>
    <row r="831">
      <c r="A831" t="inlineStr">
        <is>
          <t>Personalised Wooden Letter Lamp</t>
        </is>
      </c>
      <c r="B831" t="inlineStr">
        <is>
          <t>Personalized Wooden Letter Lamp</t>
        </is>
      </c>
      <c r="C831" t="n">
        <v>597800247</v>
      </c>
      <c r="D831">
        <f>HYPERLINK("https://www.etsy.com/listing/597800247", "link")</f>
        <v/>
      </c>
      <c r="E831">
        <f>HYPERLINK("https://atlas.etsycorp.com/listing/597800247/lookup", "link")</f>
        <v/>
      </c>
      <c r="F831" t="inlineStr">
        <is>
          <t>Butterfly light up letter room light</t>
        </is>
      </c>
      <c r="G831" t="inlineStr">
        <is>
          <t>Eu_5JhhKb4CIk4is89ag5O0tks02</t>
        </is>
      </c>
      <c r="H831" t="inlineStr">
        <is>
          <t>web</t>
        </is>
      </c>
      <c r="I831" t="inlineStr">
        <is>
          <t>it</t>
        </is>
      </c>
      <c r="J831" t="inlineStr">
        <is>
          <t>intl-it</t>
        </is>
      </c>
      <c r="K831" t="b">
        <v>1</v>
      </c>
      <c r="L831" t="inlineStr">
        <is>
          <t>partial</t>
        </is>
      </c>
      <c r="M831" t="inlineStr">
        <is>
          <t>relevant</t>
        </is>
      </c>
      <c r="N831" t="inlineStr">
        <is>
          <t>partial</t>
        </is>
      </c>
      <c r="O831" t="inlineStr">
        <is>
          <t>partial</t>
        </is>
      </c>
      <c r="P831" t="b">
        <v>1</v>
      </c>
    </row>
    <row r="832">
      <c r="A832" t="inlineStr">
        <is>
          <t>jungle gift box</t>
        </is>
      </c>
      <c r="B832" t="inlineStr">
        <is>
          <t>jungle gift box</t>
        </is>
      </c>
      <c r="C832" t="n">
        <v>1633469933</v>
      </c>
      <c r="D832">
        <f>HYPERLINK("https://www.etsy.com/listing/1633469933", "link")</f>
        <v/>
      </c>
      <c r="E832">
        <f>HYPERLINK("https://atlas.etsycorp.com/listing/1633469933/lookup", "link")</f>
        <v/>
      </c>
      <c r="F832" t="inlineStr">
        <is>
          <t>Safari Truck Big Decor Cutout, Jungle Animal Birthday, Safari Animal Party, Wild One Birthday Prop, Instant Download, Printable File, KP084</t>
        </is>
      </c>
      <c r="G832" t="inlineStr">
        <is>
          <t>EuxzMa7wam04ZRoO6i5BHfgFZac2</t>
        </is>
      </c>
      <c r="H832" t="inlineStr">
        <is>
          <t>web</t>
        </is>
      </c>
      <c r="I832" t="inlineStr">
        <is>
          <t>nl</t>
        </is>
      </c>
      <c r="J832" t="inlineStr">
        <is>
          <t>intl-nl</t>
        </is>
      </c>
      <c r="K832" t="b">
        <v>1</v>
      </c>
      <c r="L832" t="inlineStr">
        <is>
          <t>not_relevant</t>
        </is>
      </c>
      <c r="M832" t="inlineStr">
        <is>
          <t>not_relevant</t>
        </is>
      </c>
      <c r="N832" t="inlineStr">
        <is>
          <t>relevant</t>
        </is>
      </c>
      <c r="O832" t="inlineStr">
        <is>
          <t>not_relevant</t>
        </is>
      </c>
      <c r="P832" t="b">
        <v>1</v>
      </c>
    </row>
    <row r="833">
      <c r="A833" t="inlineStr">
        <is>
          <t>oh so paper</t>
        </is>
      </c>
      <c r="B833" t="inlineStr"/>
      <c r="C833" t="n">
        <v>678048101</v>
      </c>
      <c r="D833">
        <f>HYPERLINK("https://www.etsy.com/listing/678048101", "link")</f>
        <v/>
      </c>
      <c r="E833">
        <f>HYPERLINK("https://atlas.etsycorp.com/listing/678048101/lookup", "link")</f>
        <v/>
      </c>
      <c r="F833" t="inlineStr">
        <is>
          <t>18 inch doll clothes pattern - overalls and peasant top bundle sewing pattern - PDF digital -  variations to make overalls, skirt, top</t>
        </is>
      </c>
      <c r="G833" t="inlineStr">
        <is>
          <t>EusQd_YfWqLMUsgb7ao4mZOhCUf0</t>
        </is>
      </c>
      <c r="H833" t="inlineStr">
        <is>
          <t>web</t>
        </is>
      </c>
      <c r="I833" t="inlineStr">
        <is>
          <t>en-US</t>
        </is>
      </c>
      <c r="J833" t="inlineStr">
        <is>
          <t>us_v2-direct_specified</t>
        </is>
      </c>
      <c r="K833" t="b">
        <v>1</v>
      </c>
      <c r="L833" t="inlineStr">
        <is>
          <t>not_relevant</t>
        </is>
      </c>
      <c r="M833" t="inlineStr">
        <is>
          <t>not_relevant</t>
        </is>
      </c>
      <c r="N833" t="inlineStr">
        <is>
          <t>not_relevant</t>
        </is>
      </c>
      <c r="O833" t="inlineStr">
        <is>
          <t>not_sure</t>
        </is>
      </c>
      <c r="P833" t="b">
        <v>1</v>
      </c>
    </row>
    <row r="834">
      <c r="A834" t="inlineStr">
        <is>
          <t>stone</t>
        </is>
      </c>
      <c r="B834" t="inlineStr"/>
      <c r="C834" t="n">
        <v>1660627441</v>
      </c>
      <c r="D834">
        <f>HYPERLINK("https://www.etsy.com/listing/1660627441", "link")</f>
        <v/>
      </c>
      <c r="E834">
        <f>HYPERLINK("https://atlas.etsycorp.com/listing/1660627441/lookup", "link")</f>
        <v/>
      </c>
      <c r="F834" t="inlineStr">
        <is>
          <t>Printable Rolling Stones Ticket Hackney Diamonds Tour | Music Concert Show Pass | Surprise Gift Reveal | Editable Personalized | Download</t>
        </is>
      </c>
      <c r="G834" t="inlineStr">
        <is>
          <t>EuVouU5qXxul17_mI4CJhWwAUz85</t>
        </is>
      </c>
      <c r="H834" t="inlineStr">
        <is>
          <t>boe</t>
        </is>
      </c>
      <c r="I834" t="inlineStr">
        <is>
          <t>en-US</t>
        </is>
      </c>
      <c r="J834" t="inlineStr">
        <is>
          <t>us_v2-broad</t>
        </is>
      </c>
      <c r="K834" t="b">
        <v>1</v>
      </c>
      <c r="L834" t="inlineStr">
        <is>
          <t>not_relevant</t>
        </is>
      </c>
      <c r="M834" t="inlineStr">
        <is>
          <t>relevant</t>
        </is>
      </c>
      <c r="N834" t="inlineStr">
        <is>
          <t>not_relevant</t>
        </is>
      </c>
      <c r="O834" t="inlineStr">
        <is>
          <t>not_relevant</t>
        </is>
      </c>
      <c r="P834" t="b">
        <v>1</v>
      </c>
    </row>
    <row r="835">
      <c r="A835" t="inlineStr">
        <is>
          <t>prénom bois</t>
        </is>
      </c>
      <c r="B835" t="inlineStr">
        <is>
          <t>first name wood</t>
        </is>
      </c>
      <c r="C835" t="n">
        <v>752235417</v>
      </c>
      <c r="D835">
        <f>HYPERLINK("https://www.etsy.com/listing/752235417", "link")</f>
        <v/>
      </c>
      <c r="E835">
        <f>HYPERLINK("https://atlas.etsycorp.com/listing/752235417/lookup", "link")</f>
        <v/>
      </c>
      <c r="F835" t="inlineStr">
        <is>
          <t>Wooden first name / Size L / 10 wood finishes / 12 typographies / Baby &amp; child room decoration / Birthday / Wedding</t>
        </is>
      </c>
      <c r="G835" t="inlineStr">
        <is>
          <t>Euv9u7zmrIn4UQe41Dv6mbyFzq4f</t>
        </is>
      </c>
      <c r="H835" t="inlineStr">
        <is>
          <t>web</t>
        </is>
      </c>
      <c r="I835" t="inlineStr">
        <is>
          <t>fr</t>
        </is>
      </c>
      <c r="J835" t="inlineStr">
        <is>
          <t>intl-fr</t>
        </is>
      </c>
      <c r="K835" t="b">
        <v>1</v>
      </c>
      <c r="L835" t="inlineStr">
        <is>
          <t>relevant</t>
        </is>
      </c>
      <c r="M835" t="inlineStr">
        <is>
          <t>relevant</t>
        </is>
      </c>
      <c r="N835" t="inlineStr">
        <is>
          <t>relevant</t>
        </is>
      </c>
      <c r="O835" t="inlineStr">
        <is>
          <t>relevant</t>
        </is>
      </c>
      <c r="P835" t="b">
        <v>1</v>
      </c>
    </row>
    <row r="836">
      <c r="A836" t="inlineStr">
        <is>
          <t>tweedelig shorts blazer</t>
        </is>
      </c>
      <c r="B836" t="inlineStr">
        <is>
          <t>two piece shorts blazer</t>
        </is>
      </c>
      <c r="C836" t="n">
        <v>1172223664</v>
      </c>
      <c r="D836">
        <f>HYPERLINK("https://www.etsy.com/listing/1172223664", "link")</f>
        <v/>
      </c>
      <c r="E836">
        <f>HYPERLINK("https://atlas.etsycorp.com/listing/1172223664/lookup", "link")</f>
        <v/>
      </c>
      <c r="F836" t="inlineStr">
        <is>
          <t>80s Pink Netted two Piece Matching Set / Skirt and Top / Small</t>
        </is>
      </c>
      <c r="G836" t="inlineStr">
        <is>
          <t>EuwofDP1Qk6FwXI1N2snRaDafNde</t>
        </is>
      </c>
      <c r="H836" t="inlineStr">
        <is>
          <t>web</t>
        </is>
      </c>
      <c r="I836" t="inlineStr">
        <is>
          <t>nl</t>
        </is>
      </c>
      <c r="J836" t="inlineStr">
        <is>
          <t>intl-nl</t>
        </is>
      </c>
      <c r="K836" t="b">
        <v>1</v>
      </c>
      <c r="L836" t="inlineStr">
        <is>
          <t>not_relevant</t>
        </is>
      </c>
      <c r="M836" t="inlineStr">
        <is>
          <t>not_relevant</t>
        </is>
      </c>
      <c r="N836" t="inlineStr">
        <is>
          <t>partial</t>
        </is>
      </c>
      <c r="O836" t="inlineStr">
        <is>
          <t>not_relevant</t>
        </is>
      </c>
      <c r="P836" t="b">
        <v>1</v>
      </c>
    </row>
    <row r="837">
      <c r="A837" t="inlineStr">
        <is>
          <t>Womens spring dresses</t>
        </is>
      </c>
      <c r="B837" t="inlineStr"/>
      <c r="C837" t="n">
        <v>870835073</v>
      </c>
      <c r="D837">
        <f>HYPERLINK("https://www.etsy.com/listing/870835073", "link")</f>
        <v/>
      </c>
      <c r="E837">
        <f>HYPERLINK("https://atlas.etsycorp.com/listing/870835073/lookup", "link")</f>
        <v/>
      </c>
      <c r="F837" t="inlineStr">
        <is>
          <t>Linen top. Linen wrap top. Linen wrap blouse. Linen kimono top. Linen blouse. Linen wrap crop top. Wrapped top. Wrapped blouse. Linen wear.</t>
        </is>
      </c>
      <c r="G837" t="inlineStr">
        <is>
          <t>EuDFABKQwGkPsv_adI2gw2MZi5a1</t>
        </is>
      </c>
      <c r="H837" t="inlineStr">
        <is>
          <t>boe</t>
        </is>
      </c>
      <c r="I837" t="inlineStr">
        <is>
          <t>en-US</t>
        </is>
      </c>
      <c r="J837" t="inlineStr">
        <is>
          <t>us_v2-direct_unspecified</t>
        </is>
      </c>
      <c r="K837" t="b">
        <v>1</v>
      </c>
      <c r="L837" t="inlineStr">
        <is>
          <t>not_relevant</t>
        </is>
      </c>
      <c r="M837" t="inlineStr">
        <is>
          <t>not_relevant</t>
        </is>
      </c>
      <c r="N837" t="inlineStr">
        <is>
          <t>relevant</t>
        </is>
      </c>
      <c r="O837" t="inlineStr">
        <is>
          <t>not_relevant</t>
        </is>
      </c>
      <c r="P837" t="b">
        <v>1</v>
      </c>
    </row>
    <row r="838">
      <c r="A838" t="inlineStr">
        <is>
          <t>personlised girls gift</t>
        </is>
      </c>
      <c r="B838" t="inlineStr"/>
      <c r="C838" t="n">
        <v>1376937790</v>
      </c>
      <c r="D838">
        <f>HYPERLINK("https://www.etsy.com/listing/1376937790", "link")</f>
        <v/>
      </c>
      <c r="E838">
        <f>HYPERLINK("https://atlas.etsycorp.com/listing/1376937790/lookup", "link")</f>
        <v/>
      </c>
      <c r="F838" t="inlineStr">
        <is>
          <t>Name Puzzles, Wooden Personalized Gifts, Baby Montessori Toys, Baby Girl Gifts, First Birthday&amp;#39;S, Baby Shower Gifts</t>
        </is>
      </c>
      <c r="G838" t="inlineStr">
        <is>
          <t>Eust4dBw_Tb2-vU--oBs7YRk8kbb</t>
        </is>
      </c>
      <c r="H838" t="inlineStr">
        <is>
          <t>web</t>
        </is>
      </c>
      <c r="I838" t="inlineStr">
        <is>
          <t>en-US</t>
        </is>
      </c>
      <c r="J838" t="inlineStr">
        <is>
          <t>us_v2-gift</t>
        </is>
      </c>
      <c r="K838" t="b">
        <v>1</v>
      </c>
      <c r="L838" t="inlineStr">
        <is>
          <t>relevant</t>
        </is>
      </c>
      <c r="M838" t="inlineStr">
        <is>
          <t>relevant</t>
        </is>
      </c>
      <c r="N838" t="inlineStr">
        <is>
          <t>relevant</t>
        </is>
      </c>
      <c r="O838" t="inlineStr">
        <is>
          <t>relevant</t>
        </is>
      </c>
      <c r="P838" t="b">
        <v>1</v>
      </c>
    </row>
    <row r="839">
      <c r="A839" t="inlineStr">
        <is>
          <t>kids wedding activity pack</t>
        </is>
      </c>
      <c r="B839" t="inlineStr"/>
      <c r="C839" t="n">
        <v>1324376557</v>
      </c>
      <c r="D839">
        <f>HYPERLINK("https://www.etsy.com/listing/1324376557", "link")</f>
        <v/>
      </c>
      <c r="E839">
        <f>HYPERLINK("https://atlas.etsycorp.com/listing/1324376557/lookup", "link")</f>
        <v/>
      </c>
      <c r="F839" t="inlineStr">
        <is>
          <t>Children&amp;#39;s Christmas Wedding Activity Box Children&amp;#39;s Activity Box Personalised Wedding box with Gold Snowflake Design</t>
        </is>
      </c>
      <c r="G839" t="inlineStr">
        <is>
          <t>EuaP-ktVoshut6necTnbF5DcLT9c</t>
        </is>
      </c>
      <c r="H839" t="inlineStr">
        <is>
          <t>boe</t>
        </is>
      </c>
      <c r="I839" t="inlineStr">
        <is>
          <t>en-GB</t>
        </is>
      </c>
      <c r="J839" t="inlineStr">
        <is>
          <t>us_v2-direct_unspecified</t>
        </is>
      </c>
      <c r="K839" t="b">
        <v>1</v>
      </c>
      <c r="L839" t="inlineStr">
        <is>
          <t>relevant</t>
        </is>
      </c>
      <c r="M839" t="inlineStr">
        <is>
          <t>relevant</t>
        </is>
      </c>
      <c r="N839" t="inlineStr">
        <is>
          <t>relevant</t>
        </is>
      </c>
      <c r="O839" t="inlineStr">
        <is>
          <t>relevant</t>
        </is>
      </c>
      <c r="P839" t="b">
        <v>1</v>
      </c>
    </row>
    <row r="840">
      <c r="A840" t="inlineStr">
        <is>
          <t>garden decor handmade</t>
        </is>
      </c>
      <c r="B840" t="inlineStr"/>
      <c r="C840" t="n">
        <v>1569606337</v>
      </c>
      <c r="D840">
        <f>HYPERLINK("https://www.etsy.com/listing/1569606337", "link")</f>
        <v/>
      </c>
      <c r="E840">
        <f>HYPERLINK("https://atlas.etsycorp.com/listing/1569606337/lookup", "link")</f>
        <v/>
      </c>
      <c r="F840" t="inlineStr">
        <is>
          <t>Outdoor Solar Hanging Lanterns - Pack of 4</t>
        </is>
      </c>
      <c r="G840" t="inlineStr">
        <is>
          <t>EuHi-zMsP5L7X8DP_V4GnMPGDscd</t>
        </is>
      </c>
      <c r="H840" t="inlineStr">
        <is>
          <t>boe</t>
        </is>
      </c>
      <c r="I840" t="inlineStr">
        <is>
          <t>en-US</t>
        </is>
      </c>
      <c r="J840" t="inlineStr">
        <is>
          <t>us_v2-broad</t>
        </is>
      </c>
      <c r="K840" t="b">
        <v>1</v>
      </c>
      <c r="L840" t="inlineStr">
        <is>
          <t>partial</t>
        </is>
      </c>
      <c r="M840" t="inlineStr">
        <is>
          <t>relevant</t>
        </is>
      </c>
      <c r="N840" t="inlineStr">
        <is>
          <t>partial</t>
        </is>
      </c>
      <c r="O840" t="inlineStr">
        <is>
          <t>partial</t>
        </is>
      </c>
      <c r="P840" t="b">
        <v>1</v>
      </c>
    </row>
    <row r="841">
      <c r="A841" t="inlineStr">
        <is>
          <t>warrior</t>
        </is>
      </c>
      <c r="B841" t="inlineStr">
        <is>
          <t>warrior</t>
        </is>
      </c>
      <c r="C841" t="n">
        <v>614806392</v>
      </c>
      <c r="D841">
        <f>HYPERLINK("https://www.etsy.com/listing/614806392", "link")</f>
        <v/>
      </c>
      <c r="E841">
        <f>HYPERLINK("https://atlas.etsycorp.com/listing/614806392/lookup", "link")</f>
        <v/>
      </c>
      <c r="F841" t="inlineStr">
        <is>
          <t>Warrior woman fantasy portrait coloring page by Maria J. William, instant PDF download</t>
        </is>
      </c>
      <c r="G841" t="inlineStr">
        <is>
          <t>EufZpYygPek54nBx590oiKchn157</t>
        </is>
      </c>
      <c r="H841" t="inlineStr">
        <is>
          <t>web</t>
        </is>
      </c>
      <c r="I841" t="inlineStr">
        <is>
          <t>nl</t>
        </is>
      </c>
      <c r="J841" t="inlineStr">
        <is>
          <t>intl-nl</t>
        </is>
      </c>
      <c r="K841" t="b">
        <v>1</v>
      </c>
      <c r="L841" t="inlineStr">
        <is>
          <t>relevant</t>
        </is>
      </c>
      <c r="M841" t="inlineStr">
        <is>
          <t>relevant</t>
        </is>
      </c>
      <c r="N841" t="inlineStr">
        <is>
          <t>relevant</t>
        </is>
      </c>
      <c r="O841" t="inlineStr">
        <is>
          <t>relevant</t>
        </is>
      </c>
      <c r="P841" t="b">
        <v>1</v>
      </c>
    </row>
    <row r="842">
      <c r="A842" t="inlineStr">
        <is>
          <t>beast ring</t>
        </is>
      </c>
      <c r="B842" t="inlineStr">
        <is>
          <t>beast ring</t>
        </is>
      </c>
      <c r="C842" t="n">
        <v>1523122912</v>
      </c>
      <c r="D842">
        <f>HYPERLINK("https://www.etsy.com/listing/1523122912", "link")</f>
        <v/>
      </c>
      <c r="E842">
        <f>HYPERLINK("https://atlas.etsycorp.com/listing/1523122912/lookup", "link")</f>
        <v/>
      </c>
      <c r="F842" t="inlineStr">
        <is>
          <t>Enchanted Disney Belle Jasmine Round Diamond Engagement Ring in Sterling Silver Vintage-style Disney Ring Set Extraordinary Ring Lovely Ring</t>
        </is>
      </c>
      <c r="G842" t="inlineStr">
        <is>
          <t>Eu1rPkeiSdNa3d2bhPBW3T4FoC92</t>
        </is>
      </c>
      <c r="H842" t="inlineStr">
        <is>
          <t>web</t>
        </is>
      </c>
      <c r="I842" t="inlineStr">
        <is>
          <t>de</t>
        </is>
      </c>
      <c r="J842" t="inlineStr">
        <is>
          <t>intl-de</t>
        </is>
      </c>
      <c r="K842" t="b">
        <v>1</v>
      </c>
      <c r="L842" t="inlineStr">
        <is>
          <t>partial</t>
        </is>
      </c>
      <c r="M842" t="inlineStr">
        <is>
          <t>relevant</t>
        </is>
      </c>
      <c r="N842" t="inlineStr">
        <is>
          <t>partial</t>
        </is>
      </c>
      <c r="O842" t="inlineStr">
        <is>
          <t>partial</t>
        </is>
      </c>
      <c r="P842" t="b">
        <v>1</v>
      </c>
    </row>
    <row r="843">
      <c r="A843" t="inlineStr">
        <is>
          <t>therapy stickers</t>
        </is>
      </c>
      <c r="B843" t="inlineStr"/>
      <c r="C843" t="n">
        <v>1160617821</v>
      </c>
      <c r="D843">
        <f>HYPERLINK("https://www.etsy.com/listing/1160617821", "link")</f>
        <v/>
      </c>
      <c r="E843">
        <f>HYPERLINK("https://atlas.etsycorp.com/listing/1160617821/lookup", "link")</f>
        <v/>
      </c>
      <c r="F843" t="inlineStr">
        <is>
          <t>Neutral Uplifting Digital Stickers for iPad and Tablet, Motivational Quotes Stickers, Inspirational Quotes Stickers,Aesthetic Sticker Quotes</t>
        </is>
      </c>
      <c r="G843" t="inlineStr">
        <is>
          <t>EuqZYxp96GzNFatIDwifzZUow_af</t>
        </is>
      </c>
      <c r="H843" t="inlineStr">
        <is>
          <t>web</t>
        </is>
      </c>
      <c r="I843" t="inlineStr">
        <is>
          <t>en-US</t>
        </is>
      </c>
      <c r="J843" t="inlineStr">
        <is>
          <t>us_v2-direct_unspecified</t>
        </is>
      </c>
      <c r="K843" t="b">
        <v>1</v>
      </c>
      <c r="L843" t="inlineStr">
        <is>
          <t>partial</t>
        </is>
      </c>
      <c r="M843" t="inlineStr">
        <is>
          <t>partial</t>
        </is>
      </c>
      <c r="N843" t="inlineStr">
        <is>
          <t>partial</t>
        </is>
      </c>
      <c r="O843" t="inlineStr">
        <is>
          <t>relevant</t>
        </is>
      </c>
      <c r="P843" t="b">
        <v>1</v>
      </c>
    </row>
    <row r="844">
      <c r="A844" t="inlineStr">
        <is>
          <t>rouge à levres sans titane</t>
        </is>
      </c>
      <c r="B844" t="inlineStr">
        <is>
          <t>lipstick without titanium</t>
        </is>
      </c>
      <c r="C844" t="n">
        <v>1685607819</v>
      </c>
      <c r="D844">
        <f>HYPERLINK("https://www.etsy.com/listing/1685607819", "link")</f>
        <v/>
      </c>
      <c r="E844">
        <f>HYPERLINK("https://atlas.etsycorp.com/listing/1685607819/lookup", "link")</f>
        <v/>
      </c>
      <c r="F844" t="inlineStr">
        <is>
          <t>Red Glitter CZ Disk Labret Stud - INTERNAL Thread - Yellow Anodised ASTM:F-136 Medical Grade Titanium - 1.2mm x 6mm  16G</t>
        </is>
      </c>
      <c r="G844" t="inlineStr">
        <is>
          <t>EuzBD9_lcW02dTyqZUguflcwPmf3</t>
        </is>
      </c>
      <c r="H844" t="inlineStr">
        <is>
          <t>web</t>
        </is>
      </c>
      <c r="I844" t="inlineStr">
        <is>
          <t>fr</t>
        </is>
      </c>
      <c r="J844" t="inlineStr">
        <is>
          <t>intl-fr</t>
        </is>
      </c>
      <c r="K844" t="b">
        <v>1</v>
      </c>
      <c r="L844" t="inlineStr">
        <is>
          <t>not_relevant</t>
        </is>
      </c>
      <c r="M844" t="inlineStr">
        <is>
          <t>not_relevant</t>
        </is>
      </c>
      <c r="N844" t="inlineStr">
        <is>
          <t>not_relevant</t>
        </is>
      </c>
      <c r="O844" t="inlineStr">
        <is>
          <t>not_relevant</t>
        </is>
      </c>
      <c r="P844" t="b">
        <v>1</v>
      </c>
    </row>
    <row r="845">
      <c r="A845" t="inlineStr">
        <is>
          <t>basketball mousepad nome</t>
        </is>
      </c>
      <c r="B845" t="inlineStr">
        <is>
          <t>basketball mousepad name</t>
        </is>
      </c>
      <c r="C845" t="n">
        <v>1697694504</v>
      </c>
      <c r="D845">
        <f>HYPERLINK("https://www.etsy.com/listing/1697694504", "link")</f>
        <v/>
      </c>
      <c r="E845">
        <f>HYPERLINK("https://atlas.etsycorp.com/listing/1697694504/lookup", "link")</f>
        <v/>
      </c>
      <c r="F845" t="inlineStr">
        <is>
          <t>Basketball Mouse Pad</t>
        </is>
      </c>
      <c r="G845" t="inlineStr">
        <is>
          <t>EuhfKewGnq5uIkuwiMz7jZJiIS22</t>
        </is>
      </c>
      <c r="H845" t="inlineStr">
        <is>
          <t>web</t>
        </is>
      </c>
      <c r="I845" t="inlineStr">
        <is>
          <t>it</t>
        </is>
      </c>
      <c r="J845" t="inlineStr">
        <is>
          <t>intl-it</t>
        </is>
      </c>
      <c r="K845" t="b">
        <v>1</v>
      </c>
      <c r="L845" t="inlineStr">
        <is>
          <t>partial</t>
        </is>
      </c>
      <c r="M845" t="inlineStr">
        <is>
          <t>partial</t>
        </is>
      </c>
      <c r="N845" t="inlineStr">
        <is>
          <t>partial</t>
        </is>
      </c>
      <c r="O845" t="inlineStr">
        <is>
          <t>relevant</t>
        </is>
      </c>
      <c r="P845" t="b">
        <v>1</v>
      </c>
    </row>
    <row r="846">
      <c r="A846" t="inlineStr">
        <is>
          <t>wandschablonen bordüre</t>
        </is>
      </c>
      <c r="B846" t="inlineStr">
        <is>
          <t>wall stencils border</t>
        </is>
      </c>
      <c r="C846" t="n">
        <v>768771770</v>
      </c>
      <c r="D846">
        <f>HYPERLINK("https://www.etsy.com/listing/768771770", "link")</f>
        <v/>
      </c>
      <c r="E846">
        <f>HYPERLINK("https://atlas.etsycorp.com/listing/768771770/lookup", "link")</f>
        <v/>
      </c>
      <c r="F846" t="inlineStr">
        <is>
          <t>Celtic Ornament Stencil Reusable DIY Craft Mylar Stencil Home decor Furniture border stencil large wall stencil for paint</t>
        </is>
      </c>
      <c r="G846" t="inlineStr">
        <is>
          <t>EuRSPzKOrN5-HtrUJc7ROHNRPl41</t>
        </is>
      </c>
      <c r="H846" t="inlineStr">
        <is>
          <t>web</t>
        </is>
      </c>
      <c r="I846" t="inlineStr">
        <is>
          <t>de</t>
        </is>
      </c>
      <c r="J846" t="inlineStr">
        <is>
          <t>intl-de</t>
        </is>
      </c>
      <c r="K846" t="b">
        <v>1</v>
      </c>
      <c r="L846" t="inlineStr">
        <is>
          <t>relevant</t>
        </is>
      </c>
      <c r="M846" t="inlineStr">
        <is>
          <t>relevant</t>
        </is>
      </c>
      <c r="N846" t="inlineStr">
        <is>
          <t>relevant</t>
        </is>
      </c>
      <c r="O846" t="inlineStr">
        <is>
          <t>partial</t>
        </is>
      </c>
      <c r="P846" t="b">
        <v>1</v>
      </c>
    </row>
    <row r="847">
      <c r="A847" t="inlineStr">
        <is>
          <t>louis vuitton stanley 40oz tumbler with handle</t>
        </is>
      </c>
      <c r="B847" t="inlineStr"/>
      <c r="C847" t="n">
        <v>1402086251</v>
      </c>
      <c r="D847">
        <f>HYPERLINK("https://www.etsy.com/listing/1402086251", "link")</f>
        <v/>
      </c>
      <c r="E847">
        <f>HYPERLINK("https://atlas.etsycorp.com/listing/1402086251/lookup", "link")</f>
        <v/>
      </c>
      <c r="F847" t="inlineStr">
        <is>
          <t>40oz Stainless Insulated Tumbler with Handle Glitter Ombré</t>
        </is>
      </c>
      <c r="G847" t="inlineStr">
        <is>
          <t>EuMSMdw8RBAS7LK6p1Hzht4wgcbf</t>
        </is>
      </c>
      <c r="H847" t="inlineStr">
        <is>
          <t>boe</t>
        </is>
      </c>
      <c r="I847" t="inlineStr">
        <is>
          <t>en-US</t>
        </is>
      </c>
      <c r="J847" t="inlineStr">
        <is>
          <t>us_v2-direct_specified</t>
        </is>
      </c>
      <c r="K847" t="b">
        <v>1</v>
      </c>
      <c r="L847" t="inlineStr">
        <is>
          <t>partial</t>
        </is>
      </c>
      <c r="M847" t="inlineStr">
        <is>
          <t>partial</t>
        </is>
      </c>
      <c r="N847" t="inlineStr">
        <is>
          <t>partial</t>
        </is>
      </c>
      <c r="O847" t="inlineStr">
        <is>
          <t>partial</t>
        </is>
      </c>
      <c r="P847" t="b">
        <v>1</v>
      </c>
    </row>
    <row r="848">
      <c r="A848" t="inlineStr">
        <is>
          <t>two finger rings men silver</t>
        </is>
      </c>
      <c r="B848" t="inlineStr"/>
      <c r="C848" t="n">
        <v>1654804421</v>
      </c>
      <c r="D848">
        <f>HYPERLINK("https://www.etsy.com/listing/1654804421", "link")</f>
        <v/>
      </c>
      <c r="E848">
        <f>HYPERLINK("https://atlas.etsycorp.com/listing/1654804421/lookup", "link")</f>
        <v/>
      </c>
      <c r="F848" t="inlineStr">
        <is>
          <t>Double cube gold-plated silver ring</t>
        </is>
      </c>
      <c r="G848" t="inlineStr">
        <is>
          <t>Eu14XDLdXl5SLWrlzZgYm71PMSbb</t>
        </is>
      </c>
      <c r="H848" t="inlineStr">
        <is>
          <t>boe</t>
        </is>
      </c>
      <c r="I848" t="inlineStr">
        <is>
          <t>en-US</t>
        </is>
      </c>
      <c r="J848" t="inlineStr">
        <is>
          <t>us_v2-direct_specified</t>
        </is>
      </c>
      <c r="K848" t="b">
        <v>1</v>
      </c>
      <c r="L848" t="inlineStr">
        <is>
          <t>partial</t>
        </is>
      </c>
      <c r="M848" t="inlineStr">
        <is>
          <t>partial</t>
        </is>
      </c>
      <c r="N848" t="inlineStr">
        <is>
          <t>partial</t>
        </is>
      </c>
      <c r="O848" t="inlineStr">
        <is>
          <t>partial</t>
        </is>
      </c>
      <c r="P848" t="b">
        <v>1</v>
      </c>
    </row>
    <row r="849">
      <c r="A849" t="inlineStr">
        <is>
          <t>container</t>
        </is>
      </c>
      <c r="B849" t="inlineStr">
        <is>
          <t>container</t>
        </is>
      </c>
      <c r="C849" t="n">
        <v>1035694853</v>
      </c>
      <c r="D849">
        <f>HYPERLINK("https://www.etsy.com/listing/1035694853", "link")</f>
        <v/>
      </c>
      <c r="E849">
        <f>HYPERLINK("https://atlas.etsycorp.com/listing/1035694853/lookup", "link")</f>
        <v/>
      </c>
      <c r="F849" t="inlineStr">
        <is>
          <t>DINALI Glass Jars with Natural Acacia Wood Lids | FREE Custom Minimalist labels | Glass Pantry Jars | Organise Pantry | Eco Glass Jars</t>
        </is>
      </c>
      <c r="G849" t="inlineStr">
        <is>
          <t>Eu-IuHYlIctHkhp4IPa_quZWSXfa</t>
        </is>
      </c>
      <c r="H849" t="inlineStr">
        <is>
          <t>boe</t>
        </is>
      </c>
      <c r="I849" t="inlineStr">
        <is>
          <t>es</t>
        </is>
      </c>
      <c r="J849" t="inlineStr">
        <is>
          <t>intl-es</t>
        </is>
      </c>
      <c r="K849" t="b">
        <v>1</v>
      </c>
      <c r="L849" t="inlineStr">
        <is>
          <t>relevant</t>
        </is>
      </c>
      <c r="M849" t="inlineStr">
        <is>
          <t>relevant</t>
        </is>
      </c>
      <c r="N849" t="inlineStr">
        <is>
          <t>relevant</t>
        </is>
      </c>
      <c r="O849" t="inlineStr">
        <is>
          <t>not_relevant</t>
        </is>
      </c>
      <c r="P849" t="b">
        <v>1</v>
      </c>
    </row>
    <row r="850">
      <c r="A850" t="inlineStr">
        <is>
          <t>the lord and the lady statues</t>
        </is>
      </c>
      <c r="B850" t="inlineStr"/>
      <c r="C850" t="n">
        <v>1513377333</v>
      </c>
      <c r="D850">
        <f>HYPERLINK("https://www.etsy.com/listing/1513377333", "link")</f>
        <v/>
      </c>
      <c r="E850">
        <f>HYPERLINK("https://atlas.etsycorp.com/listing/1513377333/lookup", "link")</f>
        <v/>
      </c>
      <c r="F850" t="inlineStr">
        <is>
          <t>Your Butt Napkins My Lord Flamingo Poster, Flamingo Toilet Paper, Flamingo Bathroom Vintage Poster, Your Butt Napkins My Lord Wall Canvas</t>
        </is>
      </c>
      <c r="G850" t="inlineStr">
        <is>
          <t>Eu1wjDfTXaA0dum-vOxxKsBHKvd9</t>
        </is>
      </c>
      <c r="H850" t="inlineStr">
        <is>
          <t>web</t>
        </is>
      </c>
      <c r="I850" t="inlineStr">
        <is>
          <t>en-US</t>
        </is>
      </c>
      <c r="J850" t="inlineStr">
        <is>
          <t>us_v2-direct_unspecified</t>
        </is>
      </c>
      <c r="K850" t="b">
        <v>1</v>
      </c>
      <c r="L850" t="inlineStr">
        <is>
          <t>not_relevant</t>
        </is>
      </c>
      <c r="M850" t="inlineStr">
        <is>
          <t>partial</t>
        </is>
      </c>
      <c r="N850" t="inlineStr">
        <is>
          <t>not_relevant</t>
        </is>
      </c>
      <c r="O850" t="inlineStr">
        <is>
          <t>not_relevant</t>
        </is>
      </c>
      <c r="P850" t="b">
        <v>1</v>
      </c>
    </row>
    <row r="851">
      <c r="A851" t="inlineStr">
        <is>
          <t>maldini signed jersey</t>
        </is>
      </c>
      <c r="B851" t="inlineStr">
        <is>
          <t>maldini signed jersey</t>
        </is>
      </c>
      <c r="C851" t="n">
        <v>1754177207</v>
      </c>
      <c r="D851">
        <f>HYPERLINK("https://www.etsy.com/listing/1754177207", "link")</f>
        <v/>
      </c>
      <c r="E851">
        <f>HYPERLINK("https://atlas.etsycorp.com/listing/1754177207/lookup", "link")</f>
        <v/>
      </c>
      <c r="F851" t="inlineStr">
        <is>
          <t>2006/07 HOME AC Milan Jersey</t>
        </is>
      </c>
      <c r="G851" t="inlineStr">
        <is>
          <t>EuzatAxzu3TRCDfPz-v3FKEchl79</t>
        </is>
      </c>
      <c r="H851" t="inlineStr">
        <is>
          <t>web</t>
        </is>
      </c>
      <c r="I851" t="inlineStr">
        <is>
          <t>nl</t>
        </is>
      </c>
      <c r="J851" t="inlineStr">
        <is>
          <t>intl-nl</t>
        </is>
      </c>
      <c r="K851" t="b">
        <v>1</v>
      </c>
      <c r="L851" t="inlineStr">
        <is>
          <t>partial</t>
        </is>
      </c>
      <c r="M851" t="inlineStr">
        <is>
          <t>partial</t>
        </is>
      </c>
      <c r="N851" t="inlineStr">
        <is>
          <t>partial</t>
        </is>
      </c>
      <c r="O851" t="inlineStr">
        <is>
          <t>not_relevant</t>
        </is>
      </c>
      <c r="P851" t="b">
        <v>1</v>
      </c>
    </row>
    <row r="852">
      <c r="A852" t="inlineStr">
        <is>
          <t>bdsm owned</t>
        </is>
      </c>
      <c r="B852" t="inlineStr"/>
      <c r="C852" t="n">
        <v>161468713</v>
      </c>
      <c r="D852">
        <f>HYPERLINK("https://www.etsy.com/listing/161468713", "link")</f>
        <v/>
      </c>
      <c r="E852">
        <f>HYPERLINK("https://atlas.etsycorp.com/listing/161468713/lookup", "link")</f>
        <v/>
      </c>
      <c r="F852" t="inlineStr">
        <is>
          <t>Double snap strap set - Free US Shipping</t>
        </is>
      </c>
      <c r="G852" t="inlineStr">
        <is>
          <t>EuPHd9z1395g1A_1zp3p-s1RAd77</t>
        </is>
      </c>
      <c r="H852" t="inlineStr">
        <is>
          <t>boe</t>
        </is>
      </c>
      <c r="I852" t="inlineStr">
        <is>
          <t>en-US</t>
        </is>
      </c>
      <c r="J852" t="inlineStr">
        <is>
          <t>us_v2-broad</t>
        </is>
      </c>
      <c r="K852" t="b">
        <v>1</v>
      </c>
      <c r="L852" t="inlineStr">
        <is>
          <t>relevant</t>
        </is>
      </c>
      <c r="M852" t="inlineStr">
        <is>
          <t>partial</t>
        </is>
      </c>
      <c r="N852" t="inlineStr">
        <is>
          <t>relevant</t>
        </is>
      </c>
      <c r="O852" t="inlineStr">
        <is>
          <t>relevant</t>
        </is>
      </c>
      <c r="P852" t="b">
        <v>1</v>
      </c>
    </row>
    <row r="853">
      <c r="A853" t="inlineStr">
        <is>
          <t>linen</t>
        </is>
      </c>
      <c r="B853" t="inlineStr">
        <is>
          <t>Linen</t>
        </is>
      </c>
      <c r="C853" t="n">
        <v>747280619</v>
      </c>
      <c r="D853">
        <f>HYPERLINK("https://www.etsy.com/listing/747280619", "link")</f>
        <v/>
      </c>
      <c r="E853">
        <f>HYPERLINK("https://atlas.etsycorp.com/listing/747280619/lookup", "link")</f>
        <v/>
      </c>
      <c r="F853" t="inlineStr">
        <is>
          <t>Linen Smock Dress, Ruffled Linen Dress, Long Sleeves Linen Dress, Loose Fit Linen Dress</t>
        </is>
      </c>
      <c r="G853" t="inlineStr">
        <is>
          <t>EuiEkJws2T8gZf4Z8mn1UYq1uZae</t>
        </is>
      </c>
      <c r="H853" t="inlineStr">
        <is>
          <t>boe</t>
        </is>
      </c>
      <c r="I853" t="inlineStr">
        <is>
          <t>ja</t>
        </is>
      </c>
      <c r="J853" t="inlineStr">
        <is>
          <t>intl-ja</t>
        </is>
      </c>
      <c r="K853" t="b">
        <v>1</v>
      </c>
      <c r="L853" t="inlineStr">
        <is>
          <t>relevant</t>
        </is>
      </c>
      <c r="M853" t="inlineStr">
        <is>
          <t>relevant</t>
        </is>
      </c>
      <c r="N853" t="inlineStr">
        <is>
          <t>relevant</t>
        </is>
      </c>
      <c r="O853" t="inlineStr">
        <is>
          <t>relevant</t>
        </is>
      </c>
      <c r="P853" t="b">
        <v>1</v>
      </c>
    </row>
    <row r="854">
      <c r="A854" t="inlineStr">
        <is>
          <t>ww1</t>
        </is>
      </c>
      <c r="B854" t="inlineStr">
        <is>
          <t>ww1</t>
        </is>
      </c>
      <c r="C854" t="n">
        <v>1554955440</v>
      </c>
      <c r="D854">
        <f>HYPERLINK("https://www.etsy.com/listing/1554955440", "link")</f>
        <v/>
      </c>
      <c r="E854">
        <f>HYPERLINK("https://atlas.etsycorp.com/listing/1554955440/lookup", "link")</f>
        <v/>
      </c>
      <c r="F854" t="inlineStr">
        <is>
          <t>WW1 German soldier&amp;#39;s glass flask</t>
        </is>
      </c>
      <c r="G854" t="inlineStr">
        <is>
          <t>EugCMg1XlWyAIXvwaEVJ7QzIiXdd</t>
        </is>
      </c>
      <c r="H854" t="inlineStr">
        <is>
          <t>boe</t>
        </is>
      </c>
      <c r="I854" t="inlineStr">
        <is>
          <t>es</t>
        </is>
      </c>
      <c r="J854" t="inlineStr">
        <is>
          <t>intl-es</t>
        </is>
      </c>
      <c r="K854" t="b">
        <v>1</v>
      </c>
      <c r="L854" t="inlineStr">
        <is>
          <t>not_relevant</t>
        </is>
      </c>
      <c r="M854" t="inlineStr">
        <is>
          <t>not_relevant</t>
        </is>
      </c>
      <c r="N854" t="inlineStr">
        <is>
          <t>not_relevant</t>
        </is>
      </c>
      <c r="O854" t="inlineStr">
        <is>
          <t>not_relevant</t>
        </is>
      </c>
      <c r="P854" t="b">
        <v>1</v>
      </c>
    </row>
    <row r="855">
      <c r="A855" t="inlineStr">
        <is>
          <t>amoniet hanger goud</t>
        </is>
      </c>
      <c r="B855" t="inlineStr">
        <is>
          <t>amonite pendant gold</t>
        </is>
      </c>
      <c r="C855" t="n">
        <v>1569858640</v>
      </c>
      <c r="D855">
        <f>HYPERLINK("https://www.etsy.com/listing/1569858640", "link")</f>
        <v/>
      </c>
      <c r="E855">
        <f>HYPERLINK("https://atlas.etsycorp.com/listing/1569858640/lookup", "link")</f>
        <v/>
      </c>
      <c r="F855" t="inlineStr">
        <is>
          <t>Ancient Ammonite Wire-Wrapped Pendant</t>
        </is>
      </c>
      <c r="G855" t="inlineStr">
        <is>
          <t>EuW-HFv8vWIPB3AEEz9N8_eF3084</t>
        </is>
      </c>
      <c r="H855" t="inlineStr">
        <is>
          <t>web</t>
        </is>
      </c>
      <c r="I855" t="inlineStr">
        <is>
          <t>nl</t>
        </is>
      </c>
      <c r="J855" t="inlineStr">
        <is>
          <t>intl-nl</t>
        </is>
      </c>
      <c r="K855" t="b">
        <v>1</v>
      </c>
      <c r="L855" t="inlineStr">
        <is>
          <t>relevant</t>
        </is>
      </c>
      <c r="M855" t="inlineStr">
        <is>
          <t>relevant</t>
        </is>
      </c>
      <c r="N855" t="inlineStr">
        <is>
          <t>relevant</t>
        </is>
      </c>
      <c r="O855" t="inlineStr">
        <is>
          <t>relevant</t>
        </is>
      </c>
      <c r="P855" t="b">
        <v>1</v>
      </c>
    </row>
    <row r="856">
      <c r="A856" t="inlineStr">
        <is>
          <t>all about gag</t>
        </is>
      </c>
      <c r="B856" t="inlineStr">
        <is>
          <t>all about gag</t>
        </is>
      </c>
      <c r="C856" t="n">
        <v>702036011</v>
      </c>
      <c r="D856">
        <f>HYPERLINK("https://www.etsy.com/listing/702036011", "link")</f>
        <v/>
      </c>
      <c r="E856">
        <f>HYPERLINK("https://atlas.etsycorp.com/listing/702036011/lookup", "link")</f>
        <v/>
      </c>
      <c r="F856" t="inlineStr">
        <is>
          <t>Latex Muzzle Face Mask</t>
        </is>
      </c>
      <c r="G856" t="inlineStr">
        <is>
          <t>EuRBIfrs4K5WneIbQqeRETnzpief</t>
        </is>
      </c>
      <c r="H856" t="inlineStr">
        <is>
          <t>boe</t>
        </is>
      </c>
      <c r="I856" t="inlineStr">
        <is>
          <t>de</t>
        </is>
      </c>
      <c r="J856" t="inlineStr">
        <is>
          <t>intl-de</t>
        </is>
      </c>
      <c r="K856" t="b">
        <v>1</v>
      </c>
      <c r="L856" t="inlineStr">
        <is>
          <t>not_relevant</t>
        </is>
      </c>
      <c r="M856" t="inlineStr">
        <is>
          <t>partial</t>
        </is>
      </c>
      <c r="N856" t="inlineStr">
        <is>
          <t>not_relevant</t>
        </is>
      </c>
      <c r="O856" t="inlineStr">
        <is>
          <t>not_relevant</t>
        </is>
      </c>
      <c r="P856" t="b">
        <v>1</v>
      </c>
    </row>
    <row r="857">
      <c r="A857" t="inlineStr">
        <is>
          <t>unique gifts for her</t>
        </is>
      </c>
      <c r="B857" t="inlineStr"/>
      <c r="C857" t="n">
        <v>895632867</v>
      </c>
      <c r="D857">
        <f>HYPERLINK("https://www.etsy.com/listing/895632867", "link")</f>
        <v/>
      </c>
      <c r="E857">
        <f>HYPERLINK("https://atlas.etsycorp.com/listing/895632867/lookup", "link")</f>
        <v/>
      </c>
      <c r="F857" t="inlineStr">
        <is>
          <t>Handmade yin yang clay earrings, retro jewelry, indie aesthetic festival accessories, inspired 60s fashion, rave wear, unique gifts for her</t>
        </is>
      </c>
      <c r="G857" t="inlineStr">
        <is>
          <t>EuRtuPO0Y54UgVDOH-9tCeFAA5d8</t>
        </is>
      </c>
      <c r="H857" t="inlineStr">
        <is>
          <t>boe</t>
        </is>
      </c>
      <c r="I857" t="inlineStr">
        <is>
          <t>en-US</t>
        </is>
      </c>
      <c r="J857" t="inlineStr">
        <is>
          <t>us_v2-broad</t>
        </is>
      </c>
      <c r="K857" t="b">
        <v>1</v>
      </c>
      <c r="L857" t="inlineStr">
        <is>
          <t>relevant</t>
        </is>
      </c>
      <c r="M857" t="inlineStr">
        <is>
          <t>relevant</t>
        </is>
      </c>
      <c r="N857" t="inlineStr">
        <is>
          <t>relevant</t>
        </is>
      </c>
      <c r="O857" t="inlineStr">
        <is>
          <t>relevant</t>
        </is>
      </c>
      <c r="P857" t="b">
        <v>1</v>
      </c>
    </row>
    <row r="858">
      <c r="A858" t="inlineStr">
        <is>
          <t>worry worm knitting pattern</t>
        </is>
      </c>
      <c r="B858" t="inlineStr"/>
      <c r="C858" t="n">
        <v>1538910723</v>
      </c>
      <c r="D858">
        <f>HYPERLINK("https://www.etsy.com/listing/1538910723", "link")</f>
        <v/>
      </c>
      <c r="E858">
        <f>HYPERLINK("https://atlas.etsycorp.com/listing/1538910723/lookup", "link")</f>
        <v/>
      </c>
      <c r="F858" t="inlineStr">
        <is>
          <t>Personalised Children&amp;#39;s T-Shirts</t>
        </is>
      </c>
      <c r="G858" t="inlineStr">
        <is>
          <t>Eun3KRpLzahmla9RSrgRCyIHATb7</t>
        </is>
      </c>
      <c r="H858" t="inlineStr">
        <is>
          <t>boe</t>
        </is>
      </c>
      <c r="I858" t="inlineStr">
        <is>
          <t>en-US</t>
        </is>
      </c>
      <c r="J858" t="inlineStr">
        <is>
          <t>us_v2-direct_specified</t>
        </is>
      </c>
      <c r="K858" t="b">
        <v>1</v>
      </c>
      <c r="L858" t="inlineStr">
        <is>
          <t>not_relevant</t>
        </is>
      </c>
      <c r="M858" t="inlineStr">
        <is>
          <t>not_relevant</t>
        </is>
      </c>
      <c r="N858" t="inlineStr">
        <is>
          <t>not_relevant</t>
        </is>
      </c>
      <c r="O858" t="inlineStr">
        <is>
          <t>not_relevant</t>
        </is>
      </c>
      <c r="P858" t="b">
        <v>1</v>
      </c>
    </row>
    <row r="859">
      <c r="A859" t="inlineStr">
        <is>
          <t>alec monopoly</t>
        </is>
      </c>
      <c r="B859" t="inlineStr">
        <is>
          <t>alec monopoly</t>
        </is>
      </c>
      <c r="C859" t="n">
        <v>1693421700</v>
      </c>
      <c r="D859">
        <f>HYPERLINK("https://www.etsy.com/listing/1693421700", "link")</f>
        <v/>
      </c>
      <c r="E859">
        <f>HYPERLINK("https://atlas.etsycorp.com/listing/1693421700/lookup", "link")</f>
        <v/>
      </c>
      <c r="F859" t="inlineStr">
        <is>
          <t>Mickey boss art, fashion art, fashion poster, modern pop art , modern art pop art, hypebeast posters,motivational poster,motivational art,</t>
        </is>
      </c>
      <c r="G859" t="inlineStr">
        <is>
          <t>Euv4J3amWoOv7V2409NinRd37If1</t>
        </is>
      </c>
      <c r="H859" t="inlineStr">
        <is>
          <t>boe</t>
        </is>
      </c>
      <c r="I859" t="inlineStr">
        <is>
          <t>nl</t>
        </is>
      </c>
      <c r="J859" t="inlineStr">
        <is>
          <t>intl-nl</t>
        </is>
      </c>
      <c r="K859" t="b">
        <v>1</v>
      </c>
      <c r="L859" t="inlineStr">
        <is>
          <t>not_relevant</t>
        </is>
      </c>
      <c r="M859" t="inlineStr">
        <is>
          <t>not_relevant</t>
        </is>
      </c>
      <c r="N859" t="inlineStr">
        <is>
          <t>not_relevant</t>
        </is>
      </c>
      <c r="O859" t="inlineStr">
        <is>
          <t>not_relevant</t>
        </is>
      </c>
      <c r="P859" t="b">
        <v>1</v>
      </c>
    </row>
    <row r="860">
      <c r="A860" t="inlineStr">
        <is>
          <t>madonna tshirt women crop</t>
        </is>
      </c>
      <c r="B860" t="inlineStr"/>
      <c r="C860" t="n">
        <v>1174620563</v>
      </c>
      <c r="D860">
        <f>HYPERLINK("https://www.etsy.com/listing/1174620563", "link")</f>
        <v/>
      </c>
      <c r="E860">
        <f>HYPERLINK("https://atlas.etsycorp.com/listing/1174620563/lookup", "link")</f>
        <v/>
      </c>
      <c r="F860" t="inlineStr">
        <is>
          <t>Madonna &amp;quot;Fever&amp;quot; T-Shirt for Men/Women/Madonna T-Shirts- Polyester or 100% Cotton Option!</t>
        </is>
      </c>
      <c r="G860" t="inlineStr">
        <is>
          <t>EuZx83rqzgmmAfjHOOv9CEvVI-1f</t>
        </is>
      </c>
      <c r="H860" t="inlineStr">
        <is>
          <t>web</t>
        </is>
      </c>
      <c r="I860" t="inlineStr">
        <is>
          <t>en-US</t>
        </is>
      </c>
      <c r="J860" t="inlineStr">
        <is>
          <t>us_v2-direct_specified</t>
        </is>
      </c>
      <c r="K860" t="b">
        <v>1</v>
      </c>
      <c r="L860" t="inlineStr">
        <is>
          <t>relevant</t>
        </is>
      </c>
      <c r="M860" t="inlineStr">
        <is>
          <t>partial</t>
        </is>
      </c>
      <c r="N860" t="inlineStr">
        <is>
          <t>relevant</t>
        </is>
      </c>
      <c r="O860" t="inlineStr">
        <is>
          <t>relevant</t>
        </is>
      </c>
      <c r="P860" t="b">
        <v>1</v>
      </c>
    </row>
    <row r="861">
      <c r="A861" t="inlineStr">
        <is>
          <t>spiderman amigurumi</t>
        </is>
      </c>
      <c r="B861" t="inlineStr">
        <is>
          <t>spiderman amigurumi</t>
        </is>
      </c>
      <c r="C861" t="n">
        <v>1135773540</v>
      </c>
      <c r="D861">
        <f>HYPERLINK("https://www.etsy.com/listing/1135773540", "link")</f>
        <v/>
      </c>
      <c r="E861">
        <f>HYPERLINK("https://atlas.etsycorp.com/listing/1135773540/lookup", "link")</f>
        <v/>
      </c>
      <c r="F861" t="inlineStr">
        <is>
          <t>Amigurumi SpiderMan Pattern, Easy pattern, Amigurumi Toy Pattern, Birthday Gift, Newborn Gift, Kid&amp;#39;s Craft,  Organic Hand Knitted Toy</t>
        </is>
      </c>
      <c r="G861" t="inlineStr">
        <is>
          <t>EuPJS6VlIosJevaF5qQBj5oF1se1</t>
        </is>
      </c>
      <c r="H861" t="inlineStr">
        <is>
          <t>boe</t>
        </is>
      </c>
      <c r="I861" t="inlineStr">
        <is>
          <t>it</t>
        </is>
      </c>
      <c r="J861" t="inlineStr">
        <is>
          <t>intl-it</t>
        </is>
      </c>
      <c r="K861" t="b">
        <v>1</v>
      </c>
      <c r="L861" t="inlineStr">
        <is>
          <t>relevant</t>
        </is>
      </c>
      <c r="M861" t="inlineStr">
        <is>
          <t>relevant</t>
        </is>
      </c>
      <c r="N861" t="inlineStr">
        <is>
          <t>relevant</t>
        </is>
      </c>
      <c r="O861" t="inlineStr">
        <is>
          <t>relevant</t>
        </is>
      </c>
      <c r="P861" t="b">
        <v>1</v>
      </c>
    </row>
    <row r="862">
      <c r="A862" t="inlineStr">
        <is>
          <t>travel accessories</t>
        </is>
      </c>
      <c r="B862" t="inlineStr">
        <is>
          <t>Travel accessories</t>
        </is>
      </c>
      <c r="C862" t="n">
        <v>1247627174</v>
      </c>
      <c r="D862">
        <f>HYPERLINK("https://www.etsy.com/listing/1247627174", "link")</f>
        <v/>
      </c>
      <c r="E862">
        <f>HYPERLINK("https://atlas.etsycorp.com/listing/1247627174/lookup", "link")</f>
        <v/>
      </c>
      <c r="F862" t="inlineStr">
        <is>
          <t>Blanket Scarf, Linen Shawl Scarf, Summer wrap, Gift Idea For Her</t>
        </is>
      </c>
      <c r="G862" t="inlineStr">
        <is>
          <t>EuC25pa3wDRVwuglbb7sruhWQAb7</t>
        </is>
      </c>
      <c r="H862" t="inlineStr">
        <is>
          <t>boe</t>
        </is>
      </c>
      <c r="I862" t="inlineStr">
        <is>
          <t>ja</t>
        </is>
      </c>
      <c r="J862" t="inlineStr">
        <is>
          <t>intl-ja</t>
        </is>
      </c>
      <c r="K862" t="b">
        <v>1</v>
      </c>
      <c r="L862" t="inlineStr">
        <is>
          <t>partial</t>
        </is>
      </c>
      <c r="M862" t="inlineStr">
        <is>
          <t>relevant</t>
        </is>
      </c>
      <c r="N862" t="inlineStr">
        <is>
          <t>partial</t>
        </is>
      </c>
      <c r="O862" t="inlineStr">
        <is>
          <t>partial</t>
        </is>
      </c>
      <c r="P862" t="b">
        <v>1</v>
      </c>
    </row>
    <row r="863">
      <c r="A863" t="inlineStr">
        <is>
          <t>large La picture</t>
        </is>
      </c>
      <c r="B863" t="inlineStr"/>
      <c r="C863" t="n">
        <v>755340878</v>
      </c>
      <c r="D863">
        <f>HYPERLINK("https://www.etsy.com/listing/755340878", "link")</f>
        <v/>
      </c>
      <c r="E863">
        <f>HYPERLINK("https://atlas.etsycorp.com/listing/755340878/lookup", "link")</f>
        <v/>
      </c>
      <c r="F863" t="inlineStr">
        <is>
          <t>Greetings From Los Angeles California Vintage Postcard Style #1 - Digital Printable Download - Large Letter Antique Image Old Art Postcard</t>
        </is>
      </c>
      <c r="G863" t="inlineStr">
        <is>
          <t>Eu1P0eJfRD101xIc8th08Xto-p3f</t>
        </is>
      </c>
      <c r="H863" t="inlineStr">
        <is>
          <t>boe</t>
        </is>
      </c>
      <c r="I863" t="inlineStr">
        <is>
          <t>en-US</t>
        </is>
      </c>
      <c r="J863" t="inlineStr">
        <is>
          <t>us_v2-direct_specified</t>
        </is>
      </c>
      <c r="K863" t="b">
        <v>1</v>
      </c>
      <c r="L863" t="inlineStr">
        <is>
          <t>relevant</t>
        </is>
      </c>
      <c r="M863" t="inlineStr">
        <is>
          <t>relevant</t>
        </is>
      </c>
      <c r="N863" t="inlineStr">
        <is>
          <t>relevant</t>
        </is>
      </c>
      <c r="O863" t="inlineStr">
        <is>
          <t>relevant</t>
        </is>
      </c>
      <c r="P863" t="b">
        <v>1</v>
      </c>
    </row>
    <row r="864">
      <c r="A864" t="inlineStr">
        <is>
          <t>valentine chip bag</t>
        </is>
      </c>
      <c r="B864" t="inlineStr"/>
      <c r="C864" t="n">
        <v>1670947965</v>
      </c>
      <c r="D864">
        <f>HYPERLINK("https://www.etsy.com/listing/1670947965", "link")</f>
        <v/>
      </c>
      <c r="E864">
        <f>HYPERLINK("https://atlas.etsycorp.com/listing/1670947965/lookup", "link")</f>
        <v/>
      </c>
      <c r="F864" t="inlineStr">
        <is>
          <t>Ice Cream Valentines Gift Tags, Valentine&amp;#39;s Day Treat Bag Toppers, Valentine&amp;#39;s Day You Make Me Melt Cards</t>
        </is>
      </c>
      <c r="G864" t="inlineStr">
        <is>
          <t>EuUz8XB7hqnjk5_QSm8SHWbq-G18</t>
        </is>
      </c>
      <c r="H864" t="inlineStr">
        <is>
          <t>boe</t>
        </is>
      </c>
      <c r="I864" t="inlineStr">
        <is>
          <t>en-US</t>
        </is>
      </c>
      <c r="J864" t="inlineStr">
        <is>
          <t>us_v2-direct_unspecified</t>
        </is>
      </c>
      <c r="K864" t="b">
        <v>1</v>
      </c>
      <c r="L864" t="inlineStr">
        <is>
          <t>partial</t>
        </is>
      </c>
      <c r="M864" t="inlineStr">
        <is>
          <t>partial</t>
        </is>
      </c>
      <c r="N864" t="inlineStr">
        <is>
          <t>partial</t>
        </is>
      </c>
      <c r="O864" t="inlineStr">
        <is>
          <t>partial</t>
        </is>
      </c>
      <c r="P864" t="b">
        <v>1</v>
      </c>
    </row>
    <row r="865">
      <c r="A865" t="inlineStr">
        <is>
          <t>vitage fischer</t>
        </is>
      </c>
      <c r="B865" t="inlineStr">
        <is>
          <t>vitage fischer</t>
        </is>
      </c>
      <c r="C865" t="n">
        <v>1449747460</v>
      </c>
      <c r="D865">
        <f>HYPERLINK("https://www.etsy.com/listing/1449747460", "link")</f>
        <v/>
      </c>
      <c r="E865">
        <f>HYPERLINK("https://atlas.etsycorp.com/listing/1449747460/lookup", "link")</f>
        <v/>
      </c>
      <c r="F865" t="inlineStr">
        <is>
          <t>Personalized fishing lure for anglers | Fisherman | Perfect gift | 12 different lures to choose from | Ideal for birthday, Father&amp;#39;s Day</t>
        </is>
      </c>
      <c r="G865" t="inlineStr">
        <is>
          <t>EuiZIMfcG1WdgY45iGZikrMmrAa7</t>
        </is>
      </c>
      <c r="H865" t="inlineStr">
        <is>
          <t>web</t>
        </is>
      </c>
      <c r="I865" t="inlineStr">
        <is>
          <t>de</t>
        </is>
      </c>
      <c r="J865" t="inlineStr">
        <is>
          <t>intl-de</t>
        </is>
      </c>
      <c r="K865" t="b">
        <v>1</v>
      </c>
      <c r="L865" t="inlineStr">
        <is>
          <t>not_relevant</t>
        </is>
      </c>
      <c r="M865" t="inlineStr">
        <is>
          <t>relevant</t>
        </is>
      </c>
      <c r="N865" t="inlineStr">
        <is>
          <t>not_relevant</t>
        </is>
      </c>
      <c r="O865" t="inlineStr">
        <is>
          <t>not_relevant</t>
        </is>
      </c>
      <c r="P865" t="b">
        <v>1</v>
      </c>
    </row>
    <row r="866">
      <c r="A866" t="inlineStr">
        <is>
          <t>lisboa rosarios 4</t>
        </is>
      </c>
      <c r="B866" t="inlineStr">
        <is>
          <t>lisboa rosarios 4</t>
        </is>
      </c>
      <c r="C866" t="n">
        <v>1006581869</v>
      </c>
      <c r="D866">
        <f>HYPERLINK("https://www.etsy.com/listing/1006581869", "link")</f>
        <v/>
      </c>
      <c r="E866">
        <f>HYPERLINK("https://atlas.etsycorp.com/listing/1006581869/lookup", "link")</f>
        <v/>
      </c>
      <c r="F866" t="inlineStr">
        <is>
          <t>Crochet cotton yarn DROPS Loves you color pack 20x50 g, Baby yarn, Summer yarn, Soft cotton yarn, Knitting yarn, Amigurumi yarn</t>
        </is>
      </c>
      <c r="G866" t="inlineStr">
        <is>
          <t>EuQQYoFPkVTQIh86Kb68U-3tKIa7</t>
        </is>
      </c>
      <c r="H866" t="inlineStr">
        <is>
          <t>boe</t>
        </is>
      </c>
      <c r="I866" t="inlineStr">
        <is>
          <t>nl</t>
        </is>
      </c>
      <c r="J866" t="inlineStr">
        <is>
          <t>intl-nl</t>
        </is>
      </c>
      <c r="K866" t="b">
        <v>1</v>
      </c>
      <c r="L866" t="inlineStr">
        <is>
          <t>partial</t>
        </is>
      </c>
      <c r="M866" t="inlineStr">
        <is>
          <t>partial</t>
        </is>
      </c>
      <c r="N866" t="inlineStr">
        <is>
          <t>partial</t>
        </is>
      </c>
      <c r="O866" t="inlineStr">
        <is>
          <t>partial</t>
        </is>
      </c>
      <c r="P866" t="b">
        <v>1</v>
      </c>
    </row>
    <row r="867">
      <c r="A867" t="inlineStr">
        <is>
          <t>Rosalina hot</t>
        </is>
      </c>
      <c r="B867" t="inlineStr">
        <is>
          <t>Rosalina hot</t>
        </is>
      </c>
      <c r="C867" t="n">
        <v>1697896114</v>
      </c>
      <c r="D867">
        <f>HYPERLINK("https://www.etsy.com/listing/1697896114", "link")</f>
        <v/>
      </c>
      <c r="E867">
        <f>HYPERLINK("https://atlas.etsycorp.com/listing/1697896114/lookup", "link")</f>
        <v/>
      </c>
      <c r="F867" t="inlineStr">
        <is>
          <t>Nintendo Princesses - Keychain/Sticker/Button Charms</t>
        </is>
      </c>
      <c r="G867" t="inlineStr">
        <is>
          <t>EuRk-iADqUiYNJZ3FRqxjPKLuy64</t>
        </is>
      </c>
      <c r="H867" t="inlineStr">
        <is>
          <t>web</t>
        </is>
      </c>
      <c r="I867" t="inlineStr">
        <is>
          <t>es</t>
        </is>
      </c>
      <c r="J867" t="inlineStr">
        <is>
          <t>intl-es</t>
        </is>
      </c>
      <c r="K867" t="b">
        <v>1</v>
      </c>
      <c r="L867" t="inlineStr">
        <is>
          <t>partial</t>
        </is>
      </c>
      <c r="M867" t="inlineStr">
        <is>
          <t>partial</t>
        </is>
      </c>
      <c r="N867" t="inlineStr">
        <is>
          <t>partial</t>
        </is>
      </c>
      <c r="O867" t="inlineStr">
        <is>
          <t>partial</t>
        </is>
      </c>
      <c r="P867" t="b">
        <v>1</v>
      </c>
    </row>
    <row r="868">
      <c r="A868" t="inlineStr">
        <is>
          <t>earring</t>
        </is>
      </c>
      <c r="B868" t="inlineStr">
        <is>
          <t>Earrings</t>
        </is>
      </c>
      <c r="C868" t="n">
        <v>1522300758</v>
      </c>
      <c r="D868">
        <f>HYPERLINK("https://www.etsy.com/listing/1522300758", "link")</f>
        <v/>
      </c>
      <c r="E868">
        <f>HYPERLINK("https://atlas.etsycorp.com/listing/1522300758/lookup", "link")</f>
        <v/>
      </c>
      <c r="F868" t="inlineStr">
        <is>
          <t>Tiny Heart stud earrings - Dainty stud earrings - Sterling silver stud earrings</t>
        </is>
      </c>
      <c r="G868" t="inlineStr">
        <is>
          <t>Eu-z3uFpFrNOjl6b9xaYR_OjWj68</t>
        </is>
      </c>
      <c r="H868" t="inlineStr">
        <is>
          <t>web</t>
        </is>
      </c>
      <c r="I868" t="inlineStr">
        <is>
          <t>ja</t>
        </is>
      </c>
      <c r="J868" t="inlineStr">
        <is>
          <t>intl-ja</t>
        </is>
      </c>
      <c r="K868" t="b">
        <v>1</v>
      </c>
      <c r="L868" t="inlineStr">
        <is>
          <t>relevant</t>
        </is>
      </c>
      <c r="M868" t="inlineStr">
        <is>
          <t>relevant</t>
        </is>
      </c>
      <c r="N868" t="inlineStr">
        <is>
          <t>relevant</t>
        </is>
      </c>
      <c r="O868" t="inlineStr">
        <is>
          <t>relevant</t>
        </is>
      </c>
      <c r="P868" t="b">
        <v>1</v>
      </c>
    </row>
    <row r="869">
      <c r="A869" t="inlineStr">
        <is>
          <t>handmade clothing for women</t>
        </is>
      </c>
      <c r="B869" t="inlineStr"/>
      <c r="C869" t="n">
        <v>1259091982</v>
      </c>
      <c r="D869">
        <f>HYPERLINK("https://www.etsy.com/listing/1259091982", "link")</f>
        <v/>
      </c>
      <c r="E869">
        <f>HYPERLINK("https://atlas.etsycorp.com/listing/1259091982/lookup", "link")</f>
        <v/>
      </c>
      <c r="F869" t="inlineStr">
        <is>
          <t>Linen Loose Sleeveless Dress - Premium Linen Clothing for Women</t>
        </is>
      </c>
      <c r="G869" t="inlineStr">
        <is>
          <t>EurlrSY7Hc6-zBE0lytC7Hk5Zc41</t>
        </is>
      </c>
      <c r="H869" t="inlineStr">
        <is>
          <t>web</t>
        </is>
      </c>
      <c r="I869" t="inlineStr">
        <is>
          <t>en-US</t>
        </is>
      </c>
      <c r="J869" t="inlineStr">
        <is>
          <t>us_v2-direct_unspecified</t>
        </is>
      </c>
      <c r="K869" t="b">
        <v>1</v>
      </c>
      <c r="L869" t="inlineStr">
        <is>
          <t>partial</t>
        </is>
      </c>
      <c r="M869" t="inlineStr">
        <is>
          <t>partial</t>
        </is>
      </c>
      <c r="N869" t="inlineStr">
        <is>
          <t>partial</t>
        </is>
      </c>
      <c r="O869" t="inlineStr">
        <is>
          <t>partial</t>
        </is>
      </c>
      <c r="P869" t="b">
        <v>1</v>
      </c>
    </row>
    <row r="870">
      <c r="A870" t="inlineStr">
        <is>
          <t>mandala</t>
        </is>
      </c>
      <c r="B870" t="inlineStr">
        <is>
          <t>Mandala</t>
        </is>
      </c>
      <c r="C870" t="n">
        <v>1241756425</v>
      </c>
      <c r="D870">
        <f>HYPERLINK("https://www.etsy.com/listing/1241756425", "link")</f>
        <v/>
      </c>
      <c r="E870">
        <f>HYPERLINK("https://atlas.etsycorp.com/listing/1241756425/lookup", "link")</f>
        <v/>
      </c>
      <c r="F870" t="inlineStr">
        <is>
          <t>Butterfly Svg, Butterfly Mandala Svg, Butterfly Clipart, Mandala Svg, Butterfly Cricut, Butterfly Vector, Butterfly Cut file Png Pdf Eps Dxf</t>
        </is>
      </c>
      <c r="G870" t="inlineStr">
        <is>
          <t>Eu6qlfxdMsH7hXPoUjw1K5r0rR39</t>
        </is>
      </c>
      <c r="H870" t="inlineStr">
        <is>
          <t>boe</t>
        </is>
      </c>
      <c r="I870" t="inlineStr">
        <is>
          <t>ja</t>
        </is>
      </c>
      <c r="J870" t="inlineStr">
        <is>
          <t>intl-ja</t>
        </is>
      </c>
      <c r="K870" t="b">
        <v>1</v>
      </c>
      <c r="L870" t="inlineStr">
        <is>
          <t>relevant</t>
        </is>
      </c>
      <c r="M870" t="inlineStr">
        <is>
          <t>relevant</t>
        </is>
      </c>
      <c r="N870" t="inlineStr">
        <is>
          <t>relevant</t>
        </is>
      </c>
      <c r="O870" t="inlineStr">
        <is>
          <t>relevant</t>
        </is>
      </c>
      <c r="P870" t="b">
        <v>1</v>
      </c>
    </row>
    <row r="871">
      <c r="A871" t="inlineStr">
        <is>
          <t>st patrick gamer</t>
        </is>
      </c>
      <c r="B871" t="inlineStr"/>
      <c r="C871" t="n">
        <v>1671828982</v>
      </c>
      <c r="D871">
        <f>HYPERLINK("https://www.etsy.com/listing/1671828982", "link")</f>
        <v/>
      </c>
      <c r="E871">
        <f>HYPERLINK("https://atlas.etsycorp.com/listing/1671828982/lookup", "link")</f>
        <v/>
      </c>
      <c r="F871" t="inlineStr">
        <is>
          <t>Bluey st Patricks Png, Wee Little Hooligan Png, Happy St Patrick&amp;#39;s Day Png, Cartoon St Patrick&amp;#39;s Day, Saint Patrick&amp;#39;s Day, Shamrock Png</t>
        </is>
      </c>
      <c r="G871" t="inlineStr">
        <is>
          <t>EuG3h06IMAa4Mvy7E-G8chFtL-bf</t>
        </is>
      </c>
      <c r="H871" t="inlineStr">
        <is>
          <t>web</t>
        </is>
      </c>
      <c r="I871" t="inlineStr">
        <is>
          <t>en-US</t>
        </is>
      </c>
      <c r="J871" t="inlineStr">
        <is>
          <t>us_v2-broad</t>
        </is>
      </c>
      <c r="K871" t="b">
        <v>1</v>
      </c>
      <c r="L871" t="inlineStr">
        <is>
          <t>partial</t>
        </is>
      </c>
      <c r="M871" t="inlineStr">
        <is>
          <t>partial</t>
        </is>
      </c>
      <c r="N871" t="inlineStr">
        <is>
          <t>partial</t>
        </is>
      </c>
      <c r="O871" t="inlineStr">
        <is>
          <t>partial</t>
        </is>
      </c>
      <c r="P871" t="b">
        <v>1</v>
      </c>
    </row>
    <row r="872">
      <c r="A872" t="inlineStr">
        <is>
          <t>wood knot grippers</t>
        </is>
      </c>
      <c r="B872" t="inlineStr"/>
      <c r="C872" t="n">
        <v>748471321</v>
      </c>
      <c r="D872">
        <f>HYPERLINK("https://www.etsy.com/listing/748471321", "link")</f>
        <v/>
      </c>
      <c r="E872">
        <f>HYPERLINK("https://atlas.etsycorp.com/listing/748471321/lookup", "link")</f>
        <v/>
      </c>
      <c r="F872" t="inlineStr">
        <is>
          <t>Love Spell Pendant by Aran Coven</t>
        </is>
      </c>
      <c r="G872" t="inlineStr">
        <is>
          <t>EucDPf0NqVJjlpAKdILl1yns2Wca</t>
        </is>
      </c>
      <c r="H872" t="inlineStr">
        <is>
          <t>boe</t>
        </is>
      </c>
      <c r="I872" t="inlineStr">
        <is>
          <t>en-US</t>
        </is>
      </c>
      <c r="J872" t="inlineStr">
        <is>
          <t>us_v2-direct_unspecified</t>
        </is>
      </c>
      <c r="K872" t="b">
        <v>1</v>
      </c>
      <c r="L872" t="inlineStr">
        <is>
          <t>not_relevant</t>
        </is>
      </c>
      <c r="M872" t="inlineStr">
        <is>
          <t>not_relevant</t>
        </is>
      </c>
      <c r="N872" t="inlineStr">
        <is>
          <t>not_relevant</t>
        </is>
      </c>
      <c r="O872" t="inlineStr">
        <is>
          <t>not_relevant</t>
        </is>
      </c>
      <c r="P872" t="b">
        <v>1</v>
      </c>
    </row>
    <row r="873">
      <c r="A873" t="inlineStr">
        <is>
          <t>new jeans hat</t>
        </is>
      </c>
      <c r="B873" t="inlineStr"/>
      <c r="C873" t="n">
        <v>1613553997</v>
      </c>
      <c r="D873">
        <f>HYPERLINK("https://www.etsy.com/listing/1613553997", "link")</f>
        <v/>
      </c>
      <c r="E873">
        <f>HYPERLINK("https://atlas.etsycorp.com/listing/1613553997/lookup", "link")</f>
        <v/>
      </c>
      <c r="F873" t="inlineStr">
        <is>
          <t>PPG NWJNS / New Jeans Acrylic Keychain</t>
        </is>
      </c>
      <c r="G873" t="inlineStr">
        <is>
          <t>EuPCwwLIx4lu9dbvnFDnwpmk0y03</t>
        </is>
      </c>
      <c r="H873" t="inlineStr">
        <is>
          <t>web</t>
        </is>
      </c>
      <c r="I873" t="inlineStr">
        <is>
          <t>en-US</t>
        </is>
      </c>
      <c r="J873" t="inlineStr">
        <is>
          <t>us_v2-direct_specified</t>
        </is>
      </c>
      <c r="K873" t="b">
        <v>1</v>
      </c>
      <c r="L873" t="inlineStr">
        <is>
          <t>partial</t>
        </is>
      </c>
      <c r="M873" t="inlineStr">
        <is>
          <t>partial</t>
        </is>
      </c>
      <c r="N873" t="inlineStr">
        <is>
          <t>partial</t>
        </is>
      </c>
      <c r="O873" t="inlineStr">
        <is>
          <t>partial</t>
        </is>
      </c>
      <c r="P873" t="b">
        <v>1</v>
      </c>
    </row>
    <row r="874">
      <c r="A874" t="inlineStr">
        <is>
          <t>once upon a time in hollywood</t>
        </is>
      </c>
      <c r="B874" t="inlineStr">
        <is>
          <t>once upon a time in hollywood</t>
        </is>
      </c>
      <c r="C874" t="n">
        <v>1598027376</v>
      </c>
      <c r="D874">
        <f>HYPERLINK("https://www.etsy.com/listing/1598027376", "link")</f>
        <v/>
      </c>
      <c r="E874">
        <f>HYPERLINK("https://atlas.etsycorp.com/listing/1598027376/lookup", "link")</f>
        <v/>
      </c>
      <c r="F874" t="inlineStr">
        <is>
          <t>Arrivederci Quentin Tarantino Collectible Mug, Film Buff Gift Idea Gorlami Quentin Tarantino Mug</t>
        </is>
      </c>
      <c r="G874" t="inlineStr">
        <is>
          <t>EuJrFUxbdIJlvJpx16dyZ39Huydb</t>
        </is>
      </c>
      <c r="H874" t="inlineStr">
        <is>
          <t>web</t>
        </is>
      </c>
      <c r="I874" t="inlineStr">
        <is>
          <t>nl</t>
        </is>
      </c>
      <c r="J874" t="inlineStr">
        <is>
          <t>intl-nl</t>
        </is>
      </c>
      <c r="K874" t="b">
        <v>1</v>
      </c>
      <c r="L874" t="inlineStr">
        <is>
          <t>not_relevant</t>
        </is>
      </c>
      <c r="M874" t="inlineStr">
        <is>
          <t>not_relevant</t>
        </is>
      </c>
      <c r="N874" t="inlineStr">
        <is>
          <t>relevant</t>
        </is>
      </c>
      <c r="O874" t="inlineStr">
        <is>
          <t>not_relevant</t>
        </is>
      </c>
      <c r="P874" t="b">
        <v>1</v>
      </c>
    </row>
    <row r="875">
      <c r="A875" t="inlineStr">
        <is>
          <t>lego batman keychains</t>
        </is>
      </c>
      <c r="B875" t="inlineStr"/>
      <c r="C875" t="n">
        <v>1577591015</v>
      </c>
      <c r="D875">
        <f>HYPERLINK("https://www.etsy.com/listing/1577591015", "link")</f>
        <v/>
      </c>
      <c r="E875">
        <f>HYPERLINK("https://atlas.etsycorp.com/listing/1577591015/lookup", "link")</f>
        <v/>
      </c>
      <c r="F875" t="inlineStr">
        <is>
          <t>Connecting LEGO® Heart Keychain Set, Authentic LEGO® Bricks Keychains For 2, Friendship Keyring, Boyfriend Gift, Stocking Stuffer, Valentine</t>
        </is>
      </c>
      <c r="G875" t="inlineStr">
        <is>
          <t>EuTejN64jJycwD-bixZ_4dWgGZb5</t>
        </is>
      </c>
      <c r="H875" t="inlineStr">
        <is>
          <t>boe</t>
        </is>
      </c>
      <c r="I875" t="inlineStr">
        <is>
          <t>en-US</t>
        </is>
      </c>
      <c r="J875" t="inlineStr">
        <is>
          <t>us_v2-direct_specified</t>
        </is>
      </c>
      <c r="K875" t="b">
        <v>1</v>
      </c>
      <c r="L875" t="inlineStr">
        <is>
          <t>partial</t>
        </is>
      </c>
      <c r="M875" t="inlineStr">
        <is>
          <t>partial</t>
        </is>
      </c>
      <c r="N875" t="inlineStr">
        <is>
          <t>partial</t>
        </is>
      </c>
      <c r="O875" t="inlineStr">
        <is>
          <t>partial</t>
        </is>
      </c>
      <c r="P875" t="b">
        <v>1</v>
      </c>
    </row>
    <row r="876">
      <c r="A876" t="inlineStr">
        <is>
          <t>milk glass vanity set</t>
        </is>
      </c>
      <c r="B876" t="inlineStr"/>
      <c r="C876" t="n">
        <v>1577309155</v>
      </c>
      <c r="D876">
        <f>HYPERLINK("https://www.etsy.com/listing/1577309155", "link")</f>
        <v/>
      </c>
      <c r="E876">
        <f>HYPERLINK("https://atlas.etsycorp.com/listing/1577309155/lookup", "link")</f>
        <v/>
      </c>
      <c r="F876" t="inlineStr">
        <is>
          <t>Vintage Vanity Set Tray, Atomizer and Trinket Dish White Cushion Style Porcelain with Pearls</t>
        </is>
      </c>
      <c r="G876" t="inlineStr">
        <is>
          <t>Eu9ct9xgdyg_UniJEqsjNaeAee2f</t>
        </is>
      </c>
      <c r="H876" t="inlineStr">
        <is>
          <t>web</t>
        </is>
      </c>
      <c r="I876" t="inlineStr">
        <is>
          <t>en-US</t>
        </is>
      </c>
      <c r="J876" t="inlineStr">
        <is>
          <t>us_v2-direct_specified</t>
        </is>
      </c>
      <c r="K876" t="b">
        <v>1</v>
      </c>
      <c r="L876" t="inlineStr">
        <is>
          <t>partial</t>
        </is>
      </c>
      <c r="M876" t="inlineStr">
        <is>
          <t>partial</t>
        </is>
      </c>
      <c r="N876" t="inlineStr">
        <is>
          <t>partial</t>
        </is>
      </c>
      <c r="O876" t="inlineStr">
        <is>
          <t>partial</t>
        </is>
      </c>
      <c r="P876" t="b">
        <v>1</v>
      </c>
    </row>
    <row r="877">
      <c r="A877" t="inlineStr">
        <is>
          <t>sabonete coldprocess de alecrim</t>
        </is>
      </c>
      <c r="B877" t="inlineStr">
        <is>
          <t>rosemary coldprocess soap</t>
        </is>
      </c>
      <c r="C877" t="n">
        <v>935734580</v>
      </c>
      <c r="D877">
        <f>HYPERLINK("https://www.etsy.com/listing/935734580", "link")</f>
        <v/>
      </c>
      <c r="E877">
        <f>HYPERLINK("https://atlas.etsycorp.com/listing/935734580/lookup", "link")</f>
        <v/>
      </c>
      <c r="F877" t="inlineStr">
        <is>
          <t>Rosemary Soap</t>
        </is>
      </c>
      <c r="G877" t="inlineStr">
        <is>
          <t>EuIwnwqZeHLpkQ9VbZn2lCqMBRb0</t>
        </is>
      </c>
      <c r="H877" t="inlineStr">
        <is>
          <t>web</t>
        </is>
      </c>
      <c r="I877" t="inlineStr">
        <is>
          <t>pt</t>
        </is>
      </c>
      <c r="J877" t="inlineStr">
        <is>
          <t>intl-pt</t>
        </is>
      </c>
      <c r="K877" t="b">
        <v>1</v>
      </c>
      <c r="L877" t="inlineStr">
        <is>
          <t>partial</t>
        </is>
      </c>
      <c r="M877" t="inlineStr">
        <is>
          <t>partial</t>
        </is>
      </c>
      <c r="N877" t="inlineStr">
        <is>
          <t>partial</t>
        </is>
      </c>
      <c r="O877" t="inlineStr">
        <is>
          <t>partial</t>
        </is>
      </c>
      <c r="P877" t="b">
        <v>1</v>
      </c>
    </row>
    <row r="878">
      <c r="A878" t="inlineStr">
        <is>
          <t>CUERDA fujifilm xt5</t>
        </is>
      </c>
      <c r="B878" t="inlineStr">
        <is>
          <t>fujifilm xt5 ROPE</t>
        </is>
      </c>
      <c r="C878" t="n">
        <v>1452130088</v>
      </c>
      <c r="D878">
        <f>HYPERLINK("https://www.etsy.com/listing/1452130088", "link")</f>
        <v/>
      </c>
      <c r="E878">
        <f>HYPERLINK("https://atlas.etsycorp.com/listing/1452130088/lookup", "link")</f>
        <v/>
      </c>
      <c r="F878" t="inlineStr">
        <is>
          <t>X Bronze - Black Rope -Black Leather Camera Strap</t>
        </is>
      </c>
      <c r="G878" t="inlineStr">
        <is>
          <t>Eu_p5W6OpHYoP7bEeTYnq_kfMxdf</t>
        </is>
      </c>
      <c r="H878" t="inlineStr">
        <is>
          <t>web</t>
        </is>
      </c>
      <c r="I878" t="inlineStr">
        <is>
          <t>es</t>
        </is>
      </c>
      <c r="J878" t="inlineStr">
        <is>
          <t>intl-es</t>
        </is>
      </c>
      <c r="K878" t="b">
        <v>1</v>
      </c>
      <c r="L878" t="inlineStr">
        <is>
          <t>not_relevant</t>
        </is>
      </c>
      <c r="M878" t="inlineStr">
        <is>
          <t>not_relevant</t>
        </is>
      </c>
      <c r="N878" t="inlineStr">
        <is>
          <t>not_relevant</t>
        </is>
      </c>
      <c r="O878" t="inlineStr">
        <is>
          <t>partial</t>
        </is>
      </c>
      <c r="P878" t="b">
        <v>1</v>
      </c>
    </row>
    <row r="879">
      <c r="A879" t="inlineStr">
        <is>
          <t>mimi budget</t>
        </is>
      </c>
      <c r="B879" t="inlineStr">
        <is>
          <t>mini budget</t>
        </is>
      </c>
      <c r="C879" t="n">
        <v>1594856405</v>
      </c>
      <c r="D879">
        <f>HYPERLINK("https://www.etsy.com/listing/1594856405", "link")</f>
        <v/>
      </c>
      <c r="E879">
        <f>HYPERLINK("https://atlas.etsycorp.com/listing/1594856405/lookup", "link")</f>
        <v/>
      </c>
      <c r="F879" t="inlineStr">
        <is>
          <t>2024 budget challenge, savings and savings challenge, A6 budget envelopes</t>
        </is>
      </c>
      <c r="G879" t="inlineStr">
        <is>
          <t>EuxdLRzdwlGLwuiyTcQpW7bcD1e3</t>
        </is>
      </c>
      <c r="H879" t="inlineStr">
        <is>
          <t>web</t>
        </is>
      </c>
      <c r="I879" t="inlineStr">
        <is>
          <t>fr</t>
        </is>
      </c>
      <c r="J879" t="inlineStr">
        <is>
          <t>intl-fr</t>
        </is>
      </c>
      <c r="K879" t="b">
        <v>1</v>
      </c>
      <c r="L879" t="inlineStr">
        <is>
          <t>partial</t>
        </is>
      </c>
      <c r="M879" t="inlineStr">
        <is>
          <t>partial</t>
        </is>
      </c>
      <c r="N879" t="inlineStr">
        <is>
          <t>relevant</t>
        </is>
      </c>
      <c r="O879" t="inlineStr">
        <is>
          <t>partial</t>
        </is>
      </c>
      <c r="P879" t="b">
        <v>1</v>
      </c>
    </row>
    <row r="880">
      <c r="A880" t="inlineStr">
        <is>
          <t>s&amp;#39;well 보틀</t>
        </is>
      </c>
      <c r="B880" t="inlineStr"/>
      <c r="C880" t="n">
        <v>1340019940</v>
      </c>
      <c r="D880">
        <f>HYPERLINK("https://www.etsy.com/listing/1340019940", "link")</f>
        <v/>
      </c>
      <c r="E880">
        <f>HYPERLINK("https://atlas.etsycorp.com/listing/1340019940/lookup", "link")</f>
        <v/>
      </c>
      <c r="F880" t="inlineStr">
        <is>
          <t>Lock 64 Wood Puzzle, Siebenstein-Spiele, Wooden Puzzle, Brain Teaser, Game, Mechanical Puzzle, IQ Logic, 3D Puzzle, Lock Sixty Four</t>
        </is>
      </c>
      <c r="G880" t="inlineStr">
        <is>
          <t>EuHHW4t7Y_9h_zZDK3baP4uRXz57</t>
        </is>
      </c>
      <c r="H880" t="inlineStr">
        <is>
          <t>web</t>
        </is>
      </c>
      <c r="I880" t="inlineStr">
        <is>
          <t>en-US</t>
        </is>
      </c>
      <c r="J880" t="inlineStr">
        <is>
          <t>us_v2-broad</t>
        </is>
      </c>
      <c r="K880" t="b">
        <v>1</v>
      </c>
      <c r="L880" t="inlineStr">
        <is>
          <t>not_relevant</t>
        </is>
      </c>
      <c r="M880" t="inlineStr">
        <is>
          <t>not_relevant</t>
        </is>
      </c>
      <c r="N880" t="inlineStr">
        <is>
          <t>not_relevant</t>
        </is>
      </c>
      <c r="O880" t="inlineStr">
        <is>
          <t>not_relevant</t>
        </is>
      </c>
      <c r="P880" t="b">
        <v>1</v>
      </c>
    </row>
    <row r="881">
      <c r="A881" t="inlineStr">
        <is>
          <t>painted bible</t>
        </is>
      </c>
      <c r="B881" t="inlineStr"/>
      <c r="C881" t="n">
        <v>578631594</v>
      </c>
      <c r="D881">
        <f>HYPERLINK("https://www.etsy.com/listing/578631594", "link")</f>
        <v/>
      </c>
      <c r="E881">
        <f>HYPERLINK("https://atlas.etsycorp.com/listing/578631594/lookup", "link")</f>
        <v/>
      </c>
      <c r="F881" t="inlineStr">
        <is>
          <t>Hand Painted Bible- &amp;quot;Fully Custom&amp;quot; Free Shipping</t>
        </is>
      </c>
      <c r="G881" t="inlineStr">
        <is>
          <t>EuSiZcA6KT54O61plN8cOoj2JEe8</t>
        </is>
      </c>
      <c r="H881" t="inlineStr">
        <is>
          <t>web</t>
        </is>
      </c>
      <c r="I881" t="inlineStr">
        <is>
          <t>en-US</t>
        </is>
      </c>
      <c r="J881" t="inlineStr">
        <is>
          <t>us_v2-direct_specified</t>
        </is>
      </c>
      <c r="K881" t="b">
        <v>1</v>
      </c>
      <c r="L881" t="inlineStr">
        <is>
          <t>relevant</t>
        </is>
      </c>
      <c r="M881" t="inlineStr">
        <is>
          <t>relevant</t>
        </is>
      </c>
      <c r="N881" t="inlineStr">
        <is>
          <t>relevant</t>
        </is>
      </c>
      <c r="O881" t="inlineStr">
        <is>
          <t>relevant</t>
        </is>
      </c>
      <c r="P881" t="b">
        <v>1</v>
      </c>
    </row>
    <row r="882">
      <c r="A882" t="inlineStr">
        <is>
          <t>reverso strap</t>
        </is>
      </c>
      <c r="B882" t="inlineStr"/>
      <c r="C882" t="n">
        <v>1335766938</v>
      </c>
      <c r="D882">
        <f>HYPERLINK("https://www.etsy.com/listing/1335766938", "link")</f>
        <v/>
      </c>
      <c r="E882">
        <f>HYPERLINK("https://atlas.etsycorp.com/listing/1335766938/lookup", "link")</f>
        <v/>
      </c>
      <c r="F882" t="inlineStr">
        <is>
          <t>Sailcloth Black watch strap, waterproof, 17-24 mm. Black with black stitching.</t>
        </is>
      </c>
      <c r="G882" t="inlineStr">
        <is>
          <t>EuAb7D2ietp8fG6rAbLxtobNI3eb</t>
        </is>
      </c>
      <c r="H882" t="inlineStr">
        <is>
          <t>boe</t>
        </is>
      </c>
      <c r="I882" t="inlineStr">
        <is>
          <t>en-US</t>
        </is>
      </c>
      <c r="J882" t="inlineStr">
        <is>
          <t>us_v2-direct_unspecified</t>
        </is>
      </c>
      <c r="K882" t="b">
        <v>1</v>
      </c>
      <c r="L882" t="inlineStr">
        <is>
          <t>partial</t>
        </is>
      </c>
      <c r="M882" t="inlineStr">
        <is>
          <t>partial</t>
        </is>
      </c>
      <c r="N882" t="inlineStr">
        <is>
          <t>partial</t>
        </is>
      </c>
      <c r="O882" t="inlineStr">
        <is>
          <t>partial</t>
        </is>
      </c>
      <c r="P882" t="b">
        <v>1</v>
      </c>
    </row>
    <row r="883">
      <c r="A883" t="inlineStr">
        <is>
          <t>continuos light</t>
        </is>
      </c>
      <c r="B883" t="inlineStr">
        <is>
          <t>continuous light</t>
        </is>
      </c>
      <c r="C883" t="n">
        <v>1730438254</v>
      </c>
      <c r="D883">
        <f>HYPERLINK("https://www.etsy.com/listing/1730438254", "link")</f>
        <v/>
      </c>
      <c r="E883">
        <f>HYPERLINK("https://atlas.etsycorp.com/listing/1730438254/lookup", "link")</f>
        <v/>
      </c>
      <c r="F883" t="inlineStr">
        <is>
          <t>Yellow Closed Ended Zipper for Clothes Bright Yellow Zip Nylon Zip Fastner Lemon Yellow Sewing Zipper Light Yellow Zip for bag Nylon Closed</t>
        </is>
      </c>
      <c r="G883" t="inlineStr">
        <is>
          <t>EucBiiE4X2gADwrRpy3vMocAgzdc</t>
        </is>
      </c>
      <c r="H883" t="inlineStr">
        <is>
          <t>web</t>
        </is>
      </c>
      <c r="I883" t="inlineStr">
        <is>
          <t>it</t>
        </is>
      </c>
      <c r="J883" t="inlineStr">
        <is>
          <t>intl-it</t>
        </is>
      </c>
      <c r="K883" t="b">
        <v>1</v>
      </c>
      <c r="L883" t="inlineStr">
        <is>
          <t>not_relevant</t>
        </is>
      </c>
      <c r="M883" t="inlineStr">
        <is>
          <t>partial</t>
        </is>
      </c>
      <c r="N883" t="inlineStr">
        <is>
          <t>not_relevant</t>
        </is>
      </c>
      <c r="O883" t="inlineStr">
        <is>
          <t>not_relevant</t>
        </is>
      </c>
      <c r="P883" t="b">
        <v>1</v>
      </c>
    </row>
    <row r="884">
      <c r="A884" t="inlineStr">
        <is>
          <t>bracelet personnalisé</t>
        </is>
      </c>
      <c r="B884" t="inlineStr">
        <is>
          <t>personalized bracelet</t>
        </is>
      </c>
      <c r="C884" t="n">
        <v>1270803531</v>
      </c>
      <c r="D884">
        <f>HYPERLINK("https://www.etsy.com/listing/1270803531", "link")</f>
        <v/>
      </c>
      <c r="E884">
        <f>HYPERLINK("https://atlas.etsycorp.com/listing/1270803531/lookup", "link")</f>
        <v/>
      </c>
      <c r="F884" t="inlineStr">
        <is>
          <t>Flower candle customizable message, guest gifts, place marker, wedding, baptism, bridesmaid, nanny, announcement, mistress, mother</t>
        </is>
      </c>
      <c r="G884" t="inlineStr">
        <is>
          <t>Eu_Qf9SZmvc_0jmwgPaVH3rTPw12</t>
        </is>
      </c>
      <c r="H884" t="inlineStr">
        <is>
          <t>web</t>
        </is>
      </c>
      <c r="I884" t="inlineStr">
        <is>
          <t>fr</t>
        </is>
      </c>
      <c r="J884" t="inlineStr">
        <is>
          <t>intl-fr</t>
        </is>
      </c>
      <c r="K884" t="b">
        <v>1</v>
      </c>
      <c r="L884" t="inlineStr">
        <is>
          <t>not_relevant</t>
        </is>
      </c>
      <c r="M884" t="inlineStr">
        <is>
          <t>not_relevant</t>
        </is>
      </c>
      <c r="N884" t="inlineStr">
        <is>
          <t>not_relevant</t>
        </is>
      </c>
      <c r="O884" t="inlineStr">
        <is>
          <t>not_relevant</t>
        </is>
      </c>
      <c r="P884" t="b">
        <v>1</v>
      </c>
    </row>
    <row r="885">
      <c r="A885" t="inlineStr">
        <is>
          <t>heart bracelet with diamond</t>
        </is>
      </c>
      <c r="B885" t="inlineStr"/>
      <c r="C885" t="n">
        <v>1093389367</v>
      </c>
      <c r="D885">
        <f>HYPERLINK("https://www.etsy.com/listing/1093389367", "link")</f>
        <v/>
      </c>
      <c r="E885">
        <f>HYPERLINK("https://atlas.etsycorp.com/listing/1093389367/lookup", "link")</f>
        <v/>
      </c>
      <c r="F885" t="inlineStr">
        <is>
          <t>4.7mm Princess Cut Square Tennis Bracelet Real Sterling Silver 925 7&amp;quot;</t>
        </is>
      </c>
      <c r="G885" t="inlineStr">
        <is>
          <t>EuTnppsyAw1VyU9BCbTcd1I7Ta8b</t>
        </is>
      </c>
      <c r="H885" t="inlineStr">
        <is>
          <t>web</t>
        </is>
      </c>
      <c r="I885" t="inlineStr">
        <is>
          <t>en-GB</t>
        </is>
      </c>
      <c r="J885" t="inlineStr">
        <is>
          <t>us_v2-direct_specified</t>
        </is>
      </c>
      <c r="K885" t="b">
        <v>1</v>
      </c>
      <c r="L885" t="inlineStr">
        <is>
          <t>partial</t>
        </is>
      </c>
      <c r="M885" t="inlineStr">
        <is>
          <t>partial</t>
        </is>
      </c>
      <c r="N885" t="inlineStr">
        <is>
          <t>partial</t>
        </is>
      </c>
      <c r="O885" t="inlineStr">
        <is>
          <t>partial</t>
        </is>
      </c>
      <c r="P885" t="b">
        <v>1</v>
      </c>
    </row>
    <row r="886">
      <c r="A886" t="inlineStr">
        <is>
          <t>printable personal prescription</t>
        </is>
      </c>
      <c r="B886" t="inlineStr">
        <is>
          <t>printable personal prescription</t>
        </is>
      </c>
      <c r="C886" t="n">
        <v>1162067546</v>
      </c>
      <c r="D886">
        <f>HYPERLINK("https://www.etsy.com/listing/1162067546", "link")</f>
        <v/>
      </c>
      <c r="E886">
        <f>HYPERLINK("https://atlas.etsycorp.com/listing/1162067546/lookup", "link")</f>
        <v/>
      </c>
      <c r="F886" t="inlineStr">
        <is>
          <t>Medication Log | Personal Printable Planner Inserts | Medicine Tracker | Supplements Pill List | Vitamin Intake Sheet PDF | Digital Download</t>
        </is>
      </c>
      <c r="G886" t="inlineStr">
        <is>
          <t>Euar5cQZXnijZESBaihGbynw1cca</t>
        </is>
      </c>
      <c r="H886" t="inlineStr">
        <is>
          <t>web</t>
        </is>
      </c>
      <c r="I886" t="inlineStr">
        <is>
          <t>nl</t>
        </is>
      </c>
      <c r="J886" t="inlineStr">
        <is>
          <t>intl-nl</t>
        </is>
      </c>
      <c r="K886" t="b">
        <v>1</v>
      </c>
      <c r="L886" t="inlineStr">
        <is>
          <t>relevant</t>
        </is>
      </c>
      <c r="M886" t="inlineStr">
        <is>
          <t>relevant</t>
        </is>
      </c>
      <c r="N886" t="inlineStr">
        <is>
          <t>relevant</t>
        </is>
      </c>
      <c r="O886" t="inlineStr">
        <is>
          <t>relevant</t>
        </is>
      </c>
      <c r="P886" t="b">
        <v>1</v>
      </c>
    </row>
    <row r="887">
      <c r="A887" t="inlineStr">
        <is>
          <t>sidewalk sign</t>
        </is>
      </c>
      <c r="B887" t="inlineStr">
        <is>
          <t>sidewalk sign</t>
        </is>
      </c>
      <c r="C887" t="n">
        <v>1664264845</v>
      </c>
      <c r="D887">
        <f>HYPERLINK("https://www.etsy.com/listing/1664264845", "link")</f>
        <v/>
      </c>
      <c r="E887">
        <f>HYPERLINK("https://atlas.etsycorp.com/listing/1664264845/lookup", "link")</f>
        <v/>
      </c>
      <c r="F887" t="inlineStr">
        <is>
          <t>Editable Sidewalk Sign, A-Frame Sign, QR Code Business Sign, Editable Large Business Sign, Editable Sandwich Board, Business Pop Up Sign</t>
        </is>
      </c>
      <c r="G887" t="inlineStr">
        <is>
          <t>Eu37fAT6VvhP0b8MP3KPzhn8p7e1</t>
        </is>
      </c>
      <c r="H887" t="inlineStr">
        <is>
          <t>web</t>
        </is>
      </c>
      <c r="I887" t="inlineStr">
        <is>
          <t>nl</t>
        </is>
      </c>
      <c r="J887" t="inlineStr">
        <is>
          <t>intl-nl</t>
        </is>
      </c>
      <c r="K887" t="b">
        <v>1</v>
      </c>
      <c r="L887" t="inlineStr">
        <is>
          <t>relevant</t>
        </is>
      </c>
      <c r="M887" t="inlineStr">
        <is>
          <t>relevant</t>
        </is>
      </c>
      <c r="N887" t="inlineStr">
        <is>
          <t>relevant</t>
        </is>
      </c>
      <c r="O887" t="inlineStr">
        <is>
          <t>relevant</t>
        </is>
      </c>
      <c r="P887" t="b">
        <v>1</v>
      </c>
    </row>
    <row r="888">
      <c r="A888" t="inlineStr">
        <is>
          <t>mushroom mold</t>
        </is>
      </c>
      <c r="B888" t="inlineStr"/>
      <c r="C888" t="n">
        <v>951094238</v>
      </c>
      <c r="D888">
        <f>HYPERLINK("https://www.etsy.com/listing/951094238", "link")</f>
        <v/>
      </c>
      <c r="E888">
        <f>HYPERLINK("https://atlas.etsycorp.com/listing/951094238/lookup", "link")</f>
        <v/>
      </c>
      <c r="F888" t="inlineStr">
        <is>
          <t>Mini Mini Cinnamon Buns Soap &amp; Candle Mold - 12 cavities</t>
        </is>
      </c>
      <c r="G888" t="inlineStr">
        <is>
          <t>Eu7YJerKwfBeXQKyK4IMIgqwOD52</t>
        </is>
      </c>
      <c r="H888" t="inlineStr">
        <is>
          <t>boe</t>
        </is>
      </c>
      <c r="I888" t="inlineStr">
        <is>
          <t>en-US</t>
        </is>
      </c>
      <c r="J888" t="inlineStr">
        <is>
          <t>us_v2-direct_unspecified</t>
        </is>
      </c>
      <c r="K888" t="b">
        <v>1</v>
      </c>
      <c r="L888" t="inlineStr">
        <is>
          <t>partial</t>
        </is>
      </c>
      <c r="M888" t="inlineStr">
        <is>
          <t>partial</t>
        </is>
      </c>
      <c r="N888" t="inlineStr">
        <is>
          <t>partial</t>
        </is>
      </c>
      <c r="O888" t="inlineStr">
        <is>
          <t>partial</t>
        </is>
      </c>
      <c r="P888" t="b">
        <v>1</v>
      </c>
    </row>
    <row r="889">
      <c r="A889" t="inlineStr">
        <is>
          <t>library enamel pin set</t>
        </is>
      </c>
      <c r="B889" t="inlineStr"/>
      <c r="C889" t="n">
        <v>1268890951</v>
      </c>
      <c r="D889">
        <f>HYPERLINK("https://www.etsy.com/listing/1268890951", "link")</f>
        <v/>
      </c>
      <c r="E889">
        <f>HYPERLINK("https://atlas.etsycorp.com/listing/1268890951/lookup", "link")</f>
        <v/>
      </c>
      <c r="F889" t="inlineStr">
        <is>
          <t>One More Chapter Book Lover Enamel Pin Funny Bookish Enamel Pins Cute Pin Jacket Pins Aesthetic Pins Lapel Pin Pins</t>
        </is>
      </c>
      <c r="G889" t="inlineStr">
        <is>
          <t>EuXv483l81tenM1yvDfWGi2-CKef</t>
        </is>
      </c>
      <c r="H889" t="inlineStr">
        <is>
          <t>web</t>
        </is>
      </c>
      <c r="I889" t="inlineStr">
        <is>
          <t>en-US</t>
        </is>
      </c>
      <c r="J889" t="inlineStr">
        <is>
          <t>us_v2-direct_specified</t>
        </is>
      </c>
      <c r="K889" t="b">
        <v>1</v>
      </c>
      <c r="L889" t="inlineStr">
        <is>
          <t>partial</t>
        </is>
      </c>
      <c r="M889" t="inlineStr">
        <is>
          <t>partial</t>
        </is>
      </c>
      <c r="N889" t="inlineStr">
        <is>
          <t>partial</t>
        </is>
      </c>
      <c r="O889" t="inlineStr">
        <is>
          <t>relevant</t>
        </is>
      </c>
      <c r="P889" t="b">
        <v>1</v>
      </c>
    </row>
    <row r="890">
      <c r="A890" t="inlineStr">
        <is>
          <t>botão de volume de teclado</t>
        </is>
      </c>
      <c r="B890" t="inlineStr">
        <is>
          <t>keyboard volume button</t>
        </is>
      </c>
      <c r="C890" t="n">
        <v>1656233084</v>
      </c>
      <c r="D890">
        <f>HYPERLINK("https://www.etsy.com/listing/1656233084", "link")</f>
        <v/>
      </c>
      <c r="E890">
        <f>HYPERLINK("https://atlas.etsycorp.com/listing/1656233084/lookup", "link")</f>
        <v/>
      </c>
      <c r="F890" t="inlineStr">
        <is>
          <t>Norse Knob V2 [Translucent]</t>
        </is>
      </c>
      <c r="G890" t="inlineStr">
        <is>
          <t>Eu343zkq6rVPjoRi5MONK6xwoCa1</t>
        </is>
      </c>
      <c r="H890" t="inlineStr">
        <is>
          <t>web</t>
        </is>
      </c>
      <c r="I890" t="inlineStr">
        <is>
          <t>pt</t>
        </is>
      </c>
      <c r="J890" t="inlineStr">
        <is>
          <t>intl-pt</t>
        </is>
      </c>
      <c r="K890" t="b">
        <v>1</v>
      </c>
      <c r="L890" t="inlineStr">
        <is>
          <t>partial</t>
        </is>
      </c>
      <c r="M890" t="inlineStr">
        <is>
          <t>partial</t>
        </is>
      </c>
      <c r="N890" t="inlineStr">
        <is>
          <t>not_relevant</t>
        </is>
      </c>
      <c r="O890" t="inlineStr">
        <is>
          <t>partial</t>
        </is>
      </c>
      <c r="P890" t="b">
        <v>1</v>
      </c>
    </row>
    <row r="891">
      <c r="A891" t="inlineStr">
        <is>
          <t>nu-identity svg</t>
        </is>
      </c>
      <c r="B891" t="inlineStr"/>
      <c r="C891" t="n">
        <v>1561612721</v>
      </c>
      <c r="D891">
        <f>HYPERLINK("https://www.etsy.com/listing/1561612721", "link")</f>
        <v/>
      </c>
      <c r="E891">
        <f>HYPERLINK("https://atlas.etsycorp.com/listing/1561612721/lookup", "link")</f>
        <v/>
      </c>
      <c r="F891" t="inlineStr">
        <is>
          <t>Anteaters SVG, Football Team SVG, Collage, Game Day, Basketball, California Irvine, Mom, Ready For Cricut, Instant Download.</t>
        </is>
      </c>
      <c r="G891" t="inlineStr">
        <is>
          <t>EueYXfn5RTRW1_PJq_tyfDFfXi92</t>
        </is>
      </c>
      <c r="H891" t="inlineStr">
        <is>
          <t>boe</t>
        </is>
      </c>
      <c r="I891" t="inlineStr">
        <is>
          <t>en-US</t>
        </is>
      </c>
      <c r="J891" t="inlineStr">
        <is>
          <t>us_v2-direct_specified</t>
        </is>
      </c>
      <c r="K891" t="b">
        <v>1</v>
      </c>
      <c r="L891" t="inlineStr">
        <is>
          <t>partial</t>
        </is>
      </c>
      <c r="M891" t="inlineStr">
        <is>
          <t>partial</t>
        </is>
      </c>
      <c r="N891" t="inlineStr">
        <is>
          <t>partial</t>
        </is>
      </c>
      <c r="O891" t="inlineStr">
        <is>
          <t>partial</t>
        </is>
      </c>
      <c r="P891" t="b">
        <v>1</v>
      </c>
    </row>
    <row r="892">
      <c r="A892" t="inlineStr">
        <is>
          <t>coltello chef</t>
        </is>
      </c>
      <c r="B892" t="inlineStr">
        <is>
          <t>chef knife</t>
        </is>
      </c>
      <c r="C892" t="n">
        <v>1541516143</v>
      </c>
      <c r="D892">
        <f>HYPERLINK("https://www.etsy.com/listing/1541516143", "link")</f>
        <v/>
      </c>
      <c r="E892">
        <f>HYPERLINK("https://atlas.etsycorp.com/listing/1541516143/lookup", "link")</f>
        <v/>
      </c>
      <c r="F892" t="inlineStr">
        <is>
          <t>Damascus Japanese Style 16.5cm / 6.5 inch NAKIRI Vegetable Knife - Extra Sharp &amp; light || Autumn Edition</t>
        </is>
      </c>
      <c r="G892" t="inlineStr">
        <is>
          <t>Eup1_lOYRWwHK_3_C_w5G8wZxs6c</t>
        </is>
      </c>
      <c r="H892" t="inlineStr">
        <is>
          <t>web</t>
        </is>
      </c>
      <c r="I892" t="inlineStr">
        <is>
          <t>it</t>
        </is>
      </c>
      <c r="J892" t="inlineStr">
        <is>
          <t>intl-it</t>
        </is>
      </c>
      <c r="K892" t="b">
        <v>1</v>
      </c>
      <c r="L892" t="inlineStr">
        <is>
          <t>partial</t>
        </is>
      </c>
      <c r="M892" t="inlineStr">
        <is>
          <t>partial</t>
        </is>
      </c>
      <c r="N892" t="inlineStr">
        <is>
          <t>partial</t>
        </is>
      </c>
      <c r="O892" t="inlineStr">
        <is>
          <t>partial</t>
        </is>
      </c>
      <c r="P892" t="b">
        <v>1</v>
      </c>
    </row>
    <row r="893">
      <c r="A893" t="inlineStr">
        <is>
          <t>logo R300</t>
        </is>
      </c>
      <c r="B893" t="inlineStr">
        <is>
          <t>R300 logo</t>
        </is>
      </c>
      <c r="C893" t="n">
        <v>782354716</v>
      </c>
      <c r="D893">
        <f>HYPERLINK("https://www.etsy.com/listing/782354716", "link")</f>
        <v/>
      </c>
      <c r="E893">
        <f>HYPERLINK("https://atlas.etsycorp.com/listing/782354716/lookup", "link")</f>
        <v/>
      </c>
      <c r="F893" t="inlineStr">
        <is>
          <t>t300 t300rs tx tmx pro custom wheel adapter for thrustmaster simracing with stainless steel screw &amp; nuts</t>
        </is>
      </c>
      <c r="G893" t="inlineStr">
        <is>
          <t>Eu5EDdHf9cx304iu67_tohDrBb63</t>
        </is>
      </c>
      <c r="H893" t="inlineStr">
        <is>
          <t>boe</t>
        </is>
      </c>
      <c r="I893" t="inlineStr">
        <is>
          <t>fr</t>
        </is>
      </c>
      <c r="J893" t="inlineStr">
        <is>
          <t>intl-fr</t>
        </is>
      </c>
      <c r="K893" t="b">
        <v>1</v>
      </c>
      <c r="L893" t="inlineStr">
        <is>
          <t>not_relevant</t>
        </is>
      </c>
      <c r="M893" t="inlineStr">
        <is>
          <t>not_relevant</t>
        </is>
      </c>
      <c r="N893" t="inlineStr">
        <is>
          <t>not_relevant</t>
        </is>
      </c>
      <c r="O893" t="inlineStr">
        <is>
          <t>not_relevant</t>
        </is>
      </c>
      <c r="P893" t="b">
        <v>1</v>
      </c>
    </row>
    <row r="894">
      <c r="A894" t="inlineStr">
        <is>
          <t>ganci in gerro</t>
        </is>
      </c>
      <c r="B894" t="inlineStr">
        <is>
          <t>Gerro hooks</t>
        </is>
      </c>
      <c r="C894" t="n">
        <v>1032691772</v>
      </c>
      <c r="D894">
        <f>HYPERLINK("https://www.etsy.com/listing/1032691772", "link")</f>
        <v/>
      </c>
      <c r="E894">
        <f>HYPERLINK("https://atlas.etsycorp.com/listing/1032691772/lookup", "link")</f>
        <v/>
      </c>
      <c r="F894" t="inlineStr">
        <is>
          <t>Bath towel hooks circle wall hook modern hand towels hanger for bathroom rack storage Wall Mount- Circle</t>
        </is>
      </c>
      <c r="G894" t="inlineStr">
        <is>
          <t>Euc_KTDF4h2Y-n87JJb1EYQCWj63</t>
        </is>
      </c>
      <c r="H894" t="inlineStr">
        <is>
          <t>web</t>
        </is>
      </c>
      <c r="I894" t="inlineStr">
        <is>
          <t>it</t>
        </is>
      </c>
      <c r="J894" t="inlineStr">
        <is>
          <t>intl-it</t>
        </is>
      </c>
      <c r="K894" t="b">
        <v>1</v>
      </c>
      <c r="L894" t="inlineStr">
        <is>
          <t>partial</t>
        </is>
      </c>
      <c r="M894" t="inlineStr">
        <is>
          <t>partial</t>
        </is>
      </c>
      <c r="N894" t="inlineStr">
        <is>
          <t>relevant</t>
        </is>
      </c>
      <c r="O894" t="inlineStr">
        <is>
          <t>partial</t>
        </is>
      </c>
      <c r="P894" t="b">
        <v>1</v>
      </c>
    </row>
    <row r="895">
      <c r="A895" t="inlineStr">
        <is>
          <t>delica star wagon</t>
        </is>
      </c>
      <c r="B895" t="inlineStr"/>
      <c r="C895" t="n">
        <v>1366713435</v>
      </c>
      <c r="D895">
        <f>HYPERLINK("https://www.etsy.com/listing/1366713435", "link")</f>
        <v/>
      </c>
      <c r="E895">
        <f>HYPERLINK("https://atlas.etsycorp.com/listing/1366713435/lookup", "link")</f>
        <v/>
      </c>
      <c r="F895" t="inlineStr">
        <is>
          <t>24 Inch Rustic Black Wood &amp; Metal Wagon Cart Style Plant Stand</t>
        </is>
      </c>
      <c r="G895" t="inlineStr">
        <is>
          <t>EuzPA0J9dl8Ll3CcqXcEcgk25k37</t>
        </is>
      </c>
      <c r="H895" t="inlineStr">
        <is>
          <t>web</t>
        </is>
      </c>
      <c r="I895" t="inlineStr">
        <is>
          <t>en-US</t>
        </is>
      </c>
      <c r="J895" t="inlineStr">
        <is>
          <t>us_v2-direct_specified</t>
        </is>
      </c>
      <c r="K895" t="b">
        <v>1</v>
      </c>
      <c r="L895" t="inlineStr">
        <is>
          <t>not_relevant</t>
        </is>
      </c>
      <c r="M895" t="inlineStr">
        <is>
          <t>not_relevant</t>
        </is>
      </c>
      <c r="N895" t="inlineStr">
        <is>
          <t>not_relevant</t>
        </is>
      </c>
      <c r="O895" t="inlineStr">
        <is>
          <t>not_relevant</t>
        </is>
      </c>
      <c r="P895" t="b">
        <v>1</v>
      </c>
    </row>
    <row r="896">
      <c r="A896" t="inlineStr">
        <is>
          <t>best holiday gifts</t>
        </is>
      </c>
      <c r="B896" t="inlineStr"/>
      <c r="C896" t="n">
        <v>582065969</v>
      </c>
      <c r="D896">
        <f>HYPERLINK("https://www.etsy.com/listing/582065969", "link")</f>
        <v/>
      </c>
      <c r="E896">
        <f>HYPERLINK("https://atlas.etsycorp.com/listing/582065969/lookup", "link")</f>
        <v/>
      </c>
      <c r="F896" t="inlineStr">
        <is>
          <t>Heeey Yoooo Daaaad! Card | Goonies Inspired Father&amp;#39;s Day Card | Funny Father&amp;#39;s Day Card | Hey You Guys | Unique Father&amp;#39;s Day Card</t>
        </is>
      </c>
      <c r="G896" t="inlineStr">
        <is>
          <t>Eugn72m8-Vwgvtb3yLrYqUgclF41</t>
        </is>
      </c>
      <c r="H896" t="inlineStr">
        <is>
          <t>boe</t>
        </is>
      </c>
      <c r="I896" t="inlineStr">
        <is>
          <t>en-US</t>
        </is>
      </c>
      <c r="J896" t="inlineStr">
        <is>
          <t>us_v2-broad</t>
        </is>
      </c>
      <c r="K896" t="b">
        <v>1</v>
      </c>
      <c r="L896" t="inlineStr">
        <is>
          <t>not_relevant</t>
        </is>
      </c>
      <c r="M896" t="inlineStr">
        <is>
          <t>not_relevant</t>
        </is>
      </c>
      <c r="N896" t="inlineStr">
        <is>
          <t>not_relevant</t>
        </is>
      </c>
      <c r="O896" t="inlineStr">
        <is>
          <t>not_relevant</t>
        </is>
      </c>
      <c r="P896" t="b">
        <v>1</v>
      </c>
    </row>
    <row r="897">
      <c r="A897" t="inlineStr">
        <is>
          <t>10 euro cent</t>
        </is>
      </c>
      <c r="B897" t="inlineStr">
        <is>
          <t>10 euro cents</t>
        </is>
      </c>
      <c r="C897" t="n">
        <v>1754583953</v>
      </c>
      <c r="D897">
        <f>HYPERLINK("https://www.etsy.com/listing/1754583953", "link")</f>
        <v/>
      </c>
      <c r="E897">
        <f>HYPERLINK("https://atlas.etsycorp.com/listing/1754583953/lookup", "link")</f>
        <v/>
      </c>
      <c r="F897" t="inlineStr">
        <is>
          <t>1 EUR Coin GERMANY 2002 RARE Unity and Justice and Freedom *Precious Collection*</t>
        </is>
      </c>
      <c r="G897" t="inlineStr">
        <is>
          <t>EuowA--1Z8EAm_C6hp9R-HS0fId3</t>
        </is>
      </c>
      <c r="H897" t="inlineStr">
        <is>
          <t>web</t>
        </is>
      </c>
      <c r="I897" t="inlineStr">
        <is>
          <t>nl</t>
        </is>
      </c>
      <c r="J897" t="inlineStr">
        <is>
          <t>intl-nl</t>
        </is>
      </c>
      <c r="K897" t="b">
        <v>1</v>
      </c>
      <c r="L897" t="inlineStr">
        <is>
          <t>partial</t>
        </is>
      </c>
      <c r="M897" t="inlineStr">
        <is>
          <t>partial</t>
        </is>
      </c>
      <c r="N897" t="inlineStr">
        <is>
          <t>partial</t>
        </is>
      </c>
      <c r="O897" t="inlineStr">
        <is>
          <t>partial</t>
        </is>
      </c>
      <c r="P897" t="b">
        <v>1</v>
      </c>
    </row>
    <row r="898">
      <c r="A898" t="inlineStr">
        <is>
          <t>pañuelo vintage</t>
        </is>
      </c>
      <c r="B898" t="inlineStr">
        <is>
          <t>vintage scarf</t>
        </is>
      </c>
      <c r="C898" t="n">
        <v>1329939100</v>
      </c>
      <c r="D898">
        <f>HYPERLINK("https://www.etsy.com/listing/1329939100", "link")</f>
        <v/>
      </c>
      <c r="E898">
        <f>HYPERLINK("https://atlas.etsycorp.com/listing/1329939100/lookup", "link")</f>
        <v/>
      </c>
      <c r="F898" t="inlineStr">
        <is>
          <t>Vintage Bohemian Silk Recycle Sari Sashes Head Wrap Neck Warps, Boho Silk Hair Scarf Tie Scarf Silk Belt and Sashes Soft Fabric-Crafting</t>
        </is>
      </c>
      <c r="G898" t="inlineStr">
        <is>
          <t>EuCdvVGBZT0ovlJ62mnCILInKW57</t>
        </is>
      </c>
      <c r="H898" t="inlineStr">
        <is>
          <t>boe</t>
        </is>
      </c>
      <c r="I898" t="inlineStr">
        <is>
          <t>es</t>
        </is>
      </c>
      <c r="J898" t="inlineStr">
        <is>
          <t>intl-es</t>
        </is>
      </c>
      <c r="K898" t="b">
        <v>1</v>
      </c>
      <c r="L898" t="inlineStr">
        <is>
          <t>partial</t>
        </is>
      </c>
      <c r="M898" t="inlineStr">
        <is>
          <t>not_relevant</t>
        </is>
      </c>
      <c r="N898" t="inlineStr">
        <is>
          <t>partial</t>
        </is>
      </c>
      <c r="O898" t="inlineStr">
        <is>
          <t>partial</t>
        </is>
      </c>
      <c r="P898" t="b">
        <v>1</v>
      </c>
    </row>
    <row r="899">
      <c r="A899" t="inlineStr">
        <is>
          <t>musselin decke</t>
        </is>
      </c>
      <c r="B899" t="inlineStr">
        <is>
          <t>muslin blanket</t>
        </is>
      </c>
      <c r="C899" t="n">
        <v>1036744865</v>
      </c>
      <c r="D899">
        <f>HYPERLINK("https://www.etsy.com/listing/1036744865", "link")</f>
        <v/>
      </c>
      <c r="E899">
        <f>HYPERLINK("https://atlas.etsycorp.com/listing/1036744865/lookup", "link")</f>
        <v/>
      </c>
      <c r="F899" t="inlineStr">
        <is>
          <t>Baby blanket, muslin cloth, nursing cover, 120 x 120 cm</t>
        </is>
      </c>
      <c r="G899" t="inlineStr">
        <is>
          <t>Eu30GWp_ZGSgwHrcN5MfjmtyFIfc</t>
        </is>
      </c>
      <c r="H899" t="inlineStr">
        <is>
          <t>web</t>
        </is>
      </c>
      <c r="I899" t="inlineStr">
        <is>
          <t>de</t>
        </is>
      </c>
      <c r="J899" t="inlineStr">
        <is>
          <t>intl-de</t>
        </is>
      </c>
      <c r="K899" t="b">
        <v>1</v>
      </c>
      <c r="L899" t="inlineStr">
        <is>
          <t>relevant</t>
        </is>
      </c>
      <c r="M899" t="inlineStr">
        <is>
          <t>relevant</t>
        </is>
      </c>
      <c r="N899" t="inlineStr">
        <is>
          <t>relevant</t>
        </is>
      </c>
      <c r="O899" t="inlineStr">
        <is>
          <t>relevant</t>
        </is>
      </c>
      <c r="P899" t="b">
        <v>1</v>
      </c>
    </row>
    <row r="900">
      <c r="A900" t="inlineStr">
        <is>
          <t>21st birthday gift for her</t>
        </is>
      </c>
      <c r="B900" t="inlineStr"/>
      <c r="C900" t="n">
        <v>1308458262</v>
      </c>
      <c r="D900">
        <f>HYPERLINK("https://www.etsy.com/listing/1308458262", "link")</f>
        <v/>
      </c>
      <c r="E900">
        <f>HYPERLINK("https://atlas.etsycorp.com/listing/1308458262/lookup", "link")</f>
        <v/>
      </c>
      <c r="F900" t="inlineStr">
        <is>
          <t>21st birthday gift shirt, Limited Edition 2003, 21st Birthday Shirt, Birthday Gifts for him and her, 21st Birthday Present, Unisex</t>
        </is>
      </c>
      <c r="G900" t="inlineStr">
        <is>
          <t>EuF6xoq6waqhF98jrUA9I7fPRZaa</t>
        </is>
      </c>
      <c r="H900" t="inlineStr">
        <is>
          <t>web</t>
        </is>
      </c>
      <c r="I900" t="inlineStr">
        <is>
          <t>en-GB</t>
        </is>
      </c>
      <c r="J900" t="inlineStr">
        <is>
          <t>us_v2-gift</t>
        </is>
      </c>
      <c r="K900" t="b">
        <v>1</v>
      </c>
      <c r="L900" t="inlineStr">
        <is>
          <t>not_relevant</t>
        </is>
      </c>
      <c r="M900" t="inlineStr">
        <is>
          <t>relevant</t>
        </is>
      </c>
      <c r="N900" t="inlineStr">
        <is>
          <t>not_relevant</t>
        </is>
      </c>
      <c r="O900" t="inlineStr">
        <is>
          <t>not_relevant</t>
        </is>
      </c>
      <c r="P900" t="b">
        <v>1</v>
      </c>
    </row>
    <row r="901">
      <c r="A901" t="inlineStr">
        <is>
          <t>mamiya rz67 pro ii</t>
        </is>
      </c>
      <c r="B901" t="inlineStr"/>
      <c r="C901" t="n">
        <v>1606175094</v>
      </c>
      <c r="D901">
        <f>HYPERLINK("https://www.etsy.com/listing/1606175094", "link")</f>
        <v/>
      </c>
      <c r="E901">
        <f>HYPERLINK("https://atlas.etsycorp.com/listing/1606175094/lookup", "link")</f>
        <v/>
      </c>
      <c r="F901" t="inlineStr">
        <is>
          <t>Original Mamiya 7 Rear Lens Cap For Mamiya 7 or Mamiya 7ii 80mm F/4.0, 150mm F/4.5, and 210mm F/8</t>
        </is>
      </c>
      <c r="G901" t="inlineStr">
        <is>
          <t>Eu9KtNA6fjsz1U_apFx4N6apuf89</t>
        </is>
      </c>
      <c r="H901" t="inlineStr">
        <is>
          <t>boe</t>
        </is>
      </c>
      <c r="I901" t="inlineStr">
        <is>
          <t>en-US</t>
        </is>
      </c>
      <c r="J901" t="inlineStr">
        <is>
          <t>us_v2-direct_specified</t>
        </is>
      </c>
      <c r="K901" t="b">
        <v>1</v>
      </c>
      <c r="L901" t="inlineStr">
        <is>
          <t>not_relevant</t>
        </is>
      </c>
      <c r="M901" t="inlineStr">
        <is>
          <t>partial</t>
        </is>
      </c>
      <c r="N901" t="inlineStr">
        <is>
          <t>not_relevant</t>
        </is>
      </c>
      <c r="O901" t="inlineStr">
        <is>
          <t>not_relevant</t>
        </is>
      </c>
      <c r="P901" t="b">
        <v>1</v>
      </c>
    </row>
    <row r="902">
      <c r="A902" t="inlineStr">
        <is>
          <t>take your shoes off sign</t>
        </is>
      </c>
      <c r="B902" t="inlineStr"/>
      <c r="C902" t="n">
        <v>1027057013</v>
      </c>
      <c r="D902">
        <f>HYPERLINK("https://www.etsy.com/listing/1027057013", "link")</f>
        <v/>
      </c>
      <c r="E902">
        <f>HYPERLINK("https://atlas.etsycorp.com/listing/1027057013/lookup", "link")</f>
        <v/>
      </c>
      <c r="F902" t="inlineStr">
        <is>
          <t>Please Take Off Your Shoes Doormat - Don&amp;#39;t Take A Better Pair On Your Way Out - Custom Welcome Door Mat - Funny Gift Ideas</t>
        </is>
      </c>
      <c r="G902" t="inlineStr">
        <is>
          <t>Euy4wwPN-3qXhjQPssFwbwhM6I7f</t>
        </is>
      </c>
      <c r="H902" t="inlineStr">
        <is>
          <t>boe</t>
        </is>
      </c>
      <c r="I902" t="inlineStr">
        <is>
          <t>en-GB</t>
        </is>
      </c>
      <c r="J902" t="inlineStr">
        <is>
          <t>us_v2-direct_unspecified</t>
        </is>
      </c>
      <c r="K902" t="b">
        <v>1</v>
      </c>
      <c r="L902" t="inlineStr">
        <is>
          <t>relevant</t>
        </is>
      </c>
      <c r="M902" t="inlineStr">
        <is>
          <t>relevant</t>
        </is>
      </c>
      <c r="N902" t="inlineStr">
        <is>
          <t>relevant</t>
        </is>
      </c>
      <c r="O902" t="inlineStr">
        <is>
          <t>partial</t>
        </is>
      </c>
      <c r="P902" t="b">
        <v>1</v>
      </c>
    </row>
    <row r="903">
      <c r="A903" t="inlineStr">
        <is>
          <t>Rosalina hot</t>
        </is>
      </c>
      <c r="B903" t="inlineStr">
        <is>
          <t>Rosalina hot</t>
        </is>
      </c>
      <c r="C903" t="n">
        <v>1468265340</v>
      </c>
      <c r="D903">
        <f>HYPERLINK("https://www.etsy.com/listing/1468265340", "link")</f>
        <v/>
      </c>
      <c r="E903">
        <f>HYPERLINK("https://atlas.etsycorp.com/listing/1468265340/lookup", "link")</f>
        <v/>
      </c>
      <c r="F903" t="inlineStr">
        <is>
          <t>PNGtuber Asset | SMB Pack 2 - Princess Crowns: Peach, Daisy and Rosalina</t>
        </is>
      </c>
      <c r="G903" t="inlineStr">
        <is>
          <t>EuRk-iADqUiYNJZ3FRqxjPKLuy64</t>
        </is>
      </c>
      <c r="H903" t="inlineStr">
        <is>
          <t>web</t>
        </is>
      </c>
      <c r="I903" t="inlineStr">
        <is>
          <t>es</t>
        </is>
      </c>
      <c r="J903" t="inlineStr">
        <is>
          <t>intl-es</t>
        </is>
      </c>
      <c r="K903" t="b">
        <v>1</v>
      </c>
      <c r="L903" t="inlineStr">
        <is>
          <t>partial</t>
        </is>
      </c>
      <c r="M903" t="inlineStr">
        <is>
          <t>partial</t>
        </is>
      </c>
      <c r="N903" t="inlineStr">
        <is>
          <t>partial</t>
        </is>
      </c>
      <c r="O903" t="inlineStr">
        <is>
          <t>partial</t>
        </is>
      </c>
      <c r="P903" t="b">
        <v>1</v>
      </c>
    </row>
    <row r="904">
      <c r="A904" t="inlineStr">
        <is>
          <t>chevrolet silverado 2013</t>
        </is>
      </c>
      <c r="B904" t="inlineStr">
        <is>
          <t>2013 chevrolet silverado</t>
        </is>
      </c>
      <c r="C904" t="n">
        <v>1750418461</v>
      </c>
      <c r="D904">
        <f>HYPERLINK("https://www.etsy.com/listing/1750418461", "link")</f>
        <v/>
      </c>
      <c r="E904">
        <f>HYPERLINK("https://atlas.etsycorp.com/listing/1750418461/lookup", "link")</f>
        <v/>
      </c>
      <c r="F904" t="inlineStr">
        <is>
          <t>Compatible w/ 2014-2024 Chevy Silverado ONLY gel-coated (domed) emblem overlay precut NO trimming (Solid Color-Mutliple colors available) 3M</t>
        </is>
      </c>
      <c r="G904" t="inlineStr">
        <is>
          <t>Euxp6Kx_31Ro7rci_UnawUj7Qnd8</t>
        </is>
      </c>
      <c r="H904" t="inlineStr">
        <is>
          <t>boe</t>
        </is>
      </c>
      <c r="I904" t="inlineStr">
        <is>
          <t>es</t>
        </is>
      </c>
      <c r="J904" t="inlineStr">
        <is>
          <t>intl-es</t>
        </is>
      </c>
      <c r="K904" t="b">
        <v>1</v>
      </c>
      <c r="L904" t="inlineStr">
        <is>
          <t>not_relevant</t>
        </is>
      </c>
      <c r="M904" t="inlineStr">
        <is>
          <t>not_relevant</t>
        </is>
      </c>
      <c r="N904" t="inlineStr">
        <is>
          <t>not_relevant</t>
        </is>
      </c>
      <c r="O904" t="inlineStr">
        <is>
          <t>partial</t>
        </is>
      </c>
      <c r="P904" t="b">
        <v>1</v>
      </c>
    </row>
    <row r="905">
      <c r="A905" t="inlineStr">
        <is>
          <t>tatuajes de cristo</t>
        </is>
      </c>
      <c r="B905" t="inlineStr">
        <is>
          <t>christ tattoos</t>
        </is>
      </c>
      <c r="C905" t="n">
        <v>1167336267</v>
      </c>
      <c r="D905">
        <f>HYPERLINK("https://www.etsy.com/listing/1167336267", "link")</f>
        <v/>
      </c>
      <c r="E905">
        <f>HYPERLINK("https://atlas.etsycorp.com/listing/1167336267/lookup", "link")</f>
        <v/>
      </c>
      <c r="F905" t="inlineStr">
        <is>
          <t>Christian Holy Bible Book Judgement Judge Gavel Open Close Showing Cover Hammer Old Vintage Law Scripture Read Jury Cross SVG PNG EPS Vector</t>
        </is>
      </c>
      <c r="G905" t="inlineStr">
        <is>
          <t>EuZQiGVxGby3lisrUnz-E-IoO896</t>
        </is>
      </c>
      <c r="H905" t="inlineStr">
        <is>
          <t>web</t>
        </is>
      </c>
      <c r="I905" t="inlineStr">
        <is>
          <t>es</t>
        </is>
      </c>
      <c r="J905" t="inlineStr">
        <is>
          <t>intl-es</t>
        </is>
      </c>
      <c r="K905" t="b">
        <v>1</v>
      </c>
      <c r="L905" t="inlineStr">
        <is>
          <t>not_relevant</t>
        </is>
      </c>
      <c r="M905" t="inlineStr">
        <is>
          <t>not_relevant</t>
        </is>
      </c>
      <c r="N905" t="inlineStr">
        <is>
          <t>not_relevant</t>
        </is>
      </c>
      <c r="O905" t="inlineStr">
        <is>
          <t>not_relevant</t>
        </is>
      </c>
      <c r="P905" t="b">
        <v>1</v>
      </c>
    </row>
    <row r="906">
      <c r="A906" t="inlineStr">
        <is>
          <t>pensierini per neonati</t>
        </is>
      </c>
      <c r="B906" t="inlineStr">
        <is>
          <t>little gifts for newborns</t>
        </is>
      </c>
      <c r="C906" t="n">
        <v>1558311514</v>
      </c>
      <c r="D906">
        <f>HYPERLINK("https://www.etsy.com/listing/1558311514", "link")</f>
        <v/>
      </c>
      <c r="E906">
        <f>HYPERLINK("https://atlas.etsycorp.com/listing/1558311514/lookup", "link")</f>
        <v/>
      </c>
      <c r="F906" t="inlineStr">
        <is>
          <t>Baby girl bib with name, personalized bib, terry bib, birth gift idea, little gift for baby&amp;#39;s birth</t>
        </is>
      </c>
      <c r="G906" t="inlineStr">
        <is>
          <t>Eu43vZPW3XK0EPivL84wepLH-87c</t>
        </is>
      </c>
      <c r="H906" t="inlineStr">
        <is>
          <t>web</t>
        </is>
      </c>
      <c r="I906" t="inlineStr">
        <is>
          <t>it</t>
        </is>
      </c>
      <c r="J906" t="inlineStr">
        <is>
          <t>intl-it</t>
        </is>
      </c>
      <c r="K906" t="b">
        <v>1</v>
      </c>
      <c r="L906" t="inlineStr">
        <is>
          <t>partial</t>
        </is>
      </c>
      <c r="M906" t="inlineStr">
        <is>
          <t>partial</t>
        </is>
      </c>
      <c r="N906" t="inlineStr">
        <is>
          <t>partial</t>
        </is>
      </c>
      <c r="O906" t="inlineStr">
        <is>
          <t>relevant</t>
        </is>
      </c>
      <c r="P906" t="b">
        <v>1</v>
      </c>
    </row>
    <row r="907">
      <c r="A907" t="inlineStr">
        <is>
          <t>weird badge reel</t>
        </is>
      </c>
      <c r="B907" t="inlineStr"/>
      <c r="C907" t="n">
        <v>1117108510</v>
      </c>
      <c r="D907">
        <f>HYPERLINK("https://www.etsy.com/listing/1117108510", "link")</f>
        <v/>
      </c>
      <c r="E907">
        <f>HYPERLINK("https://atlas.etsycorp.com/listing/1117108510/lookup", "link")</f>
        <v/>
      </c>
      <c r="F907" t="inlineStr">
        <is>
          <t>Anesthesia Badge Reel Sweet Dreams CRNA Badge Reel StethoscopeTag Lanyard Carabiner Badge Funny Nurse Badge Reel Anesthesia Gift CRNA Gift</t>
        </is>
      </c>
      <c r="G907" t="inlineStr">
        <is>
          <t>EuVbCs50wavuGsvx8M_lfQxpKY41</t>
        </is>
      </c>
      <c r="H907" t="inlineStr">
        <is>
          <t>web</t>
        </is>
      </c>
      <c r="I907" t="inlineStr">
        <is>
          <t>en-US</t>
        </is>
      </c>
      <c r="J907" t="inlineStr">
        <is>
          <t>us_v2-direct_specified</t>
        </is>
      </c>
      <c r="K907" t="b">
        <v>1</v>
      </c>
      <c r="L907" t="inlineStr">
        <is>
          <t>relevant</t>
        </is>
      </c>
      <c r="M907" t="inlineStr">
        <is>
          <t>relevant</t>
        </is>
      </c>
      <c r="N907" t="inlineStr">
        <is>
          <t>relevant</t>
        </is>
      </c>
      <c r="O907" t="inlineStr">
        <is>
          <t>relevant</t>
        </is>
      </c>
      <c r="P907" t="b">
        <v>1</v>
      </c>
    </row>
    <row r="908">
      <c r="A908" t="inlineStr">
        <is>
          <t>mtg yu gi oh</t>
        </is>
      </c>
      <c r="B908" t="inlineStr">
        <is>
          <t>mtg yu gi oh</t>
        </is>
      </c>
      <c r="C908" t="n">
        <v>1616793089</v>
      </c>
      <c r="D908">
        <f>HYPERLINK("https://www.etsy.com/listing/1616793089", "link")</f>
        <v/>
      </c>
      <c r="E908">
        <f>HYPERLINK("https://atlas.etsycorp.com/listing/1616793089/lookup", "link")</f>
        <v/>
      </c>
      <c r="F908" t="inlineStr">
        <is>
          <t>Customizable Laser-Cut Trading Card Decks Gaming Box With Play Area with Pokemon &amp; Mtg premade Areas SVG, DXF, AI, LBRN2 Digital Download</t>
        </is>
      </c>
      <c r="G908" t="inlineStr">
        <is>
          <t>EuiqnSTTEPB9xDQUKj6tcI_XZj9d</t>
        </is>
      </c>
      <c r="H908" t="inlineStr">
        <is>
          <t>web</t>
        </is>
      </c>
      <c r="I908" t="inlineStr">
        <is>
          <t>fr</t>
        </is>
      </c>
      <c r="J908" t="inlineStr">
        <is>
          <t>intl-fr</t>
        </is>
      </c>
      <c r="K908" t="b">
        <v>1</v>
      </c>
      <c r="L908" t="inlineStr">
        <is>
          <t>partial</t>
        </is>
      </c>
      <c r="M908" t="inlineStr">
        <is>
          <t>partial</t>
        </is>
      </c>
      <c r="N908" t="inlineStr">
        <is>
          <t>not_relevant</t>
        </is>
      </c>
      <c r="O908" t="inlineStr">
        <is>
          <t>partial</t>
        </is>
      </c>
      <c r="P908" t="b">
        <v>1</v>
      </c>
    </row>
    <row r="909">
      <c r="A909" t="inlineStr">
        <is>
          <t>gracie abrams</t>
        </is>
      </c>
      <c r="B909" t="inlineStr"/>
      <c r="C909" t="n">
        <v>1453284415</v>
      </c>
      <c r="D909">
        <f>HYPERLINK("https://www.etsy.com/listing/1453284415", "link")</f>
        <v/>
      </c>
      <c r="E909">
        <f>HYPERLINK("https://atlas.etsycorp.com/listing/1453284415/lookup", "link")</f>
        <v/>
      </c>
      <c r="F909" t="inlineStr">
        <is>
          <t>gracie abrams good riddance t-shirt unisex</t>
        </is>
      </c>
      <c r="G909" t="inlineStr">
        <is>
          <t>Eu8VfIjHxU2jy3nkSh4Q1DN1tp20</t>
        </is>
      </c>
      <c r="H909" t="inlineStr">
        <is>
          <t>web</t>
        </is>
      </c>
      <c r="I909" t="inlineStr">
        <is>
          <t>en-US</t>
        </is>
      </c>
      <c r="J909" t="inlineStr">
        <is>
          <t>us_v2-broad</t>
        </is>
      </c>
      <c r="K909" t="b">
        <v>1</v>
      </c>
      <c r="L909" t="inlineStr">
        <is>
          <t>relevant</t>
        </is>
      </c>
      <c r="M909" t="inlineStr">
        <is>
          <t>relevant</t>
        </is>
      </c>
      <c r="N909" t="inlineStr">
        <is>
          <t>relevant</t>
        </is>
      </c>
      <c r="O909" t="inlineStr">
        <is>
          <t>relevant</t>
        </is>
      </c>
      <c r="P909" t="b">
        <v>1</v>
      </c>
    </row>
    <row r="910">
      <c r="A910" t="inlineStr">
        <is>
          <t>oraclr middle ages</t>
        </is>
      </c>
      <c r="B910" t="inlineStr">
        <is>
          <t>oraclr middle ages</t>
        </is>
      </c>
      <c r="C910" t="n">
        <v>1726422870</v>
      </c>
      <c r="D910">
        <f>HYPERLINK("https://www.etsy.com/listing/1726422870", "link")</f>
        <v/>
      </c>
      <c r="E910">
        <f>HYPERLINK("https://atlas.etsycorp.com/listing/1726422870/lookup", "link")</f>
        <v/>
      </c>
      <c r="F910" t="inlineStr">
        <is>
          <t>Renaissance Oracle 2/5</t>
        </is>
      </c>
      <c r="G910" t="inlineStr">
        <is>
          <t>EuKsxJe_zqkaL4FuS2fQcQ4zXI08</t>
        </is>
      </c>
      <c r="H910" t="inlineStr">
        <is>
          <t>web</t>
        </is>
      </c>
      <c r="I910" t="inlineStr">
        <is>
          <t>it</t>
        </is>
      </c>
      <c r="J910" t="inlineStr">
        <is>
          <t>intl-it</t>
        </is>
      </c>
      <c r="K910" t="b">
        <v>1</v>
      </c>
      <c r="L910" t="inlineStr">
        <is>
          <t>partial</t>
        </is>
      </c>
      <c r="M910" t="inlineStr">
        <is>
          <t>partial</t>
        </is>
      </c>
      <c r="N910" t="inlineStr">
        <is>
          <t>relevant</t>
        </is>
      </c>
      <c r="O910" t="inlineStr">
        <is>
          <t>partial</t>
        </is>
      </c>
      <c r="P910" t="b">
        <v>1</v>
      </c>
    </row>
    <row r="911">
      <c r="A911" t="inlineStr">
        <is>
          <t>continuos light</t>
        </is>
      </c>
      <c r="B911" t="inlineStr">
        <is>
          <t>continuous light</t>
        </is>
      </c>
      <c r="C911" t="n">
        <v>1468674225</v>
      </c>
      <c r="D911">
        <f>HYPERLINK("https://www.etsy.com/listing/1468674225", "link")</f>
        <v/>
      </c>
      <c r="E911">
        <f>HYPERLINK("https://atlas.etsycorp.com/listing/1468674225/lookup", "link")</f>
        <v/>
      </c>
      <c r="F911" t="inlineStr">
        <is>
          <t>Wall Clock | Solid Light Pink Pastel Design - Black - Pastel - White - Pink - Circle Shape - 10 inches - Quiet No-Tick Continuous Sweep</t>
        </is>
      </c>
      <c r="G911" t="inlineStr">
        <is>
          <t>EucBiiE4X2gADwrRpy3vMocAgzdc</t>
        </is>
      </c>
      <c r="H911" t="inlineStr">
        <is>
          <t>web</t>
        </is>
      </c>
      <c r="I911" t="inlineStr">
        <is>
          <t>it</t>
        </is>
      </c>
      <c r="J911" t="inlineStr">
        <is>
          <t>intl-it</t>
        </is>
      </c>
      <c r="K911" t="b">
        <v>1</v>
      </c>
      <c r="L911" t="inlineStr">
        <is>
          <t>not_relevant</t>
        </is>
      </c>
      <c r="M911" t="inlineStr">
        <is>
          <t>relevant</t>
        </is>
      </c>
      <c r="N911" t="inlineStr">
        <is>
          <t>not_relevant</t>
        </is>
      </c>
      <c r="O911" t="inlineStr">
        <is>
          <t>not_relevant</t>
        </is>
      </c>
      <c r="P911" t="b">
        <v>1</v>
      </c>
    </row>
    <row r="912">
      <c r="A912" t="inlineStr">
        <is>
          <t>Birkenstock</t>
        </is>
      </c>
      <c r="B912" t="inlineStr"/>
      <c r="C912" t="n">
        <v>1417969260</v>
      </c>
      <c r="D912">
        <f>HYPERLINK("https://www.etsy.com/listing/1417969260", "link")</f>
        <v/>
      </c>
      <c r="E912">
        <f>HYPERLINK("https://atlas.etsycorp.com/listing/1417969260/lookup", "link")</f>
        <v/>
      </c>
      <c r="F912" t="inlineStr">
        <is>
          <t>Buckle Strap Frayed Canvas Slip Ons</t>
        </is>
      </c>
      <c r="G912" t="inlineStr">
        <is>
          <t>Eu8qnLB-qOiM_FM9DEU4Uss4xGc8</t>
        </is>
      </c>
      <c r="H912" t="inlineStr">
        <is>
          <t>web</t>
        </is>
      </c>
      <c r="I912" t="inlineStr">
        <is>
          <t>en-US</t>
        </is>
      </c>
      <c r="J912" t="inlineStr">
        <is>
          <t>us_v2-broad</t>
        </is>
      </c>
      <c r="K912" t="b">
        <v>1</v>
      </c>
      <c r="L912" t="inlineStr">
        <is>
          <t>partial</t>
        </is>
      </c>
      <c r="M912" t="inlineStr">
        <is>
          <t>partial</t>
        </is>
      </c>
      <c r="N912" t="inlineStr">
        <is>
          <t>partial</t>
        </is>
      </c>
      <c r="O912" t="inlineStr">
        <is>
          <t>partial</t>
        </is>
      </c>
      <c r="P912" t="b">
        <v>1</v>
      </c>
    </row>
    <row r="913">
      <c r="A913" t="inlineStr">
        <is>
          <t>batman lego keychain</t>
        </is>
      </c>
      <c r="B913" t="inlineStr"/>
      <c r="C913" t="n">
        <v>1658911053</v>
      </c>
      <c r="D913">
        <f>HYPERLINK("https://www.etsy.com/listing/1658911053", "link")</f>
        <v/>
      </c>
      <c r="E913">
        <f>HYPERLINK("https://atlas.etsycorp.com/listing/1658911053/lookup", "link")</f>
        <v/>
      </c>
      <c r="F913" t="inlineStr">
        <is>
          <t>Limited Spiderman V2 Vintage 90s T-Shirt, Gift For Women and Man Unisex T-Shirt</t>
        </is>
      </c>
      <c r="G913" t="inlineStr">
        <is>
          <t>EurfCFAhswmU2d5Dyb0Cg-3x-h8e</t>
        </is>
      </c>
      <c r="H913" t="inlineStr">
        <is>
          <t>boe</t>
        </is>
      </c>
      <c r="I913" t="inlineStr">
        <is>
          <t>en-US</t>
        </is>
      </c>
      <c r="J913" t="inlineStr">
        <is>
          <t>us_v2-direct_specified</t>
        </is>
      </c>
      <c r="K913" t="b">
        <v>1</v>
      </c>
      <c r="L913" t="inlineStr">
        <is>
          <t>not_relevant</t>
        </is>
      </c>
      <c r="M913" t="inlineStr">
        <is>
          <t>not_relevant</t>
        </is>
      </c>
      <c r="N913" t="inlineStr">
        <is>
          <t>not_relevant</t>
        </is>
      </c>
      <c r="O913" t="inlineStr">
        <is>
          <t>not_relevant</t>
        </is>
      </c>
      <c r="P913" t="b">
        <v>1</v>
      </c>
    </row>
    <row r="914">
      <c r="A914" t="inlineStr">
        <is>
          <t>gym shirt</t>
        </is>
      </c>
      <c r="B914" t="inlineStr"/>
      <c r="C914" t="n">
        <v>899228434</v>
      </c>
      <c r="D914">
        <f>HYPERLINK("https://www.etsy.com/listing/899228434", "link")</f>
        <v/>
      </c>
      <c r="E914">
        <f>HYPERLINK("https://atlas.etsycorp.com/listing/899228434/lookup", "link")</f>
        <v/>
      </c>
      <c r="F914" t="inlineStr">
        <is>
          <t>Gym Gift Weight Dumbbell Keyring Gym Keyring Body Builder Gym Gift Sport Fitness Keyring</t>
        </is>
      </c>
      <c r="G914" t="inlineStr">
        <is>
          <t>EuKgBekAXBzQEm1Aa1Yua0gB8L5f</t>
        </is>
      </c>
      <c r="H914" t="inlineStr">
        <is>
          <t>boe</t>
        </is>
      </c>
      <c r="I914" t="inlineStr">
        <is>
          <t>en-GB</t>
        </is>
      </c>
      <c r="J914" t="inlineStr">
        <is>
          <t>us_v2-direct_unspecified</t>
        </is>
      </c>
      <c r="K914" t="b">
        <v>1</v>
      </c>
      <c r="L914" t="inlineStr">
        <is>
          <t>not_relevant</t>
        </is>
      </c>
      <c r="M914" t="inlineStr">
        <is>
          <t>not_relevant</t>
        </is>
      </c>
      <c r="N914" t="inlineStr">
        <is>
          <t>not_relevant</t>
        </is>
      </c>
      <c r="O914" t="inlineStr">
        <is>
          <t>partial</t>
        </is>
      </c>
      <c r="P914" t="b">
        <v>1</v>
      </c>
    </row>
    <row r="915">
      <c r="A915" t="inlineStr">
        <is>
          <t>kajol</t>
        </is>
      </c>
      <c r="B915" t="inlineStr">
        <is>
          <t>kajol</t>
        </is>
      </c>
      <c r="C915" t="n">
        <v>1675243707</v>
      </c>
      <c r="D915">
        <f>HYPERLINK("https://www.etsy.com/listing/1675243707", "link")</f>
        <v/>
      </c>
      <c r="E915">
        <f>HYPERLINK("https://atlas.etsycorp.com/listing/1675243707/lookup", "link")</f>
        <v/>
      </c>
      <c r="F915" t="inlineStr">
        <is>
          <t>Drape up with this Beautiful Color Embellished With Sequins Saree with Blouse for your night parties, Weddings, for women in USA UK Canada</t>
        </is>
      </c>
      <c r="G915" t="inlineStr">
        <is>
          <t>EuWmCFch8_Kyj4yvApEKS9E9_6e4</t>
        </is>
      </c>
      <c r="H915" t="inlineStr">
        <is>
          <t>web</t>
        </is>
      </c>
      <c r="I915" t="inlineStr">
        <is>
          <t>fr</t>
        </is>
      </c>
      <c r="J915" t="inlineStr">
        <is>
          <t>intl-fr</t>
        </is>
      </c>
      <c r="K915" t="b">
        <v>1</v>
      </c>
      <c r="L915" t="inlineStr">
        <is>
          <t>not_relevant</t>
        </is>
      </c>
      <c r="M915" t="inlineStr">
        <is>
          <t>not_relevant</t>
        </is>
      </c>
      <c r="N915" t="inlineStr">
        <is>
          <t>partial</t>
        </is>
      </c>
      <c r="O915" t="inlineStr">
        <is>
          <t>not_relevant</t>
        </is>
      </c>
      <c r="P915" t="b">
        <v>1</v>
      </c>
    </row>
    <row r="916">
      <c r="A916" t="inlineStr">
        <is>
          <t>Accesorio de película de tijeras</t>
        </is>
      </c>
      <c r="B916" t="inlineStr">
        <is>
          <t>Scissors Movie Prop</t>
        </is>
      </c>
      <c r="C916" t="n">
        <v>1503036922</v>
      </c>
      <c r="D916">
        <f>HYPERLINK("https://www.etsy.com/listing/1503036922", "link")</f>
        <v/>
      </c>
      <c r="E916">
        <f>HYPERLINK("https://atlas.etsycorp.com/listing/1503036922/lookup", "link")</f>
        <v/>
      </c>
      <c r="F916" t="inlineStr">
        <is>
          <t>Xaden &amp; Violet Print/bookmark, Fourth wing</t>
        </is>
      </c>
      <c r="G916" t="inlineStr">
        <is>
          <t>Eu6gZw6yGPhE9i2EHc6B21Yd2sd6</t>
        </is>
      </c>
      <c r="H916" t="inlineStr">
        <is>
          <t>web</t>
        </is>
      </c>
      <c r="I916" t="inlineStr">
        <is>
          <t>es</t>
        </is>
      </c>
      <c r="J916" t="inlineStr">
        <is>
          <t>intl-es</t>
        </is>
      </c>
      <c r="K916" t="b">
        <v>1</v>
      </c>
      <c r="L916" t="inlineStr">
        <is>
          <t>not_relevant</t>
        </is>
      </c>
      <c r="M916" t="inlineStr">
        <is>
          <t>not_sure</t>
        </is>
      </c>
      <c r="N916" t="inlineStr">
        <is>
          <t>not_relevant</t>
        </is>
      </c>
      <c r="O916" t="inlineStr">
        <is>
          <t>not_relevant</t>
        </is>
      </c>
      <c r="P916" t="b">
        <v>1</v>
      </c>
    </row>
    <row r="917">
      <c r="A917" t="inlineStr">
        <is>
          <t>miniature cocktail shaker for dollhouse</t>
        </is>
      </c>
      <c r="B917" t="inlineStr"/>
      <c r="C917" t="n">
        <v>1548198563</v>
      </c>
      <c r="D917">
        <f>HYPERLINK("https://www.etsy.com/listing/1548198563", "link")</f>
        <v/>
      </c>
      <c r="E917">
        <f>HYPERLINK("https://atlas.etsycorp.com/listing/1548198563/lookup", "link")</f>
        <v/>
      </c>
      <c r="F917" t="inlineStr">
        <is>
          <t>Hand Blown Teeny Tiny Bottles blue, amber, red Miniatures, Vintage .75&amp;quot;</t>
        </is>
      </c>
      <c r="G917" t="inlineStr">
        <is>
          <t>EuYa0fRxe3RoqUHqozZlcSzGBF7c</t>
        </is>
      </c>
      <c r="H917" t="inlineStr">
        <is>
          <t>web</t>
        </is>
      </c>
      <c r="I917" t="inlineStr">
        <is>
          <t>en-US</t>
        </is>
      </c>
      <c r="J917" t="inlineStr">
        <is>
          <t>us_v2-direct_unspecified</t>
        </is>
      </c>
      <c r="K917" t="b">
        <v>1</v>
      </c>
      <c r="L917" t="inlineStr">
        <is>
          <t>partial</t>
        </is>
      </c>
      <c r="M917" t="inlineStr">
        <is>
          <t>partial</t>
        </is>
      </c>
      <c r="N917" t="inlineStr">
        <is>
          <t>relevant</t>
        </is>
      </c>
      <c r="O917" t="inlineStr">
        <is>
          <t>partial</t>
        </is>
      </c>
      <c r="P917" t="b">
        <v>1</v>
      </c>
    </row>
    <row r="918">
      <c r="A918" t="inlineStr">
        <is>
          <t>sangle appareil photo</t>
        </is>
      </c>
      <c r="B918" t="inlineStr">
        <is>
          <t>camera strap</t>
        </is>
      </c>
      <c r="C918" t="n">
        <v>1329330961</v>
      </c>
      <c r="D918">
        <f>HYPERLINK("https://www.etsy.com/listing/1329330961", "link")</f>
        <v/>
      </c>
      <c r="E918">
        <f>HYPERLINK("https://atlas.etsycorp.com/listing/1329330961/lookup", "link")</f>
        <v/>
      </c>
      <c r="F918" t="inlineStr">
        <is>
          <t>Persoanlized camera strap, very soft and durable camera strap for all SLR- and DSLR- cameras</t>
        </is>
      </c>
      <c r="G918" t="inlineStr">
        <is>
          <t>Eut0URB_TbtxTge80XNitJtJfAdf</t>
        </is>
      </c>
      <c r="H918" t="inlineStr">
        <is>
          <t>boe</t>
        </is>
      </c>
      <c r="I918" t="inlineStr">
        <is>
          <t>fr</t>
        </is>
      </c>
      <c r="J918" t="inlineStr">
        <is>
          <t>intl-fr</t>
        </is>
      </c>
      <c r="K918" t="b">
        <v>1</v>
      </c>
      <c r="L918" t="inlineStr">
        <is>
          <t>relevant</t>
        </is>
      </c>
      <c r="M918" t="inlineStr">
        <is>
          <t>relevant</t>
        </is>
      </c>
      <c r="N918" t="inlineStr">
        <is>
          <t>relevant</t>
        </is>
      </c>
      <c r="O918" t="inlineStr">
        <is>
          <t>partial</t>
        </is>
      </c>
      <c r="P918" t="b">
        <v>1</v>
      </c>
    </row>
    <row r="919">
      <c r="A919" t="inlineStr">
        <is>
          <t>calendar</t>
        </is>
      </c>
      <c r="B919" t="inlineStr"/>
      <c r="C919" t="n">
        <v>1307907990</v>
      </c>
      <c r="D919">
        <f>HYPERLINK("https://www.etsy.com/listing/1307907990", "link")</f>
        <v/>
      </c>
      <c r="E919">
        <f>HYPERLINK("https://atlas.etsycorp.com/listing/1307907990/lookup", "link")</f>
        <v/>
      </c>
      <c r="F919" t="inlineStr">
        <is>
          <t>Wooden laser cut perpetual calendar, Vector Files For Wood Laser Cutting</t>
        </is>
      </c>
      <c r="G919" t="inlineStr">
        <is>
          <t>EuDxqydOr5Pa4YlpoWM4HAWgSU1e</t>
        </is>
      </c>
      <c r="H919" t="inlineStr">
        <is>
          <t>boe</t>
        </is>
      </c>
      <c r="I919" t="inlineStr">
        <is>
          <t>en-IN</t>
        </is>
      </c>
      <c r="J919" t="inlineStr">
        <is>
          <t>us_v2-direct_unspecified</t>
        </is>
      </c>
      <c r="K919" t="b">
        <v>1</v>
      </c>
      <c r="L919" t="inlineStr">
        <is>
          <t>relevant</t>
        </is>
      </c>
      <c r="M919" t="inlineStr">
        <is>
          <t>relevant</t>
        </is>
      </c>
      <c r="N919" t="inlineStr">
        <is>
          <t>relevant</t>
        </is>
      </c>
      <c r="O919" t="inlineStr">
        <is>
          <t>partial</t>
        </is>
      </c>
      <c r="P919" t="b">
        <v>1</v>
      </c>
    </row>
    <row r="920">
      <c r="A920" t="inlineStr">
        <is>
          <t>Custom womens clothing</t>
        </is>
      </c>
      <c r="B920" t="inlineStr">
        <is>
          <t>Custom womens clothing</t>
        </is>
      </c>
      <c r="C920" t="n">
        <v>1425272942</v>
      </c>
      <c r="D920">
        <f>HYPERLINK("https://www.etsy.com/listing/1425272942", "link")</f>
        <v/>
      </c>
      <c r="E920">
        <f>HYPERLINK("https://atlas.etsycorp.com/listing/1425272942/lookup", "link")</f>
        <v/>
      </c>
      <c r="F920" t="inlineStr">
        <is>
          <t>Linen maxi dress RIVIERA, Long sleeveless dress, White linen wrap dress, Wrap dress, Linen dress , Summer dress, Natural linen dress</t>
        </is>
      </c>
      <c r="G920" t="inlineStr">
        <is>
          <t>EuB_fiufO4YJbEzoU8H6i-RGA617</t>
        </is>
      </c>
      <c r="H920" t="inlineStr">
        <is>
          <t>boe</t>
        </is>
      </c>
      <c r="I920" t="inlineStr">
        <is>
          <t>fr</t>
        </is>
      </c>
      <c r="J920" t="inlineStr">
        <is>
          <t>intl-fr</t>
        </is>
      </c>
      <c r="K920" t="b">
        <v>1</v>
      </c>
      <c r="L920" t="inlineStr">
        <is>
          <t>partial</t>
        </is>
      </c>
      <c r="M920" t="inlineStr">
        <is>
          <t>not_relevant</t>
        </is>
      </c>
      <c r="N920" t="inlineStr">
        <is>
          <t>partial</t>
        </is>
      </c>
      <c r="O920" t="inlineStr">
        <is>
          <t>partial</t>
        </is>
      </c>
      <c r="P920" t="b">
        <v>1</v>
      </c>
    </row>
    <row r="921">
      <c r="A921" t="inlineStr">
        <is>
          <t>mimi budget</t>
        </is>
      </c>
      <c r="B921" t="inlineStr">
        <is>
          <t>mini budget</t>
        </is>
      </c>
      <c r="C921" t="n">
        <v>1300951021</v>
      </c>
      <c r="D921">
        <f>HYPERLINK("https://www.etsy.com/listing/1300951021", "link")</f>
        <v/>
      </c>
      <c r="E921">
        <f>HYPERLINK("https://atlas.etsycorp.com/listing/1300951021/lookup", "link")</f>
        <v/>
      </c>
      <c r="F921" t="inlineStr">
        <is>
          <t>Mini Savings Challenge ~ Spending Money Savings Challenge ~ Save 125 Dollars ~ Low Income ~ Fits A6 Envelope ~ PDF ~ Printable</t>
        </is>
      </c>
      <c r="G921" t="inlineStr">
        <is>
          <t>EuxdLRzdwlGLwuiyTcQpW7bcD1e3</t>
        </is>
      </c>
      <c r="H921" t="inlineStr">
        <is>
          <t>web</t>
        </is>
      </c>
      <c r="I921" t="inlineStr">
        <is>
          <t>fr</t>
        </is>
      </c>
      <c r="J921" t="inlineStr">
        <is>
          <t>intl-fr</t>
        </is>
      </c>
      <c r="K921" t="b">
        <v>1</v>
      </c>
      <c r="L921" t="inlineStr">
        <is>
          <t>relevant</t>
        </is>
      </c>
      <c r="M921" t="inlineStr">
        <is>
          <t>relevant</t>
        </is>
      </c>
      <c r="N921" t="inlineStr">
        <is>
          <t>relevant</t>
        </is>
      </c>
      <c r="O921" t="inlineStr">
        <is>
          <t>relevant</t>
        </is>
      </c>
      <c r="P921" t="b">
        <v>1</v>
      </c>
    </row>
    <row r="922">
      <c r="A922" t="inlineStr">
        <is>
          <t>Pakistani palazzo</t>
        </is>
      </c>
      <c r="B922" t="inlineStr"/>
      <c r="C922" t="n">
        <v>1585504244</v>
      </c>
      <c r="D922">
        <f>HYPERLINK("https://www.etsy.com/listing/1585504244", "link")</f>
        <v/>
      </c>
      <c r="E922">
        <f>HYPERLINK("https://atlas.etsycorp.com/listing/1585504244/lookup", "link")</f>
        <v/>
      </c>
      <c r="F922" t="inlineStr">
        <is>
          <t>Pure Chinon Peach multi-color Digital Print Embroidery Kurti Palazzo Palazzo Indian Formal Women Party Designer Kurthi Festival Wedding Wear</t>
        </is>
      </c>
      <c r="G922" t="inlineStr">
        <is>
          <t>EuZHywBVFsUAYkUtmoNiIfJXsk90</t>
        </is>
      </c>
      <c r="H922" t="inlineStr">
        <is>
          <t>boe</t>
        </is>
      </c>
      <c r="I922" t="inlineStr">
        <is>
          <t>en-US</t>
        </is>
      </c>
      <c r="J922" t="inlineStr">
        <is>
          <t>us_v2-direct_specified</t>
        </is>
      </c>
      <c r="K922" t="b">
        <v>1</v>
      </c>
      <c r="L922" t="inlineStr">
        <is>
          <t>partial</t>
        </is>
      </c>
      <c r="M922" t="inlineStr">
        <is>
          <t>relevant</t>
        </is>
      </c>
      <c r="N922" t="inlineStr">
        <is>
          <t>partial</t>
        </is>
      </c>
      <c r="O922" t="inlineStr">
        <is>
          <t>partial</t>
        </is>
      </c>
      <c r="P922" t="b">
        <v>1</v>
      </c>
    </row>
    <row r="923">
      <c r="A923" t="inlineStr">
        <is>
          <t>how to open a shop</t>
        </is>
      </c>
      <c r="B923" t="inlineStr"/>
      <c r="C923" t="n">
        <v>1659897124</v>
      </c>
      <c r="D923">
        <f>HYPERLINK("https://www.etsy.com/listing/1659897124", "link")</f>
        <v/>
      </c>
      <c r="E923">
        <f>HYPERLINK("https://atlas.etsycorp.com/listing/1659897124/lookup", "link")</f>
        <v/>
      </c>
      <c r="F923" t="inlineStr">
        <is>
          <t>Tarot Reading - 2 Questions - Same Hour Psychic Reading - Tarot Card Reading - Instant Answers to Your Questions!</t>
        </is>
      </c>
      <c r="G923" t="inlineStr">
        <is>
          <t>EuEdqYTvcUboe1MMxYTdDrLAUL5c</t>
        </is>
      </c>
      <c r="H923" t="inlineStr">
        <is>
          <t>boe</t>
        </is>
      </c>
      <c r="I923" t="inlineStr">
        <is>
          <t>en-GB</t>
        </is>
      </c>
      <c r="J923" t="inlineStr">
        <is>
          <t>us_v2-broad</t>
        </is>
      </c>
      <c r="K923" t="b">
        <v>1</v>
      </c>
      <c r="L923" t="inlineStr">
        <is>
          <t>not_relevant</t>
        </is>
      </c>
      <c r="M923" t="inlineStr">
        <is>
          <t>not_relevant</t>
        </is>
      </c>
      <c r="N923" t="inlineStr">
        <is>
          <t>not_relevant</t>
        </is>
      </c>
      <c r="O923" t="inlineStr">
        <is>
          <t>not_relevant</t>
        </is>
      </c>
      <c r="P923" t="b">
        <v>1</v>
      </c>
    </row>
    <row r="924">
      <c r="A924" t="inlineStr">
        <is>
          <t>red husky stuffed animal</t>
        </is>
      </c>
      <c r="B924" t="inlineStr"/>
      <c r="C924" t="n">
        <v>1647761504</v>
      </c>
      <c r="D924">
        <f>HYPERLINK("https://www.etsy.com/listing/1647761504", "link")</f>
        <v/>
      </c>
      <c r="E924">
        <f>HYPERLINK("https://atlas.etsycorp.com/listing/1647761504/lookup", "link")</f>
        <v/>
      </c>
      <c r="F924" t="inlineStr">
        <is>
          <t>Crochet Husky Puppy - Plushie, Amigurumi, Crochet Dog, Siberian Husky, Dog Stuffies, Gifts, Handmade</t>
        </is>
      </c>
      <c r="G924" t="inlineStr">
        <is>
          <t>Eu_NZ5Y421hcXPE4Tgn6c5olTX3c</t>
        </is>
      </c>
      <c r="H924" t="inlineStr">
        <is>
          <t>web</t>
        </is>
      </c>
      <c r="I924" t="inlineStr">
        <is>
          <t>en-US</t>
        </is>
      </c>
      <c r="J924" t="inlineStr">
        <is>
          <t>us_v2-direct_specified</t>
        </is>
      </c>
      <c r="K924" t="b">
        <v>1</v>
      </c>
      <c r="L924" t="inlineStr">
        <is>
          <t>partial</t>
        </is>
      </c>
      <c r="M924" t="inlineStr">
        <is>
          <t>partial</t>
        </is>
      </c>
      <c r="N924" t="inlineStr">
        <is>
          <t>partial</t>
        </is>
      </c>
      <c r="O924" t="inlineStr">
        <is>
          <t>partial</t>
        </is>
      </c>
      <c r="P924" t="b">
        <v>1</v>
      </c>
    </row>
    <row r="925">
      <c r="A925" t="inlineStr">
        <is>
          <t>hotairballoonnursery tavolo sedie bambini</t>
        </is>
      </c>
      <c r="B925" t="inlineStr">
        <is>
          <t>hotairballoonnursery tavolo sedie bambini</t>
        </is>
      </c>
      <c r="C925" t="n">
        <v>1502044592</v>
      </c>
      <c r="D925">
        <f>HYPERLINK("https://www.etsy.com/listing/1502044592", "link")</f>
        <v/>
      </c>
      <c r="E925">
        <f>HYPERLINK("https://atlas.etsycorp.com/listing/1502044592/lookup", "link")</f>
        <v/>
      </c>
      <c r="F925" t="inlineStr">
        <is>
          <t>Montessori Toddler Kids Room Furniture | White Rabbit Montessori Furniture | Wooden Kids Table and Chairs Set | Kids Room Table</t>
        </is>
      </c>
      <c r="G925" t="inlineStr">
        <is>
          <t>EurSQ1Q-XoICg6VAnvZmgkkndq0e</t>
        </is>
      </c>
      <c r="H925" t="inlineStr">
        <is>
          <t>web</t>
        </is>
      </c>
      <c r="I925" t="inlineStr">
        <is>
          <t>it</t>
        </is>
      </c>
      <c r="J925" t="inlineStr">
        <is>
          <t>intl-it</t>
        </is>
      </c>
      <c r="K925" t="b">
        <v>1</v>
      </c>
      <c r="L925" t="inlineStr">
        <is>
          <t>partial</t>
        </is>
      </c>
      <c r="M925" t="inlineStr">
        <is>
          <t>relevant</t>
        </is>
      </c>
      <c r="N925" t="inlineStr">
        <is>
          <t>partial</t>
        </is>
      </c>
      <c r="O925" t="inlineStr">
        <is>
          <t>partial</t>
        </is>
      </c>
      <c r="P925" t="b">
        <v>1</v>
      </c>
    </row>
    <row r="926">
      <c r="A926" t="inlineStr">
        <is>
          <t>wooden army veteran signs</t>
        </is>
      </c>
      <c r="B926" t="inlineStr"/>
      <c r="C926" t="n">
        <v>280264040</v>
      </c>
      <c r="D926">
        <f>HYPERLINK("https://www.etsy.com/listing/280264040", "link")</f>
        <v/>
      </c>
      <c r="E926">
        <f>HYPERLINK("https://atlas.etsycorp.com/listing/280264040/lookup", "link")</f>
        <v/>
      </c>
      <c r="F926" t="inlineStr">
        <is>
          <t>U.S. Army black and white flag.</t>
        </is>
      </c>
      <c r="G926" t="inlineStr">
        <is>
          <t>EuCD_i01Npc02-ewPKetg4A8jxc1</t>
        </is>
      </c>
      <c r="H926" t="inlineStr">
        <is>
          <t>web</t>
        </is>
      </c>
      <c r="I926" t="inlineStr">
        <is>
          <t>en-US</t>
        </is>
      </c>
      <c r="J926" t="inlineStr">
        <is>
          <t>us_v2-direct_specified</t>
        </is>
      </c>
      <c r="K926" t="b">
        <v>1</v>
      </c>
      <c r="L926" t="inlineStr">
        <is>
          <t>partial</t>
        </is>
      </c>
      <c r="M926" t="inlineStr">
        <is>
          <t>partial</t>
        </is>
      </c>
      <c r="N926" t="inlineStr">
        <is>
          <t>partial</t>
        </is>
      </c>
      <c r="O926" t="inlineStr">
        <is>
          <t>partial</t>
        </is>
      </c>
      <c r="P926" t="b">
        <v>1</v>
      </c>
    </row>
    <row r="927">
      <c r="A927" t="inlineStr">
        <is>
          <t>perline oro 18k</t>
        </is>
      </c>
      <c r="B927" t="inlineStr">
        <is>
          <t>18k gold beads</t>
        </is>
      </c>
      <c r="C927" t="n">
        <v>1534916734</v>
      </c>
      <c r="D927">
        <f>HYPERLINK("https://www.etsy.com/listing/1534916734", "link")</f>
        <v/>
      </c>
      <c r="E927">
        <f>HYPERLINK("https://atlas.etsycorp.com/listing/1534916734/lookup", "link")</f>
        <v/>
      </c>
      <c r="F927" t="inlineStr">
        <is>
          <t>Natural Amethyst Charm, 18k Solid Gold Charm, Handmade Gold Charm, Purple Amethyst Gemstone Pendant Necklace, February Birthstone Charm</t>
        </is>
      </c>
      <c r="G927" t="inlineStr">
        <is>
          <t>EuVLrHH74XkmsdRi0WKkWS44c607</t>
        </is>
      </c>
      <c r="H927" t="inlineStr">
        <is>
          <t>web</t>
        </is>
      </c>
      <c r="I927" t="inlineStr">
        <is>
          <t>it</t>
        </is>
      </c>
      <c r="J927" t="inlineStr">
        <is>
          <t>intl-it</t>
        </is>
      </c>
      <c r="K927" t="b">
        <v>1</v>
      </c>
      <c r="L927" t="inlineStr">
        <is>
          <t>not_relevant</t>
        </is>
      </c>
      <c r="M927" t="inlineStr">
        <is>
          <t>not_relevant</t>
        </is>
      </c>
      <c r="N927" t="inlineStr">
        <is>
          <t>not_relevant</t>
        </is>
      </c>
      <c r="O927" t="inlineStr">
        <is>
          <t>not_relevant</t>
        </is>
      </c>
      <c r="P927" t="b">
        <v>1</v>
      </c>
    </row>
    <row r="928">
      <c r="A928" t="inlineStr">
        <is>
          <t>patches for jackets</t>
        </is>
      </c>
      <c r="B928" t="inlineStr"/>
      <c r="C928" t="n">
        <v>1647016994</v>
      </c>
      <c r="D928">
        <f>HYPERLINK("https://www.etsy.com/listing/1647016994", "link")</f>
        <v/>
      </c>
      <c r="E928">
        <f>HYPERLINK("https://atlas.etsycorp.com/listing/1647016994/lookup", "link")</f>
        <v/>
      </c>
      <c r="F928" t="inlineStr">
        <is>
          <t>10 Motorsport Patches Random Lot / Formula One Rally Racing Motorsport Patch / Sew Or Iron On Embroidered Patch / Wholesale Motorsport Patch</t>
        </is>
      </c>
      <c r="G928" t="inlineStr">
        <is>
          <t>EupqCUoGa22GpuFIpuFV0buc2hd4</t>
        </is>
      </c>
      <c r="H928" t="inlineStr">
        <is>
          <t>web</t>
        </is>
      </c>
      <c r="I928" t="inlineStr">
        <is>
          <t>en-US</t>
        </is>
      </c>
      <c r="J928" t="inlineStr">
        <is>
          <t>us_v2-direct_unspecified</t>
        </is>
      </c>
      <c r="K928" t="b">
        <v>1</v>
      </c>
      <c r="L928" t="inlineStr">
        <is>
          <t>relevant</t>
        </is>
      </c>
      <c r="M928" t="inlineStr">
        <is>
          <t>relevant</t>
        </is>
      </c>
      <c r="N928" t="inlineStr">
        <is>
          <t>relevant</t>
        </is>
      </c>
      <c r="O928" t="inlineStr">
        <is>
          <t>relevant</t>
        </is>
      </c>
      <c r="P928" t="b">
        <v>1</v>
      </c>
    </row>
    <row r="929">
      <c r="A929" t="inlineStr">
        <is>
          <t>elegant cat tree</t>
        </is>
      </c>
      <c r="B929" t="inlineStr"/>
      <c r="C929" t="n">
        <v>1419989108</v>
      </c>
      <c r="D929">
        <f>HYPERLINK("https://www.etsy.com/listing/1419989108", "link")</f>
        <v/>
      </c>
      <c r="E929">
        <f>HYPERLINK("https://atlas.etsycorp.com/listing/1419989108/lookup", "link")</f>
        <v/>
      </c>
      <c r="F929" t="inlineStr">
        <is>
          <t>3D Printed Cat Stretch Voronoi figurine decor</t>
        </is>
      </c>
      <c r="G929" t="inlineStr">
        <is>
          <t>EuCytEdtEMkWTcQv8B0PwIfUJNd4</t>
        </is>
      </c>
      <c r="H929" t="inlineStr">
        <is>
          <t>web</t>
        </is>
      </c>
      <c r="I929" t="inlineStr">
        <is>
          <t>en-US</t>
        </is>
      </c>
      <c r="J929" t="inlineStr">
        <is>
          <t>us_v2-direct_specified</t>
        </is>
      </c>
      <c r="K929" t="b">
        <v>1</v>
      </c>
      <c r="L929" t="inlineStr">
        <is>
          <t>not_relevant</t>
        </is>
      </c>
      <c r="M929" t="inlineStr">
        <is>
          <t>partial</t>
        </is>
      </c>
      <c r="N929" t="inlineStr">
        <is>
          <t>not_relevant</t>
        </is>
      </c>
      <c r="O929" t="inlineStr">
        <is>
          <t>not_relevant</t>
        </is>
      </c>
      <c r="P929" t="b">
        <v>1</v>
      </c>
    </row>
    <row r="930">
      <c r="A930" t="inlineStr">
        <is>
          <t>bassoon gifts</t>
        </is>
      </c>
      <c r="B930" t="inlineStr"/>
      <c r="C930" t="n">
        <v>777241227</v>
      </c>
      <c r="D930">
        <f>HYPERLINK("https://www.etsy.com/listing/777241227", "link")</f>
        <v/>
      </c>
      <c r="E930">
        <f>HYPERLINK("https://atlas.etsycorp.com/listing/777241227/lookup", "link")</f>
        <v/>
      </c>
      <c r="F930" t="inlineStr">
        <is>
          <t>Bass Clef Sweatshirt</t>
        </is>
      </c>
      <c r="G930" t="inlineStr">
        <is>
          <t>EusbDDhsP2vCz6tdecAYJ91MPF72</t>
        </is>
      </c>
      <c r="H930" t="inlineStr">
        <is>
          <t>web</t>
        </is>
      </c>
      <c r="I930" t="inlineStr">
        <is>
          <t>en-US</t>
        </is>
      </c>
      <c r="J930" t="inlineStr">
        <is>
          <t>us_v2-broad</t>
        </is>
      </c>
      <c r="K930" t="b">
        <v>1</v>
      </c>
      <c r="L930" t="inlineStr">
        <is>
          <t>not_relevant</t>
        </is>
      </c>
      <c r="M930" t="inlineStr">
        <is>
          <t>not_relevant</t>
        </is>
      </c>
      <c r="N930" t="inlineStr">
        <is>
          <t>not_relevant</t>
        </is>
      </c>
      <c r="O930" t="inlineStr">
        <is>
          <t>not_relevant</t>
        </is>
      </c>
      <c r="P930" t="b">
        <v>1</v>
      </c>
    </row>
    <row r="931">
      <c r="A931" t="inlineStr">
        <is>
          <t>baby cloths</t>
        </is>
      </c>
      <c r="B931" t="inlineStr"/>
      <c r="C931" t="n">
        <v>1647406393</v>
      </c>
      <c r="D931">
        <f>HYPERLINK("https://www.etsy.com/listing/1647406393", "link")</f>
        <v/>
      </c>
      <c r="E931">
        <f>HYPERLINK("https://atlas.etsycorp.com/listing/1647406393/lookup", "link")</f>
        <v/>
      </c>
      <c r="F931" t="inlineStr">
        <is>
          <t>In My Boy Mom Era Sweatshirt, Boy Mama Comfort Colors Tshirt, Boy Mom Club, Boy Mom Tshirt, New Mom Gift, Gender Reveal, Expecting Mom Gift</t>
        </is>
      </c>
      <c r="G931" t="inlineStr">
        <is>
          <t>Eu1F4I_vQuICjS8beW6AnIW1onc0</t>
        </is>
      </c>
      <c r="H931" t="inlineStr">
        <is>
          <t>boe</t>
        </is>
      </c>
      <c r="I931" t="inlineStr">
        <is>
          <t>en-US</t>
        </is>
      </c>
      <c r="J931" t="inlineStr">
        <is>
          <t>us_v2-direct_unspecified</t>
        </is>
      </c>
      <c r="K931" t="b">
        <v>1</v>
      </c>
      <c r="L931" t="inlineStr">
        <is>
          <t>partial</t>
        </is>
      </c>
      <c r="M931" t="inlineStr">
        <is>
          <t>not_relevant</t>
        </is>
      </c>
      <c r="N931" t="inlineStr">
        <is>
          <t>partial</t>
        </is>
      </c>
      <c r="O931" t="inlineStr">
        <is>
          <t>partial</t>
        </is>
      </c>
      <c r="P931" t="b">
        <v>1</v>
      </c>
    </row>
    <row r="932">
      <c r="A932" t="inlineStr">
        <is>
          <t>bob esponja invitacion</t>
        </is>
      </c>
      <c r="B932" t="inlineStr">
        <is>
          <t>spongebob invitation</t>
        </is>
      </c>
      <c r="C932" t="n">
        <v>1382073160</v>
      </c>
      <c r="D932">
        <f>HYPERLINK("https://www.etsy.com/listing/1382073160", "link")</f>
        <v/>
      </c>
      <c r="E932">
        <f>HYPERLINK("https://atlas.etsycorp.com/listing/1382073160/lookup", "link")</f>
        <v/>
      </c>
      <c r="F932" t="inlineStr">
        <is>
          <t>Sponge Bob</t>
        </is>
      </c>
      <c r="G932" t="inlineStr">
        <is>
          <t>EuVRsjDTrAYe5E7WsECe-diwMwd0</t>
        </is>
      </c>
      <c r="H932" t="inlineStr">
        <is>
          <t>web</t>
        </is>
      </c>
      <c r="I932" t="inlineStr">
        <is>
          <t>es</t>
        </is>
      </c>
      <c r="J932" t="inlineStr">
        <is>
          <t>intl-es</t>
        </is>
      </c>
      <c r="K932" t="b">
        <v>1</v>
      </c>
      <c r="L932" t="inlineStr">
        <is>
          <t>not_relevant</t>
        </is>
      </c>
      <c r="M932" t="inlineStr">
        <is>
          <t>partial</t>
        </is>
      </c>
      <c r="N932" t="inlineStr">
        <is>
          <t>not_relevant</t>
        </is>
      </c>
      <c r="O932" t="inlineStr">
        <is>
          <t>not_relevant</t>
        </is>
      </c>
      <c r="P932" t="b">
        <v>1</v>
      </c>
    </row>
    <row r="933">
      <c r="A933" t="inlineStr">
        <is>
          <t>margarita joyas</t>
        </is>
      </c>
      <c r="B933" t="inlineStr">
        <is>
          <t>daisy jewelry</t>
        </is>
      </c>
      <c r="C933" t="n">
        <v>1347834920</v>
      </c>
      <c r="D933">
        <f>HYPERLINK("https://www.etsy.com/listing/1347834920", "link")</f>
        <v/>
      </c>
      <c r="E933">
        <f>HYPERLINK("https://atlas.etsycorp.com/listing/1347834920/lookup", "link")</f>
        <v/>
      </c>
      <c r="F933" t="inlineStr">
        <is>
          <t>ON REQUEST/Polymeric Clay Jewelry/Cat Earrings/Harry Potter Jewelry/Gryffindor Earrings/Mystical Jewelry/Handmade/Christmas Jewelry</t>
        </is>
      </c>
      <c r="G933" t="inlineStr">
        <is>
          <t>EugCpVERFATBw266-aN-8lPVCO42</t>
        </is>
      </c>
      <c r="H933" t="inlineStr">
        <is>
          <t>boe</t>
        </is>
      </c>
      <c r="I933" t="inlineStr">
        <is>
          <t>es</t>
        </is>
      </c>
      <c r="J933" t="inlineStr">
        <is>
          <t>intl-es</t>
        </is>
      </c>
      <c r="K933" t="b">
        <v>1</v>
      </c>
      <c r="L933" t="inlineStr">
        <is>
          <t>partial</t>
        </is>
      </c>
      <c r="M933" t="inlineStr">
        <is>
          <t>partial</t>
        </is>
      </c>
      <c r="N933" t="inlineStr">
        <is>
          <t>partial</t>
        </is>
      </c>
      <c r="O933" t="inlineStr">
        <is>
          <t>partial</t>
        </is>
      </c>
      <c r="P933" t="b">
        <v>1</v>
      </c>
    </row>
    <row r="934">
      <c r="A934" t="inlineStr">
        <is>
          <t>badge reel moon</t>
        </is>
      </c>
      <c r="B934" t="inlineStr"/>
      <c r="C934" t="n">
        <v>646798973</v>
      </c>
      <c r="D934">
        <f>HYPERLINK("https://www.etsy.com/listing/646798973", "link")</f>
        <v/>
      </c>
      <c r="E934">
        <f>HYPERLINK("https://atlas.etsycorp.com/listing/646798973/lookup", "link")</f>
        <v/>
      </c>
      <c r="F934" t="inlineStr">
        <is>
          <t>Space Badge Reel - Retractable ID Badge - Teacher Badge Reel - Heavy Duty Badge Reel - ID Badge Holder</t>
        </is>
      </c>
      <c r="G934" t="inlineStr">
        <is>
          <t>EuCHDD-djEGmFUpadqfOgrA7sHaf</t>
        </is>
      </c>
      <c r="H934" t="inlineStr">
        <is>
          <t>boe</t>
        </is>
      </c>
      <c r="I934" t="inlineStr">
        <is>
          <t>en-US</t>
        </is>
      </c>
      <c r="J934" t="inlineStr">
        <is>
          <t>us_v2-direct_specified</t>
        </is>
      </c>
      <c r="K934" t="b">
        <v>1</v>
      </c>
      <c r="L934" t="inlineStr">
        <is>
          <t>relevant</t>
        </is>
      </c>
      <c r="M934" t="inlineStr">
        <is>
          <t>relevant</t>
        </is>
      </c>
      <c r="N934" t="inlineStr">
        <is>
          <t>partial</t>
        </is>
      </c>
      <c r="O934" t="inlineStr">
        <is>
          <t>relevant</t>
        </is>
      </c>
      <c r="P934" t="b">
        <v>1</v>
      </c>
    </row>
    <row r="935">
      <c r="A935" t="inlineStr">
        <is>
          <t>darkwing duck</t>
        </is>
      </c>
      <c r="B935" t="inlineStr">
        <is>
          <t>darkwing duck</t>
        </is>
      </c>
      <c r="C935" t="n">
        <v>1428791408</v>
      </c>
      <c r="D935">
        <f>HYPERLINK("https://www.etsy.com/listing/1428791408", "link")</f>
        <v/>
      </c>
      <c r="E935">
        <f>HYPERLINK("https://atlas.etsycorp.com/listing/1428791408/lookup", "link")</f>
        <v/>
      </c>
      <c r="F935" t="inlineStr">
        <is>
          <t>Painting “Donald Duck” (Upcycling Art), Donald, Ducktales, Entenhausen, art, unique, wall decoration, gift, picture, collage</t>
        </is>
      </c>
      <c r="G935" t="inlineStr">
        <is>
          <t>Euvd_lCqiounXliA2J4DPPPSvV52</t>
        </is>
      </c>
      <c r="H935" t="inlineStr">
        <is>
          <t>web</t>
        </is>
      </c>
      <c r="I935" t="inlineStr">
        <is>
          <t>ja</t>
        </is>
      </c>
      <c r="J935" t="inlineStr">
        <is>
          <t>intl-ja</t>
        </is>
      </c>
      <c r="K935" t="b">
        <v>1</v>
      </c>
      <c r="L935" t="inlineStr">
        <is>
          <t>partial</t>
        </is>
      </c>
      <c r="M935" t="inlineStr">
        <is>
          <t>partial</t>
        </is>
      </c>
      <c r="N935" t="inlineStr">
        <is>
          <t>partial</t>
        </is>
      </c>
      <c r="O935" t="inlineStr">
        <is>
          <t>not_relevant</t>
        </is>
      </c>
      <c r="P935" t="b">
        <v>1</v>
      </c>
    </row>
    <row r="936">
      <c r="A936" t="inlineStr">
        <is>
          <t>toy story bed set</t>
        </is>
      </c>
      <c r="B936" t="inlineStr"/>
      <c r="C936" t="n">
        <v>1302294999</v>
      </c>
      <c r="D936">
        <f>HYPERLINK("https://www.etsy.com/listing/1302294999", "link")</f>
        <v/>
      </c>
      <c r="E936">
        <f>HYPERLINK("https://atlas.etsycorp.com/listing/1302294999/lookup", "link")</f>
        <v/>
      </c>
      <c r="F936" t="inlineStr">
        <is>
          <t>Pizza Planet Pizza Boxes for Party Events and Collectors</t>
        </is>
      </c>
      <c r="G936" t="inlineStr">
        <is>
          <t>EuUV4c5S9qtpVfBRVbqeZai7had7</t>
        </is>
      </c>
      <c r="H936" t="inlineStr">
        <is>
          <t>boe</t>
        </is>
      </c>
      <c r="I936" t="inlineStr">
        <is>
          <t>en-US</t>
        </is>
      </c>
      <c r="J936" t="inlineStr">
        <is>
          <t>us_v2-direct_unspecified</t>
        </is>
      </c>
      <c r="K936" t="b">
        <v>1</v>
      </c>
      <c r="L936" t="inlineStr">
        <is>
          <t>not_relevant</t>
        </is>
      </c>
      <c r="M936" t="inlineStr">
        <is>
          <t>not_relevant</t>
        </is>
      </c>
      <c r="N936" t="inlineStr">
        <is>
          <t>not_relevant</t>
        </is>
      </c>
      <c r="O936" t="inlineStr">
        <is>
          <t>not_relevant</t>
        </is>
      </c>
      <c r="P936" t="b">
        <v>1</v>
      </c>
    </row>
    <row r="937">
      <c r="A937" t="inlineStr">
        <is>
          <t>médaillon bouquet de mariage</t>
        </is>
      </c>
      <c r="B937" t="inlineStr">
        <is>
          <t>wedding bouquet locket</t>
        </is>
      </c>
      <c r="C937" t="n">
        <v>720136772</v>
      </c>
      <c r="D937">
        <f>HYPERLINK("https://www.etsy.com/listing/720136772", "link")</f>
        <v/>
      </c>
      <c r="E937">
        <f>HYPERLINK("https://atlas.etsycorp.com/listing/720136772/lookup", "link")</f>
        <v/>
      </c>
      <c r="F937" t="inlineStr">
        <is>
          <t>We know you would be here if heaven weren&amp;#39;t so far away.Loving memory memorial charm locket brooch.Personalised with any photo.bride,wedding</t>
        </is>
      </c>
      <c r="G937" t="inlineStr">
        <is>
          <t>EuhxcHecwQjk7DkKfs13-wf48p1d</t>
        </is>
      </c>
      <c r="H937" t="inlineStr">
        <is>
          <t>web</t>
        </is>
      </c>
      <c r="I937" t="inlineStr">
        <is>
          <t>fr</t>
        </is>
      </c>
      <c r="J937" t="inlineStr">
        <is>
          <t>intl-fr</t>
        </is>
      </c>
      <c r="K937" t="b">
        <v>1</v>
      </c>
      <c r="L937" t="inlineStr">
        <is>
          <t>relevant</t>
        </is>
      </c>
      <c r="M937" t="inlineStr">
        <is>
          <t>partial</t>
        </is>
      </c>
      <c r="N937" t="inlineStr">
        <is>
          <t>relevant</t>
        </is>
      </c>
      <c r="O937" t="inlineStr">
        <is>
          <t>relevant</t>
        </is>
      </c>
      <c r="P937" t="b">
        <v>1</v>
      </c>
    </row>
    <row r="938">
      <c r="A938" t="inlineStr">
        <is>
          <t>dry bones pattern</t>
        </is>
      </c>
      <c r="B938" t="inlineStr"/>
      <c r="C938" t="n">
        <v>1615363387</v>
      </c>
      <c r="D938">
        <f>HYPERLINK("https://www.etsy.com/listing/1615363387", "link")</f>
        <v/>
      </c>
      <c r="E938">
        <f>HYPERLINK("https://atlas.etsycorp.com/listing/1615363387/lookup", "link")</f>
        <v/>
      </c>
      <c r="F938" t="inlineStr">
        <is>
          <t>Winnie the Dragon OFFICIAL Pattern</t>
        </is>
      </c>
      <c r="G938" t="inlineStr">
        <is>
          <t>EuLNwhSOxch0nUdFh2MXImEzJLec</t>
        </is>
      </c>
      <c r="H938" t="inlineStr">
        <is>
          <t>boe</t>
        </is>
      </c>
      <c r="I938" t="inlineStr">
        <is>
          <t>en-US</t>
        </is>
      </c>
      <c r="J938" t="inlineStr">
        <is>
          <t>us_v2-direct_specified</t>
        </is>
      </c>
      <c r="K938" t="b">
        <v>1</v>
      </c>
      <c r="L938" t="inlineStr">
        <is>
          <t>partial</t>
        </is>
      </c>
      <c r="M938" t="inlineStr">
        <is>
          <t>relevant</t>
        </is>
      </c>
      <c r="N938" t="inlineStr">
        <is>
          <t>partial</t>
        </is>
      </c>
      <c r="O938" t="inlineStr">
        <is>
          <t>partial</t>
        </is>
      </c>
      <c r="P938" t="b">
        <v>1</v>
      </c>
    </row>
    <row r="939">
      <c r="A939" t="inlineStr">
        <is>
          <t>vivienne westwood</t>
        </is>
      </c>
      <c r="B939" t="inlineStr">
        <is>
          <t>vivienne westwood</t>
        </is>
      </c>
      <c r="C939" t="n">
        <v>1745477554</v>
      </c>
      <c r="D939">
        <f>HYPERLINK("https://www.etsy.com/listing/1745477554", "link")</f>
        <v/>
      </c>
      <c r="E939">
        <f>HYPERLINK("https://atlas.etsycorp.com/listing/1745477554/lookup", "link")</f>
        <v/>
      </c>
      <c r="F939" t="inlineStr">
        <is>
          <t>Pearl Saturn Necklace | Silver Pearl Necklace | Saturn Pearl Earrings | Women Dainty Necklace | Women Earrings | Pearl Jewelry Accessories</t>
        </is>
      </c>
      <c r="G939" t="inlineStr">
        <is>
          <t>EuwYHq-emCk0wJREUGyFy6hQiy14</t>
        </is>
      </c>
      <c r="H939" t="inlineStr">
        <is>
          <t>web</t>
        </is>
      </c>
      <c r="I939" t="inlineStr">
        <is>
          <t>de</t>
        </is>
      </c>
      <c r="J939" t="inlineStr">
        <is>
          <t>intl-de</t>
        </is>
      </c>
      <c r="K939" t="b">
        <v>1</v>
      </c>
      <c r="L939" t="inlineStr">
        <is>
          <t>not_relevant</t>
        </is>
      </c>
      <c r="M939" t="inlineStr">
        <is>
          <t>relevant</t>
        </is>
      </c>
      <c r="N939" t="inlineStr">
        <is>
          <t>not_relevant</t>
        </is>
      </c>
      <c r="O939" t="inlineStr">
        <is>
          <t>not_relevant</t>
        </is>
      </c>
      <c r="P939" t="b">
        <v>1</v>
      </c>
    </row>
    <row r="940">
      <c r="A940" t="inlineStr">
        <is>
          <t>anniversary gifts for women</t>
        </is>
      </c>
      <c r="B940" t="inlineStr"/>
      <c r="C940" t="n">
        <v>963154727</v>
      </c>
      <c r="D940">
        <f>HYPERLINK("https://www.etsy.com/listing/963154727", "link")</f>
        <v/>
      </c>
      <c r="E940">
        <f>HYPERLINK("https://atlas.etsycorp.com/listing/963154727/lookup", "link")</f>
        <v/>
      </c>
      <c r="F940" t="inlineStr">
        <is>
          <t>Custom Handmade Belt - Engraved Leather Belt - Grooms Men Gift - Genuine Leather - Gift for Boyfriend - Gifts for Men - Gifts for Him</t>
        </is>
      </c>
      <c r="G940" t="inlineStr">
        <is>
          <t>Eu-4Y2eiRCEK7KU3ok7XByUZp-13</t>
        </is>
      </c>
      <c r="H940" t="inlineStr">
        <is>
          <t>boe</t>
        </is>
      </c>
      <c r="I940" t="inlineStr">
        <is>
          <t>en-US</t>
        </is>
      </c>
      <c r="J940" t="inlineStr">
        <is>
          <t>us_v2-gift</t>
        </is>
      </c>
      <c r="K940" t="b">
        <v>1</v>
      </c>
      <c r="L940" t="inlineStr">
        <is>
          <t>not_relevant</t>
        </is>
      </c>
      <c r="M940" t="inlineStr">
        <is>
          <t>not_relevant</t>
        </is>
      </c>
      <c r="N940" t="inlineStr">
        <is>
          <t>not_relevant</t>
        </is>
      </c>
      <c r="O940" t="inlineStr">
        <is>
          <t>not_relevant</t>
        </is>
      </c>
      <c r="P940" t="b">
        <v>1</v>
      </c>
    </row>
    <row r="941">
      <c r="A941" t="inlineStr">
        <is>
          <t>absinthe</t>
        </is>
      </c>
      <c r="B941" t="inlineStr"/>
      <c r="C941" t="n">
        <v>1494620516</v>
      </c>
      <c r="D941">
        <f>HYPERLINK("https://www.etsy.com/listing/1494620516", "link")</f>
        <v/>
      </c>
      <c r="E941">
        <f>HYPERLINK("https://atlas.etsycorp.com/listing/1494620516/lookup", "link")</f>
        <v/>
      </c>
      <c r="F941" t="inlineStr">
        <is>
          <t>Absinthe - Metal Sign Metal Plaque Wall Art decor Signage</t>
        </is>
      </c>
      <c r="G941" t="inlineStr">
        <is>
          <t>EuWiMoH8VojRZw6DiswMwMV08089</t>
        </is>
      </c>
      <c r="H941" t="inlineStr">
        <is>
          <t>boe</t>
        </is>
      </c>
      <c r="I941" t="inlineStr">
        <is>
          <t>en-US</t>
        </is>
      </c>
      <c r="J941" t="inlineStr">
        <is>
          <t>us_v2-direct_unspecified</t>
        </is>
      </c>
      <c r="K941" t="b">
        <v>1</v>
      </c>
      <c r="L941" t="inlineStr">
        <is>
          <t>relevant</t>
        </is>
      </c>
      <c r="M941" t="inlineStr">
        <is>
          <t>relevant</t>
        </is>
      </c>
      <c r="N941" t="inlineStr">
        <is>
          <t>relevant</t>
        </is>
      </c>
      <c r="O941" t="inlineStr">
        <is>
          <t>relevant</t>
        </is>
      </c>
      <c r="P941" t="b">
        <v>1</v>
      </c>
    </row>
    <row r="942">
      <c r="A942" t="inlineStr">
        <is>
          <t>lunchables coaster</t>
        </is>
      </c>
      <c r="B942" t="inlineStr"/>
      <c r="C942" t="n">
        <v>1620758759</v>
      </c>
      <c r="D942">
        <f>HYPERLINK("https://www.etsy.com/listing/1620758759", "link")</f>
        <v/>
      </c>
      <c r="E942">
        <f>HYPERLINK("https://atlas.etsycorp.com/listing/1620758759/lookup", "link")</f>
        <v/>
      </c>
      <c r="F942" t="inlineStr">
        <is>
          <t>Round Ceramic Coasters Set With Holder, Absorbent Marble Coasters, Black Coasters Set of 6 with Gold Holder and Cork-based Coasters</t>
        </is>
      </c>
      <c r="G942" t="inlineStr">
        <is>
          <t>EufDkpKFZuPyizROXkCf2UW9qXbf</t>
        </is>
      </c>
      <c r="H942" t="inlineStr">
        <is>
          <t>boe</t>
        </is>
      </c>
      <c r="I942" t="inlineStr">
        <is>
          <t>en-US</t>
        </is>
      </c>
      <c r="J942" t="inlineStr">
        <is>
          <t>us_v2-direct_unspecified</t>
        </is>
      </c>
      <c r="K942" t="b">
        <v>1</v>
      </c>
      <c r="L942" t="inlineStr">
        <is>
          <t>partial</t>
        </is>
      </c>
      <c r="M942" t="inlineStr">
        <is>
          <t>partial</t>
        </is>
      </c>
      <c r="N942" t="inlineStr">
        <is>
          <t>partial</t>
        </is>
      </c>
      <c r="O942" t="inlineStr">
        <is>
          <t>partial</t>
        </is>
      </c>
      <c r="P942" t="b">
        <v>1</v>
      </c>
    </row>
    <row r="943">
      <c r="A943" t="inlineStr">
        <is>
          <t>tattoo teddy bear</t>
        </is>
      </c>
      <c r="B943" t="inlineStr"/>
      <c r="C943" t="n">
        <v>1369654511</v>
      </c>
      <c r="D943">
        <f>HYPERLINK("https://www.etsy.com/listing/1369654511", "link")</f>
        <v/>
      </c>
      <c r="E943">
        <f>HYPERLINK("https://atlas.etsycorp.com/listing/1369654511/lookup", "link")</f>
        <v/>
      </c>
      <c r="F943" t="inlineStr">
        <is>
          <t>Dwayne the Wrestling Rhino</t>
        </is>
      </c>
      <c r="G943" t="inlineStr">
        <is>
          <t>EuFb3MOcfttEXaWtn_nGOWcsC-e2</t>
        </is>
      </c>
      <c r="H943" t="inlineStr">
        <is>
          <t>boe</t>
        </is>
      </c>
      <c r="I943" t="inlineStr">
        <is>
          <t>en-GB</t>
        </is>
      </c>
      <c r="J943" t="inlineStr">
        <is>
          <t>us_v2-direct_unspecified</t>
        </is>
      </c>
      <c r="K943" t="b">
        <v>1</v>
      </c>
      <c r="L943" t="inlineStr">
        <is>
          <t>not_relevant</t>
        </is>
      </c>
      <c r="M943" t="inlineStr">
        <is>
          <t>not_relevant</t>
        </is>
      </c>
      <c r="N943" t="inlineStr">
        <is>
          <t>partial</t>
        </is>
      </c>
      <c r="O943" t="inlineStr">
        <is>
          <t>not_relevant</t>
        </is>
      </c>
      <c r="P943" t="b">
        <v>1</v>
      </c>
    </row>
    <row r="944">
      <c r="A944" t="inlineStr">
        <is>
          <t>bachelorette cups</t>
        </is>
      </c>
      <c r="B944" t="inlineStr"/>
      <c r="C944" t="n">
        <v>660633562</v>
      </c>
      <c r="D944">
        <f>HYPERLINK("https://www.etsy.com/listing/660633562", "link")</f>
        <v/>
      </c>
      <c r="E944">
        <f>HYPERLINK("https://atlas.etsycorp.com/listing/660633562/lookup", "link")</f>
        <v/>
      </c>
      <c r="F944" t="inlineStr">
        <is>
          <t>Iridescent Treat Cups - Iridescent Party Supplies, Iridescent Party Decorations, Bachelorette Party, Birthday Party, Party Favor Cups</t>
        </is>
      </c>
      <c r="G944" t="inlineStr">
        <is>
          <t>EuzBiP0Gpckc9kf92PRpQ7qiyZc8</t>
        </is>
      </c>
      <c r="H944" t="inlineStr">
        <is>
          <t>boe</t>
        </is>
      </c>
      <c r="I944" t="inlineStr">
        <is>
          <t>en-US</t>
        </is>
      </c>
      <c r="J944" t="inlineStr">
        <is>
          <t>us_v2-direct_unspecified</t>
        </is>
      </c>
      <c r="K944" t="b">
        <v>1</v>
      </c>
      <c r="L944" t="inlineStr">
        <is>
          <t>relevant</t>
        </is>
      </c>
      <c r="M944" t="inlineStr">
        <is>
          <t>relevant</t>
        </is>
      </c>
      <c r="N944" t="inlineStr">
        <is>
          <t>relevant</t>
        </is>
      </c>
      <c r="O944" t="inlineStr">
        <is>
          <t>relevant</t>
        </is>
      </c>
      <c r="P944" t="b">
        <v>1</v>
      </c>
    </row>
    <row r="945">
      <c r="A945" t="inlineStr">
        <is>
          <t>potion dragon</t>
        </is>
      </c>
      <c r="B945" t="inlineStr">
        <is>
          <t>potion dragon</t>
        </is>
      </c>
      <c r="C945" t="n">
        <v>1617658522</v>
      </c>
      <c r="D945">
        <f>HYPERLINK("https://www.etsy.com/listing/1617658522", "link")</f>
        <v/>
      </c>
      <c r="E945">
        <f>HYPERLINK("https://atlas.etsycorp.com/listing/1617658522/lookup", "link")</f>
        <v/>
      </c>
      <c r="F945" t="inlineStr">
        <is>
          <t>Apologies - Gold Dragon and Doves original artwork, fantasy art dragon lover gift, real art gold dragon drawing Irish gift</t>
        </is>
      </c>
      <c r="G945" t="inlineStr">
        <is>
          <t>EuyLe5NCISMnt_TfUo79zxrt0894</t>
        </is>
      </c>
      <c r="H945" t="inlineStr">
        <is>
          <t>web</t>
        </is>
      </c>
      <c r="I945" t="inlineStr">
        <is>
          <t>de</t>
        </is>
      </c>
      <c r="J945" t="inlineStr">
        <is>
          <t>intl-de</t>
        </is>
      </c>
      <c r="K945" t="b">
        <v>1</v>
      </c>
      <c r="L945" t="inlineStr">
        <is>
          <t>not_relevant</t>
        </is>
      </c>
      <c r="M945" t="inlineStr">
        <is>
          <t>relevant</t>
        </is>
      </c>
      <c r="N945" t="inlineStr">
        <is>
          <t>not_relevant</t>
        </is>
      </c>
      <c r="O945" t="inlineStr">
        <is>
          <t>not_relevant</t>
        </is>
      </c>
      <c r="P945" t="b">
        <v>1</v>
      </c>
    </row>
    <row r="946">
      <c r="A946" t="inlineStr">
        <is>
          <t>not a lot going on at the moment svg</t>
        </is>
      </c>
      <c r="B946" t="inlineStr"/>
      <c r="C946" t="n">
        <v>1572165616</v>
      </c>
      <c r="D946">
        <f>HYPERLINK("https://www.etsy.com/listing/1572165616", "link")</f>
        <v/>
      </c>
      <c r="E946">
        <f>HYPERLINK("https://atlas.etsycorp.com/listing/1572165616/lookup", "link")</f>
        <v/>
      </c>
      <c r="F946" t="inlineStr">
        <is>
          <t>Who&amp;#39;s Taylor Anyway SVG, We&amp;#39;re Never Getting Back Together PNG, A lot Going At The Moment Tee Design, The Eras Concert Edition SVG</t>
        </is>
      </c>
      <c r="G946" t="inlineStr">
        <is>
          <t>EukfvZMjGcYtRETHxHD3T2AtfPab</t>
        </is>
      </c>
      <c r="H946" t="inlineStr">
        <is>
          <t>boe</t>
        </is>
      </c>
      <c r="I946" t="inlineStr">
        <is>
          <t>en-US</t>
        </is>
      </c>
      <c r="J946" t="inlineStr">
        <is>
          <t>us_v2-direct_specified</t>
        </is>
      </c>
      <c r="K946" t="b">
        <v>1</v>
      </c>
      <c r="L946" t="inlineStr">
        <is>
          <t>partial</t>
        </is>
      </c>
      <c r="M946" t="inlineStr">
        <is>
          <t>partial</t>
        </is>
      </c>
      <c r="N946" t="inlineStr">
        <is>
          <t>partial</t>
        </is>
      </c>
      <c r="O946" t="inlineStr">
        <is>
          <t>relevant</t>
        </is>
      </c>
      <c r="P946" t="b">
        <v>1</v>
      </c>
    </row>
    <row r="947">
      <c r="A947" t="inlineStr">
        <is>
          <t>gifts for kids</t>
        </is>
      </c>
      <c r="B947" t="inlineStr"/>
      <c r="C947" t="n">
        <v>1032142730</v>
      </c>
      <c r="D947">
        <f>HYPERLINK("https://www.etsy.com/listing/1032142730", "link")</f>
        <v/>
      </c>
      <c r="E947">
        <f>HYPERLINK("https://atlas.etsycorp.com/listing/1032142730/lookup", "link")</f>
        <v/>
      </c>
      <c r="F947" t="inlineStr">
        <is>
          <t>Oval Hoops by Caitlyn Minimalist • Small Hoop Earrings in Gold &amp; Sterling Silver • Minimalist Earrings, Perfect Gift for Her • ER150</t>
        </is>
      </c>
      <c r="G947" t="inlineStr">
        <is>
          <t>Eu_MG2Zti4wedDHnasA40AfISjaf</t>
        </is>
      </c>
      <c r="H947" t="inlineStr">
        <is>
          <t>boe</t>
        </is>
      </c>
      <c r="I947" t="inlineStr">
        <is>
          <t>en-US</t>
        </is>
      </c>
      <c r="J947" t="inlineStr">
        <is>
          <t>us_v2-gift</t>
        </is>
      </c>
      <c r="K947" t="b">
        <v>1</v>
      </c>
      <c r="L947" t="inlineStr">
        <is>
          <t>not_relevant</t>
        </is>
      </c>
      <c r="M947" t="inlineStr">
        <is>
          <t>not_relevant</t>
        </is>
      </c>
      <c r="N947" t="inlineStr">
        <is>
          <t>not_relevant</t>
        </is>
      </c>
      <c r="O947" t="inlineStr">
        <is>
          <t>not_relevant</t>
        </is>
      </c>
      <c r="P947" t="b">
        <v>1</v>
      </c>
    </row>
    <row r="948">
      <c r="A948" t="inlineStr">
        <is>
          <t>javascript methods</t>
        </is>
      </c>
      <c r="B948" t="inlineStr"/>
      <c r="C948" t="n">
        <v>1564301799</v>
      </c>
      <c r="D948">
        <f>HYPERLINK("https://www.etsy.com/listing/1564301799", "link")</f>
        <v/>
      </c>
      <c r="E948">
        <f>HYPERLINK("https://atlas.etsycorp.com/listing/1564301799/lookup", "link")</f>
        <v/>
      </c>
      <c r="F948" t="inlineStr">
        <is>
          <t>2024 ICD-10-CM - Tabbing System   (Book NOT included)</t>
        </is>
      </c>
      <c r="G948" t="inlineStr">
        <is>
          <t>Eulj79QDU8cW9rk3faDy9khddn1c</t>
        </is>
      </c>
      <c r="H948" t="inlineStr">
        <is>
          <t>boe</t>
        </is>
      </c>
      <c r="I948" t="inlineStr">
        <is>
          <t>en-US</t>
        </is>
      </c>
      <c r="J948" t="inlineStr">
        <is>
          <t>us_v2-direct_unspecified</t>
        </is>
      </c>
      <c r="K948" t="b">
        <v>1</v>
      </c>
      <c r="L948" t="inlineStr">
        <is>
          <t>not_relevant</t>
        </is>
      </c>
      <c r="M948" t="inlineStr">
        <is>
          <t>not_relevant</t>
        </is>
      </c>
      <c r="N948" t="inlineStr">
        <is>
          <t>not_relevant</t>
        </is>
      </c>
      <c r="O948" t="inlineStr">
        <is>
          <t>not_relevant</t>
        </is>
      </c>
      <c r="P948" t="b">
        <v>1</v>
      </c>
    </row>
    <row r="949">
      <c r="A949" t="inlineStr">
        <is>
          <t>reale estate brochure</t>
        </is>
      </c>
      <c r="B949" t="inlineStr">
        <is>
          <t>real estate brochure</t>
        </is>
      </c>
      <c r="C949" t="n">
        <v>1270286479</v>
      </c>
      <c r="D949">
        <f>HYPERLINK("https://www.etsy.com/listing/1270286479", "link")</f>
        <v/>
      </c>
      <c r="E949">
        <f>HYPERLINK("https://atlas.etsycorp.com/listing/1270286479/lookup", "link")</f>
        <v/>
      </c>
      <c r="F949" t="inlineStr">
        <is>
          <t>Real Estate Brochure, Luxury Property Brochure, For Sale Flyer, Listing Flyer, Open House Brochure, Property Magazine, Brochure Template, RE</t>
        </is>
      </c>
      <c r="G949" t="inlineStr">
        <is>
          <t>EuJKwOXAovSLow4F8x-v193Rmp0f</t>
        </is>
      </c>
      <c r="H949" t="inlineStr">
        <is>
          <t>web</t>
        </is>
      </c>
      <c r="I949" t="inlineStr">
        <is>
          <t>fr</t>
        </is>
      </c>
      <c r="J949" t="inlineStr">
        <is>
          <t>intl-fr</t>
        </is>
      </c>
      <c r="K949" t="b">
        <v>1</v>
      </c>
      <c r="L949" t="inlineStr">
        <is>
          <t>relevant</t>
        </is>
      </c>
      <c r="M949" t="inlineStr">
        <is>
          <t>relevant</t>
        </is>
      </c>
      <c r="N949" t="inlineStr">
        <is>
          <t>relevant</t>
        </is>
      </c>
      <c r="O949" t="inlineStr">
        <is>
          <t>partial</t>
        </is>
      </c>
      <c r="P949" t="b">
        <v>1</v>
      </c>
    </row>
    <row r="950">
      <c r="A950" t="inlineStr">
        <is>
          <t>winnie the pooh compleanno</t>
        </is>
      </c>
      <c r="B950" t="inlineStr">
        <is>
          <t>winnie the pooh birthday</t>
        </is>
      </c>
      <c r="C950" t="n">
        <v>1351190283</v>
      </c>
      <c r="D950">
        <f>HYPERLINK("https://www.etsy.com/listing/1351190283", "link")</f>
        <v/>
      </c>
      <c r="E950">
        <f>HYPERLINK("https://atlas.etsycorp.com/listing/1351190283/lookup", "link")</f>
        <v/>
      </c>
      <c r="F950" t="inlineStr">
        <is>
          <t>Winnie the Pooh clip art png watercolor; COMMERCIAL USE; Pooh Baby shower; Winnie Pooh Birthday scrapbooking stickers</t>
        </is>
      </c>
      <c r="G950" t="inlineStr">
        <is>
          <t>EuFf074VueuA5QQW0ure1plLjH72</t>
        </is>
      </c>
      <c r="H950" t="inlineStr">
        <is>
          <t>boe</t>
        </is>
      </c>
      <c r="I950" t="inlineStr">
        <is>
          <t>it</t>
        </is>
      </c>
      <c r="J950" t="inlineStr">
        <is>
          <t>intl-it</t>
        </is>
      </c>
      <c r="K950" t="b">
        <v>1</v>
      </c>
      <c r="L950" t="inlineStr">
        <is>
          <t>relevant</t>
        </is>
      </c>
      <c r="M950" t="inlineStr">
        <is>
          <t>relevant</t>
        </is>
      </c>
      <c r="N950" t="inlineStr">
        <is>
          <t>relevant</t>
        </is>
      </c>
      <c r="O950" t="inlineStr">
        <is>
          <t>relevant</t>
        </is>
      </c>
      <c r="P950" t="b">
        <v>1</v>
      </c>
    </row>
    <row r="951">
      <c r="A951" t="inlineStr">
        <is>
          <t>womens top sewing pattern</t>
        </is>
      </c>
      <c r="B951" t="inlineStr"/>
      <c r="C951" t="n">
        <v>1670394767</v>
      </c>
      <c r="D951">
        <f>HYPERLINK("https://www.etsy.com/listing/1670394767", "link")</f>
        <v/>
      </c>
      <c r="E951">
        <f>HYPERLINK("https://atlas.etsycorp.com/listing/1670394767/lookup", "link")</f>
        <v/>
      </c>
      <c r="F951" t="inlineStr">
        <is>
          <t>Poppy Peplum Blouse Beginner Digital PDF Sewing Pattern</t>
        </is>
      </c>
      <c r="G951" t="inlineStr">
        <is>
          <t>Eu3xnbC5tPicAX-EoaOqAHps5qe6</t>
        </is>
      </c>
      <c r="H951" t="inlineStr">
        <is>
          <t>web</t>
        </is>
      </c>
      <c r="I951" t="inlineStr">
        <is>
          <t>en-GB</t>
        </is>
      </c>
      <c r="J951" t="inlineStr">
        <is>
          <t>us_v2-direct_unspecified</t>
        </is>
      </c>
      <c r="K951" t="b">
        <v>1</v>
      </c>
      <c r="L951" t="inlineStr">
        <is>
          <t>relevant</t>
        </is>
      </c>
      <c r="M951" t="inlineStr">
        <is>
          <t>partial</t>
        </is>
      </c>
      <c r="N951" t="inlineStr">
        <is>
          <t>relevant</t>
        </is>
      </c>
      <c r="O951" t="inlineStr">
        <is>
          <t>relevant</t>
        </is>
      </c>
      <c r="P951" t="b">
        <v>1</v>
      </c>
    </row>
    <row r="952">
      <c r="A952" t="inlineStr">
        <is>
          <t>shell jewelry</t>
        </is>
      </c>
      <c r="B952" t="inlineStr">
        <is>
          <t>shell jewelry</t>
        </is>
      </c>
      <c r="C952" t="n">
        <v>590095318</v>
      </c>
      <c r="D952">
        <f>HYPERLINK("https://www.etsy.com/listing/590095318", "link")</f>
        <v/>
      </c>
      <c r="E952">
        <f>HYPERLINK("https://atlas.etsycorp.com/listing/590095318/lookup", "link")</f>
        <v/>
      </c>
      <c r="F952" t="inlineStr">
        <is>
          <t>4 Blonde Tortoise Shell Beads, Flat Discs 15mm Yellow Blonde, Light Tortoise Shell Stud Earrings Blanks, Tortoise Shell Supply, CN008-15-BT</t>
        </is>
      </c>
      <c r="G952" t="inlineStr">
        <is>
          <t>EuJtSmv2YuXJk8CZX_wEY3zBUae2</t>
        </is>
      </c>
      <c r="H952" t="inlineStr">
        <is>
          <t>web</t>
        </is>
      </c>
      <c r="I952" t="inlineStr">
        <is>
          <t>pt</t>
        </is>
      </c>
      <c r="J952" t="inlineStr">
        <is>
          <t>intl-pt</t>
        </is>
      </c>
      <c r="K952" t="b">
        <v>1</v>
      </c>
      <c r="L952" t="inlineStr">
        <is>
          <t>relevant</t>
        </is>
      </c>
      <c r="M952" t="inlineStr">
        <is>
          <t>relevant</t>
        </is>
      </c>
      <c r="N952" t="inlineStr">
        <is>
          <t>relevant</t>
        </is>
      </c>
      <c r="O952" t="inlineStr">
        <is>
          <t>relevant</t>
        </is>
      </c>
      <c r="P952" t="b">
        <v>1</v>
      </c>
    </row>
    <row r="953">
      <c r="A953" t="inlineStr">
        <is>
          <t>bulk bracelet</t>
        </is>
      </c>
      <c r="B953" t="inlineStr"/>
      <c r="C953" t="n">
        <v>1082134583</v>
      </c>
      <c r="D953">
        <f>HYPERLINK("https://www.etsy.com/listing/1082134583", "link")</f>
        <v/>
      </c>
      <c r="E953">
        <f>HYPERLINK("https://atlas.etsycorp.com/listing/1082134583/lookup", "link")</f>
        <v/>
      </c>
      <c r="F953" t="inlineStr">
        <is>
          <t>Earring Box, Stud Earring Box, Anniversary Gift, Woodsbury, Wooden Box, Ring Box, Valentine&amp;#39;s Gift, Handmade box, Walnut Timber, Ring Box</t>
        </is>
      </c>
      <c r="G953" t="inlineStr">
        <is>
          <t>EuG2sGIUHIwO2og57x8ZUv-gy209</t>
        </is>
      </c>
      <c r="H953" t="inlineStr">
        <is>
          <t>web</t>
        </is>
      </c>
      <c r="I953" t="inlineStr">
        <is>
          <t>en-GB</t>
        </is>
      </c>
      <c r="J953" t="inlineStr">
        <is>
          <t>us_v2-direct_unspecified</t>
        </is>
      </c>
      <c r="K953" t="b">
        <v>1</v>
      </c>
      <c r="L953" t="inlineStr">
        <is>
          <t>not_relevant</t>
        </is>
      </c>
      <c r="M953" t="inlineStr">
        <is>
          <t>not_relevant</t>
        </is>
      </c>
      <c r="N953" t="inlineStr">
        <is>
          <t>not_relevant</t>
        </is>
      </c>
      <c r="O953" t="inlineStr">
        <is>
          <t>not_relevant</t>
        </is>
      </c>
      <c r="P953" t="b">
        <v>1</v>
      </c>
    </row>
    <row r="954">
      <c r="A954" t="inlineStr">
        <is>
          <t>crash dummies toy</t>
        </is>
      </c>
      <c r="B954" t="inlineStr">
        <is>
          <t>crash dummies toy</t>
        </is>
      </c>
      <c r="C954" t="n">
        <v>1239347893</v>
      </c>
      <c r="D954">
        <f>HYPERLINK("https://www.etsy.com/listing/1239347893", "link")</f>
        <v/>
      </c>
      <c r="E954">
        <f>HYPERLINK("https://atlas.etsycorp.com/listing/1239347893/lookup", "link")</f>
        <v/>
      </c>
      <c r="F954" t="inlineStr">
        <is>
          <t>Slipknot black mbu Craig Jones mask SELF TITLED 1999 corey taylor rare knotfest</t>
        </is>
      </c>
      <c r="G954" t="inlineStr">
        <is>
          <t>Eu__nqFOyamV-NnYYVgsrdVfDq91</t>
        </is>
      </c>
      <c r="H954" t="inlineStr">
        <is>
          <t>boe</t>
        </is>
      </c>
      <c r="I954" t="inlineStr">
        <is>
          <t>nl</t>
        </is>
      </c>
      <c r="J954" t="inlineStr">
        <is>
          <t>intl-nl</t>
        </is>
      </c>
      <c r="K954" t="b">
        <v>1</v>
      </c>
      <c r="L954" t="inlineStr">
        <is>
          <t>not_relevant</t>
        </is>
      </c>
      <c r="M954" t="inlineStr">
        <is>
          <t>not_relevant</t>
        </is>
      </c>
      <c r="N954" t="inlineStr">
        <is>
          <t>not_relevant</t>
        </is>
      </c>
      <c r="O954" t="inlineStr">
        <is>
          <t>not_relevant</t>
        </is>
      </c>
      <c r="P954" t="b">
        <v>1</v>
      </c>
    </row>
    <row r="955">
      <c r="A955" t="inlineStr">
        <is>
          <t>great grandson 1st birthday card</t>
        </is>
      </c>
      <c r="B955" t="inlineStr"/>
      <c r="C955" t="n">
        <v>808292589</v>
      </c>
      <c r="D955">
        <f>HYPERLINK("https://www.etsy.com/listing/808292589", "link")</f>
        <v/>
      </c>
      <c r="E955">
        <f>HYPERLINK("https://atlas.etsycorp.com/listing/808292589/lookup", "link")</f>
        <v/>
      </c>
      <c r="F955" t="inlineStr">
        <is>
          <t>Personalised Unicorn Happy Birthday Card - Personalise with any text - Daughter, Granddaughter, Niece BC1</t>
        </is>
      </c>
      <c r="G955" t="inlineStr">
        <is>
          <t>Euffekz5XxVUxbDe_ZwnWQ2ciX56</t>
        </is>
      </c>
      <c r="H955" t="inlineStr">
        <is>
          <t>boe</t>
        </is>
      </c>
      <c r="I955" t="inlineStr">
        <is>
          <t>en-GB</t>
        </is>
      </c>
      <c r="J955" t="inlineStr">
        <is>
          <t>us_v2-direct_unspecified</t>
        </is>
      </c>
      <c r="K955" t="b">
        <v>1</v>
      </c>
      <c r="L955" t="inlineStr">
        <is>
          <t>partial</t>
        </is>
      </c>
      <c r="M955" t="inlineStr">
        <is>
          <t>partial</t>
        </is>
      </c>
      <c r="N955" t="inlineStr">
        <is>
          <t>partial</t>
        </is>
      </c>
      <c r="O955" t="inlineStr">
        <is>
          <t>relevant</t>
        </is>
      </c>
      <c r="P955" t="b">
        <v>1</v>
      </c>
    </row>
    <row r="956">
      <c r="A956" t="inlineStr">
        <is>
          <t>hotairballoonnursery tavolo sedie bambini</t>
        </is>
      </c>
      <c r="B956" t="inlineStr">
        <is>
          <t>hotairballoonnursery tavolo sedie bambini</t>
        </is>
      </c>
      <c r="C956" t="n">
        <v>794870875</v>
      </c>
      <c r="D956">
        <f>HYPERLINK("https://www.etsy.com/listing/794870875", "link")</f>
        <v/>
      </c>
      <c r="E956">
        <f>HYPERLINK("https://atlas.etsycorp.com/listing/794870875/lookup", "link")</f>
        <v/>
      </c>
      <c r="F956" t="inlineStr">
        <is>
          <t>Handmade wooden chair for child MORE COLORS Wooden furniture Present for child wooden chair</t>
        </is>
      </c>
      <c r="G956" t="inlineStr">
        <is>
          <t>EurSQ1Q-XoICg6VAnvZmgkkndq0e</t>
        </is>
      </c>
      <c r="H956" t="inlineStr">
        <is>
          <t>web</t>
        </is>
      </c>
      <c r="I956" t="inlineStr">
        <is>
          <t>it</t>
        </is>
      </c>
      <c r="J956" t="inlineStr">
        <is>
          <t>intl-it</t>
        </is>
      </c>
      <c r="K956" t="b">
        <v>1</v>
      </c>
      <c r="L956" t="inlineStr">
        <is>
          <t>partial</t>
        </is>
      </c>
      <c r="M956" t="inlineStr">
        <is>
          <t>not_relevant</t>
        </is>
      </c>
      <c r="N956" t="inlineStr">
        <is>
          <t>partial</t>
        </is>
      </c>
      <c r="O956" t="inlineStr">
        <is>
          <t>partial</t>
        </is>
      </c>
      <c r="P956" t="b">
        <v>1</v>
      </c>
    </row>
    <row r="957">
      <c r="A957" t="inlineStr">
        <is>
          <t>valentines day decor</t>
        </is>
      </c>
      <c r="B957" t="inlineStr"/>
      <c r="C957" t="n">
        <v>534734483</v>
      </c>
      <c r="D957">
        <f>HYPERLINK("https://www.etsy.com/listing/534734483", "link")</f>
        <v/>
      </c>
      <c r="E957">
        <f>HYPERLINK("https://atlas.etsycorp.com/listing/534734483/lookup", "link")</f>
        <v/>
      </c>
      <c r="F957" t="inlineStr">
        <is>
          <t>Barrel Cactus Pillow, College Gift, Housewarming Gift, Desert Photography, Desert Decor, Cactus Photography, Easter gift, Mother&amp;#39;s Day Gift</t>
        </is>
      </c>
      <c r="G957" t="inlineStr">
        <is>
          <t>Eua9KTaaZH6WqG8TZZd-zlieAd7d</t>
        </is>
      </c>
      <c r="H957" t="inlineStr">
        <is>
          <t>boe</t>
        </is>
      </c>
      <c r="I957" t="inlineStr">
        <is>
          <t>en-US</t>
        </is>
      </c>
      <c r="J957" t="inlineStr">
        <is>
          <t>us_v2-broad</t>
        </is>
      </c>
      <c r="K957" t="b">
        <v>1</v>
      </c>
      <c r="L957" t="inlineStr">
        <is>
          <t>not_relevant</t>
        </is>
      </c>
      <c r="M957" t="inlineStr">
        <is>
          <t>partial</t>
        </is>
      </c>
      <c r="N957" t="inlineStr">
        <is>
          <t>not_relevant</t>
        </is>
      </c>
      <c r="O957" t="inlineStr">
        <is>
          <t>not_relevant</t>
        </is>
      </c>
      <c r="P957" t="b">
        <v>1</v>
      </c>
    </row>
    <row r="958">
      <c r="A958" t="inlineStr">
        <is>
          <t>trousse de toilette personnalisée</t>
        </is>
      </c>
      <c r="B958" t="inlineStr">
        <is>
          <t>personalized toiletry bag</t>
        </is>
      </c>
      <c r="C958" t="n">
        <v>1662468780</v>
      </c>
      <c r="D958">
        <f>HYPERLINK("https://www.etsy.com/listing/1662468780", "link")</f>
        <v/>
      </c>
      <c r="E958">
        <f>HYPERLINK("https://atlas.etsycorp.com/listing/1662468780/lookup", "link")</f>
        <v/>
      </c>
      <c r="F958" t="inlineStr">
        <is>
          <t>Maxi customizable toiletry bag</t>
        </is>
      </c>
      <c r="G958" t="inlineStr">
        <is>
          <t>EuoW4YTzpd37AXA3m5EBMgtKiV8b</t>
        </is>
      </c>
      <c r="H958" t="inlineStr">
        <is>
          <t>web</t>
        </is>
      </c>
      <c r="I958" t="inlineStr">
        <is>
          <t>fr</t>
        </is>
      </c>
      <c r="J958" t="inlineStr">
        <is>
          <t>intl-fr</t>
        </is>
      </c>
      <c r="K958" t="b">
        <v>1</v>
      </c>
      <c r="L958" t="inlineStr">
        <is>
          <t>relevant</t>
        </is>
      </c>
      <c r="M958" t="inlineStr">
        <is>
          <t>relevant</t>
        </is>
      </c>
      <c r="N958" t="inlineStr">
        <is>
          <t>relevant</t>
        </is>
      </c>
      <c r="O958" t="inlineStr">
        <is>
          <t>relevant</t>
        </is>
      </c>
      <c r="P958" t="b">
        <v>1</v>
      </c>
    </row>
    <row r="959">
      <c r="A959" t="inlineStr">
        <is>
          <t>Find shirts</t>
        </is>
      </c>
      <c r="B959" t="inlineStr">
        <is>
          <t>Find shirts</t>
        </is>
      </c>
      <c r="C959" t="n">
        <v>1577754850</v>
      </c>
      <c r="D959">
        <f>HYPERLINK("https://www.etsy.com/listing/1577754850", "link")</f>
        <v/>
      </c>
      <c r="E959">
        <f>HYPERLINK("https://atlas.etsycorp.com/listing/1577754850/lookup", "link")</f>
        <v/>
      </c>
      <c r="F959" t="inlineStr">
        <is>
          <t>Top 100 Digital Product Ideas | Small Business | Make Money Online | Selling on Etsy | Etsy Sellers Guide | Digital Products Best Seller</t>
        </is>
      </c>
      <c r="G959" t="inlineStr">
        <is>
          <t>Eut0b-LHGxv7X9atpxpX1MuBKZed</t>
        </is>
      </c>
      <c r="H959" t="inlineStr">
        <is>
          <t>web</t>
        </is>
      </c>
      <c r="I959" t="inlineStr">
        <is>
          <t>es</t>
        </is>
      </c>
      <c r="J959" t="inlineStr">
        <is>
          <t>intl-es</t>
        </is>
      </c>
      <c r="K959" t="b">
        <v>1</v>
      </c>
      <c r="L959" t="inlineStr">
        <is>
          <t>not_relevant</t>
        </is>
      </c>
      <c r="M959" t="inlineStr">
        <is>
          <t>not_relevant</t>
        </is>
      </c>
      <c r="N959" t="inlineStr">
        <is>
          <t>not_relevant</t>
        </is>
      </c>
      <c r="O959" t="inlineStr">
        <is>
          <t>not_relevant</t>
        </is>
      </c>
      <c r="P959" t="b">
        <v>1</v>
      </c>
    </row>
    <row r="960">
      <c r="A960" t="inlineStr">
        <is>
          <t>ringmaster costume</t>
        </is>
      </c>
      <c r="B960" t="inlineStr"/>
      <c r="C960" t="n">
        <v>1021471120</v>
      </c>
      <c r="D960">
        <f>HYPERLINK("https://www.etsy.com/listing/1021471120", "link")</f>
        <v/>
      </c>
      <c r="E960">
        <f>HYPERLINK("https://atlas.etsycorp.com/listing/1021471120/lookup", "link")</f>
        <v/>
      </c>
      <c r="F960" t="inlineStr">
        <is>
          <t>2 pcs men’s Ring master Hussar Red Waistcoat with back tails in chest size to fit size 40”42”44””with Aiguillette</t>
        </is>
      </c>
      <c r="G960" t="inlineStr">
        <is>
          <t>EuvHxzGUVBrUH_DCS3cnJn52OU38</t>
        </is>
      </c>
      <c r="H960" t="inlineStr">
        <is>
          <t>boe</t>
        </is>
      </c>
      <c r="I960" t="inlineStr">
        <is>
          <t>en-US</t>
        </is>
      </c>
      <c r="J960" t="inlineStr">
        <is>
          <t>us_v2-direct_unspecified</t>
        </is>
      </c>
      <c r="K960" t="b">
        <v>1</v>
      </c>
      <c r="L960" t="inlineStr">
        <is>
          <t>relevant</t>
        </is>
      </c>
      <c r="M960" t="inlineStr">
        <is>
          <t>relevant</t>
        </is>
      </c>
      <c r="N960" t="inlineStr">
        <is>
          <t>relevant</t>
        </is>
      </c>
      <c r="O960" t="inlineStr">
        <is>
          <t>relevant</t>
        </is>
      </c>
      <c r="P960" t="b">
        <v>1</v>
      </c>
    </row>
    <row r="961">
      <c r="A961" t="inlineStr">
        <is>
          <t>creampie pics</t>
        </is>
      </c>
      <c r="B961" t="inlineStr"/>
      <c r="C961" t="n">
        <v>1555256370</v>
      </c>
      <c r="D961">
        <f>HYPERLINK("https://www.etsy.com/listing/1555256370", "link")</f>
        <v/>
      </c>
      <c r="E961">
        <f>HYPERLINK("https://atlas.etsycorp.com/listing/1555256370/lookup", "link")</f>
        <v/>
      </c>
      <c r="F961" t="inlineStr">
        <is>
          <t>Psychic one hour /psychic live reading same hour one one or more questions/psychic reading love and money/online reading</t>
        </is>
      </c>
      <c r="G961" t="inlineStr">
        <is>
          <t>EuKffQE009Il-K9xQCQYdWpFqdb6</t>
        </is>
      </c>
      <c r="H961" t="inlineStr">
        <is>
          <t>boe</t>
        </is>
      </c>
      <c r="I961" t="inlineStr">
        <is>
          <t>en-US</t>
        </is>
      </c>
      <c r="J961" t="inlineStr">
        <is>
          <t>us_v2-direct_specified</t>
        </is>
      </c>
      <c r="K961" t="b">
        <v>1</v>
      </c>
      <c r="L961" t="inlineStr">
        <is>
          <t>not_relevant</t>
        </is>
      </c>
      <c r="M961" t="inlineStr">
        <is>
          <t>not_relevant</t>
        </is>
      </c>
      <c r="N961" t="inlineStr">
        <is>
          <t>not_relevant</t>
        </is>
      </c>
      <c r="O961" t="inlineStr">
        <is>
          <t>not_relevant</t>
        </is>
      </c>
      <c r="P961" t="b">
        <v>1</v>
      </c>
    </row>
    <row r="962">
      <c r="A962" t="inlineStr">
        <is>
          <t>home made crafts</t>
        </is>
      </c>
      <c r="B962" t="inlineStr"/>
      <c r="C962" t="n">
        <v>943976369</v>
      </c>
      <c r="D962">
        <f>HYPERLINK("https://www.etsy.com/listing/943976369", "link")</f>
        <v/>
      </c>
      <c r="E962">
        <f>HYPERLINK("https://atlas.etsycorp.com/listing/943976369/lookup", "link")</f>
        <v/>
      </c>
      <c r="F962" t="inlineStr">
        <is>
          <t>Artisan Crafted Gourmet Cotton Candy. Made Fresh to order. Makes a great gift for any occasion</t>
        </is>
      </c>
      <c r="G962" t="inlineStr">
        <is>
          <t>Eu32DD-sJrX6YV1C_bn0a3xM9Bc7</t>
        </is>
      </c>
      <c r="H962" t="inlineStr">
        <is>
          <t>boe</t>
        </is>
      </c>
      <c r="I962" t="inlineStr">
        <is>
          <t>en-US</t>
        </is>
      </c>
      <c r="J962" t="inlineStr">
        <is>
          <t>us_v2-broad</t>
        </is>
      </c>
      <c r="K962" t="b">
        <v>1</v>
      </c>
      <c r="L962" t="inlineStr">
        <is>
          <t>partial</t>
        </is>
      </c>
      <c r="M962" t="inlineStr">
        <is>
          <t>partial</t>
        </is>
      </c>
      <c r="N962" t="inlineStr">
        <is>
          <t>partial</t>
        </is>
      </c>
      <c r="O962" t="inlineStr">
        <is>
          <t>partial</t>
        </is>
      </c>
      <c r="P962" t="b">
        <v>1</v>
      </c>
    </row>
    <row r="963">
      <c r="A963" t="inlineStr">
        <is>
          <t>svg for bookmarks</t>
        </is>
      </c>
      <c r="B963" t="inlineStr"/>
      <c r="C963" t="n">
        <v>1503340755</v>
      </c>
      <c r="D963">
        <f>HYPERLINK("https://www.etsy.com/listing/1503340755", "link")</f>
        <v/>
      </c>
      <c r="E963">
        <f>HYPERLINK("https://atlas.etsycorp.com/listing/1503340755/lookup", "link")</f>
        <v/>
      </c>
      <c r="F963" t="inlineStr">
        <is>
          <t>25 Reading SVG Bundle, Book Lovers svg, Librarian svg, Book Quotes svg, Book Worm svg, Instant Download</t>
        </is>
      </c>
      <c r="G963" t="inlineStr">
        <is>
          <t>Euoa-jpYbZtGR56zBLxFa5iu0552</t>
        </is>
      </c>
      <c r="H963" t="inlineStr">
        <is>
          <t>web</t>
        </is>
      </c>
      <c r="I963" t="inlineStr">
        <is>
          <t>en-US</t>
        </is>
      </c>
      <c r="J963" t="inlineStr">
        <is>
          <t>us_v2-direct_unspecified</t>
        </is>
      </c>
      <c r="K963" t="b">
        <v>1</v>
      </c>
      <c r="L963" t="inlineStr">
        <is>
          <t>relevant</t>
        </is>
      </c>
      <c r="M963" t="inlineStr">
        <is>
          <t>partial</t>
        </is>
      </c>
      <c r="N963" t="inlineStr">
        <is>
          <t>relevant</t>
        </is>
      </c>
      <c r="O963" t="inlineStr">
        <is>
          <t>relevant</t>
        </is>
      </c>
      <c r="P963" t="b">
        <v>1</v>
      </c>
    </row>
    <row r="964">
      <c r="A964" t="inlineStr">
        <is>
          <t>spiderman amigurumi</t>
        </is>
      </c>
      <c r="B964" t="inlineStr">
        <is>
          <t>spiderman amigurumi</t>
        </is>
      </c>
      <c r="C964" t="n">
        <v>1569480168</v>
      </c>
      <c r="D964">
        <f>HYPERLINK("https://www.etsy.com/listing/1569480168", "link")</f>
        <v/>
      </c>
      <c r="E964">
        <f>HYPERLINK("https://atlas.etsycorp.com/listing/1569480168/lookup", "link")</f>
        <v/>
      </c>
      <c r="F964" t="inlineStr">
        <is>
          <t>Handmade crochet Spiderman earrings</t>
        </is>
      </c>
      <c r="G964" t="inlineStr">
        <is>
          <t>EuPJS6VlIosJevaF5qQBj5oF1se1</t>
        </is>
      </c>
      <c r="H964" t="inlineStr">
        <is>
          <t>boe</t>
        </is>
      </c>
      <c r="I964" t="inlineStr">
        <is>
          <t>it</t>
        </is>
      </c>
      <c r="J964" t="inlineStr">
        <is>
          <t>intl-it</t>
        </is>
      </c>
      <c r="K964" t="b">
        <v>1</v>
      </c>
      <c r="L964" t="inlineStr">
        <is>
          <t>not_relevant</t>
        </is>
      </c>
      <c r="M964" t="inlineStr">
        <is>
          <t>not_relevant</t>
        </is>
      </c>
      <c r="N964" t="inlineStr">
        <is>
          <t>not_relevant</t>
        </is>
      </c>
      <c r="O964" t="inlineStr">
        <is>
          <t>not_relevant</t>
        </is>
      </c>
      <c r="P964" t="b">
        <v>1</v>
      </c>
    </row>
    <row r="965">
      <c r="A965" t="inlineStr">
        <is>
          <t>3 sisters gold necklace</t>
        </is>
      </c>
      <c r="B965" t="inlineStr"/>
      <c r="C965" t="n">
        <v>1342550707</v>
      </c>
      <c r="D965">
        <f>HYPERLINK("https://www.etsy.com/listing/1342550707", "link")</f>
        <v/>
      </c>
      <c r="E965">
        <f>HYPERLINK("https://atlas.etsycorp.com/listing/1342550707/lookup", "link")</f>
        <v/>
      </c>
      <c r="F965" t="inlineStr">
        <is>
          <t>Blue Halfmoon Earrings. Dangly Earrings. Art Deco Earrings. Diamond Drop Earrings. Crescent Earrings. Earrings For Women.Christmas Gift</t>
        </is>
      </c>
      <c r="G965" t="inlineStr">
        <is>
          <t>EuD1LIJmAPE6V5FYjt2kW2r_hg81</t>
        </is>
      </c>
      <c r="H965" t="inlineStr">
        <is>
          <t>web</t>
        </is>
      </c>
      <c r="I965" t="inlineStr">
        <is>
          <t>en-GB</t>
        </is>
      </c>
      <c r="J965" t="inlineStr">
        <is>
          <t>us_v2-direct_specified</t>
        </is>
      </c>
      <c r="K965" t="b">
        <v>1</v>
      </c>
      <c r="L965" t="inlineStr">
        <is>
          <t>partial</t>
        </is>
      </c>
      <c r="M965" t="inlineStr">
        <is>
          <t>partial</t>
        </is>
      </c>
      <c r="N965" t="inlineStr">
        <is>
          <t>partial</t>
        </is>
      </c>
      <c r="O965" t="inlineStr">
        <is>
          <t>not_relevant</t>
        </is>
      </c>
      <c r="P965" t="b">
        <v>1</v>
      </c>
    </row>
    <row r="966">
      <c r="A966" t="inlineStr">
        <is>
          <t>valentines day decor</t>
        </is>
      </c>
      <c r="B966" t="inlineStr"/>
      <c r="C966" t="n">
        <v>805376287</v>
      </c>
      <c r="D966">
        <f>HYPERLINK("https://www.etsy.com/listing/805376287", "link")</f>
        <v/>
      </c>
      <c r="E966">
        <f>HYPERLINK("https://atlas.etsycorp.com/listing/805376287/lookup", "link")</f>
        <v/>
      </c>
      <c r="F966" t="inlineStr">
        <is>
          <t>Decorative Oak Serving Tray for Ottoman without Handles, Ottoman Storage, Wooden Cafeteria and Home Decor, Anniversary Gift, Easter</t>
        </is>
      </c>
      <c r="G966" t="inlineStr">
        <is>
          <t>EuCNe71ffAgB9dGxodtx6HguQUc1</t>
        </is>
      </c>
      <c r="H966" t="inlineStr">
        <is>
          <t>boe</t>
        </is>
      </c>
      <c r="I966" t="inlineStr">
        <is>
          <t>en-GB</t>
        </is>
      </c>
      <c r="J966" t="inlineStr">
        <is>
          <t>us_v2-broad</t>
        </is>
      </c>
      <c r="K966" t="b">
        <v>1</v>
      </c>
      <c r="L966" t="inlineStr">
        <is>
          <t>not_relevant</t>
        </is>
      </c>
      <c r="M966" t="inlineStr">
        <is>
          <t>partial</t>
        </is>
      </c>
      <c r="N966" t="inlineStr">
        <is>
          <t>not_relevant</t>
        </is>
      </c>
      <c r="O966" t="inlineStr">
        <is>
          <t>not_relevant</t>
        </is>
      </c>
      <c r="P966" t="b">
        <v>1</v>
      </c>
    </row>
    <row r="967">
      <c r="A967" t="inlineStr">
        <is>
          <t>clubbing tops</t>
        </is>
      </c>
      <c r="B967" t="inlineStr"/>
      <c r="C967" t="n">
        <v>1275410545</v>
      </c>
      <c r="D967">
        <f>HYPERLINK("https://www.etsy.com/listing/1275410545", "link")</f>
        <v/>
      </c>
      <c r="E967">
        <f>HYPERLINK("https://atlas.etsycorp.com/listing/1275410545/lookup", "link")</f>
        <v/>
      </c>
      <c r="F967" t="inlineStr">
        <is>
          <t>Vintage Butterfly Print Harajuku Y2K Tops Casual Crewneck Cotton Cute Tank Tops Summer Aesthetic 90s Vest Tee Streetwear Cute and psycho</t>
        </is>
      </c>
      <c r="G967" t="inlineStr">
        <is>
          <t>Eu856nzXI3N-wES_2lxZXV4uR27a</t>
        </is>
      </c>
      <c r="H967" t="inlineStr">
        <is>
          <t>web</t>
        </is>
      </c>
      <c r="I967" t="inlineStr">
        <is>
          <t>en-US</t>
        </is>
      </c>
      <c r="J967" t="inlineStr">
        <is>
          <t>us_v2-direct_unspecified</t>
        </is>
      </c>
      <c r="K967" t="b">
        <v>1</v>
      </c>
      <c r="L967" t="inlineStr">
        <is>
          <t>relevant</t>
        </is>
      </c>
      <c r="M967" t="inlineStr">
        <is>
          <t>partial</t>
        </is>
      </c>
      <c r="N967" t="inlineStr">
        <is>
          <t>relevant</t>
        </is>
      </c>
      <c r="O967" t="inlineStr">
        <is>
          <t>relevant</t>
        </is>
      </c>
      <c r="P967" t="b">
        <v>1</v>
      </c>
    </row>
    <row r="968">
      <c r="A968" t="inlineStr">
        <is>
          <t>cards and gifts acrylic  woodsign</t>
        </is>
      </c>
      <c r="B968" t="inlineStr"/>
      <c r="C968" t="n">
        <v>1340616641</v>
      </c>
      <c r="D968">
        <f>HYPERLINK("https://www.etsy.com/listing/1340616641", "link")</f>
        <v/>
      </c>
      <c r="E968">
        <f>HYPERLINK("https://atlas.etsycorp.com/listing/1340616641/lookup", "link")</f>
        <v/>
      </c>
      <c r="F968" t="inlineStr">
        <is>
          <t>Minimalist Cards and Gifts Sign, Printable Wedding Gift, Editable Template, Modern Tabletop Sign, Instant Download, Templett 8x10 #0032-03S</t>
        </is>
      </c>
      <c r="G968" t="inlineStr">
        <is>
          <t>EumGuvcQEM_de-QHCLJvQbkbmrd5</t>
        </is>
      </c>
      <c r="H968" t="inlineStr">
        <is>
          <t>web</t>
        </is>
      </c>
      <c r="I968" t="inlineStr">
        <is>
          <t>en-GB</t>
        </is>
      </c>
      <c r="J968" t="inlineStr">
        <is>
          <t>us_v2-gift</t>
        </is>
      </c>
      <c r="K968" t="b">
        <v>1</v>
      </c>
      <c r="L968" t="inlineStr">
        <is>
          <t>partial</t>
        </is>
      </c>
      <c r="M968" t="inlineStr">
        <is>
          <t>not_relevant</t>
        </is>
      </c>
      <c r="N968" t="inlineStr">
        <is>
          <t>partial</t>
        </is>
      </c>
      <c r="O968" t="inlineStr">
        <is>
          <t>partial</t>
        </is>
      </c>
      <c r="P968" t="b">
        <v>1</v>
      </c>
    </row>
    <row r="969">
      <c r="A969" t="inlineStr">
        <is>
          <t>padme amidala sweater</t>
        </is>
      </c>
      <c r="B969" t="inlineStr"/>
      <c r="C969" t="n">
        <v>1542863180</v>
      </c>
      <c r="D969">
        <f>HYPERLINK("https://www.etsy.com/listing/1542863180", "link")</f>
        <v/>
      </c>
      <c r="E969">
        <f>HYPERLINK("https://atlas.etsycorp.com/listing/1542863180/lookup", "link")</f>
        <v/>
      </c>
      <c r="F969" t="inlineStr">
        <is>
          <t>1 or 2 pc set | 18mm | Mind Wave | Die Cut Washi Tape | Obake (Ghost) - Bubble</t>
        </is>
      </c>
      <c r="G969" t="inlineStr">
        <is>
          <t>EuH71Dt0WniQAVXeDizJqiY4Xb95</t>
        </is>
      </c>
      <c r="H969" t="inlineStr">
        <is>
          <t>web</t>
        </is>
      </c>
      <c r="I969" t="inlineStr">
        <is>
          <t>en-GB</t>
        </is>
      </c>
      <c r="J969" t="inlineStr">
        <is>
          <t>us_v2-direct_specified</t>
        </is>
      </c>
      <c r="K969" t="b">
        <v>1</v>
      </c>
      <c r="L969" t="inlineStr">
        <is>
          <t>not_relevant</t>
        </is>
      </c>
      <c r="M969" t="inlineStr">
        <is>
          <t>not_relevant</t>
        </is>
      </c>
      <c r="N969" t="inlineStr">
        <is>
          <t>not_relevant</t>
        </is>
      </c>
      <c r="O969" t="inlineStr">
        <is>
          <t>not_relevant</t>
        </is>
      </c>
      <c r="P969" t="b">
        <v>1</v>
      </c>
    </row>
    <row r="970">
      <c r="A970" t="inlineStr">
        <is>
          <t>funny mug</t>
        </is>
      </c>
      <c r="B970" t="inlineStr"/>
      <c r="C970" t="n">
        <v>1522312875</v>
      </c>
      <c r="D970">
        <f>HYPERLINK("https://www.etsy.com/listing/1522312875", "link")</f>
        <v/>
      </c>
      <c r="E970">
        <f>HYPERLINK("https://atlas.etsycorp.com/listing/1522312875/lookup", "link")</f>
        <v/>
      </c>
      <c r="F970" t="inlineStr">
        <is>
          <t>funny mug files for sublimation mugs - office novelty coffee mug designs novelty - funny designs for mugs clothing - funny mug designs</t>
        </is>
      </c>
      <c r="G970" t="inlineStr">
        <is>
          <t>EuGG-V5Jpt7anJMzQ3GAk1xRGW07</t>
        </is>
      </c>
      <c r="H970" t="inlineStr">
        <is>
          <t>boe</t>
        </is>
      </c>
      <c r="I970" t="inlineStr">
        <is>
          <t>en-GB</t>
        </is>
      </c>
      <c r="J970" t="inlineStr">
        <is>
          <t>us_v2-direct_specified</t>
        </is>
      </c>
      <c r="K970" t="b">
        <v>1</v>
      </c>
      <c r="L970" t="inlineStr">
        <is>
          <t>relevant</t>
        </is>
      </c>
      <c r="M970" t="inlineStr">
        <is>
          <t>relevant</t>
        </is>
      </c>
      <c r="N970" t="inlineStr">
        <is>
          <t>relevant</t>
        </is>
      </c>
      <c r="O970" t="inlineStr">
        <is>
          <t>relevant</t>
        </is>
      </c>
      <c r="P970" t="b">
        <v>1</v>
      </c>
    </row>
    <row r="971">
      <c r="A971" t="inlineStr">
        <is>
          <t>tote bag</t>
        </is>
      </c>
      <c r="B971" t="inlineStr">
        <is>
          <t>totebag</t>
        </is>
      </c>
      <c r="C971" t="n">
        <v>1707370147</v>
      </c>
      <c r="D971">
        <f>HYPERLINK("https://www.etsy.com/listing/1707370147", "link")</f>
        <v/>
      </c>
      <c r="E971">
        <f>HYPERLINK("https://atlas.etsycorp.com/listing/1707370147/lookup", "link")</f>
        <v/>
      </c>
      <c r="F971" t="inlineStr">
        <is>
          <t>Tote Bag Social Worker Affirmation</t>
        </is>
      </c>
      <c r="G971" t="inlineStr">
        <is>
          <t>EudJ9wo-XR6HltHY3haGU6c4N00f</t>
        </is>
      </c>
      <c r="H971" t="inlineStr">
        <is>
          <t>web</t>
        </is>
      </c>
      <c r="I971" t="inlineStr">
        <is>
          <t>de</t>
        </is>
      </c>
      <c r="J971" t="inlineStr">
        <is>
          <t>intl-de</t>
        </is>
      </c>
      <c r="K971" t="b">
        <v>1</v>
      </c>
      <c r="L971" t="inlineStr">
        <is>
          <t>relevant</t>
        </is>
      </c>
      <c r="M971" t="inlineStr">
        <is>
          <t>relevant</t>
        </is>
      </c>
      <c r="N971" t="inlineStr">
        <is>
          <t>relevant</t>
        </is>
      </c>
      <c r="O971" t="inlineStr">
        <is>
          <t>relevant</t>
        </is>
      </c>
      <c r="P971" t="b">
        <v>1</v>
      </c>
    </row>
    <row r="972">
      <c r="A972" t="inlineStr">
        <is>
          <t>coursing slip leash pink</t>
        </is>
      </c>
      <c r="B972" t="inlineStr"/>
      <c r="C972" t="n">
        <v>1663258653</v>
      </c>
      <c r="D972">
        <f>HYPERLINK("https://www.etsy.com/listing/1663258653", "link")</f>
        <v/>
      </c>
      <c r="E972">
        <f>HYPERLINK("https://atlas.etsycorp.com/listing/1663258653/lookup", "link")</f>
        <v/>
      </c>
      <c r="F972" t="inlineStr">
        <is>
          <t>White &amp; gold dog show slip lead</t>
        </is>
      </c>
      <c r="G972" t="inlineStr">
        <is>
          <t>EuXlSK5rf5p90u9nrA_hiRdfNW0e</t>
        </is>
      </c>
      <c r="H972" t="inlineStr">
        <is>
          <t>web</t>
        </is>
      </c>
      <c r="I972" t="inlineStr">
        <is>
          <t>en-US</t>
        </is>
      </c>
      <c r="J972" t="inlineStr">
        <is>
          <t>us_v2-direct_specified</t>
        </is>
      </c>
      <c r="K972" t="b">
        <v>1</v>
      </c>
      <c r="L972" t="inlineStr">
        <is>
          <t>partial</t>
        </is>
      </c>
      <c r="M972" t="inlineStr">
        <is>
          <t>partial</t>
        </is>
      </c>
      <c r="N972" t="inlineStr">
        <is>
          <t>partial</t>
        </is>
      </c>
      <c r="O972" t="inlineStr">
        <is>
          <t>partial</t>
        </is>
      </c>
      <c r="P972" t="b">
        <v>1</v>
      </c>
    </row>
    <row r="973">
      <c r="A973" t="inlineStr">
        <is>
          <t>gift</t>
        </is>
      </c>
      <c r="B973" t="inlineStr"/>
      <c r="C973" t="n">
        <v>739312118</v>
      </c>
      <c r="D973">
        <f>HYPERLINK("https://www.etsy.com/listing/739312118", "link")</f>
        <v/>
      </c>
      <c r="E973">
        <f>HYPERLINK("https://atlas.etsycorp.com/listing/739312118/lookup", "link")</f>
        <v/>
      </c>
      <c r="F973" t="inlineStr">
        <is>
          <t>Minimalist Holiday Gift Wrap 4, Ornament Wrapping Paper,  Geo Gift Wrap, Dots Gift Wrap, Decoupage Paper, Printable</t>
        </is>
      </c>
      <c r="G973" t="inlineStr">
        <is>
          <t>EuBShYJ-wgaNOHNlY6C-DWlOjq33</t>
        </is>
      </c>
      <c r="H973" t="inlineStr">
        <is>
          <t>boe</t>
        </is>
      </c>
      <c r="I973" t="inlineStr">
        <is>
          <t>en-US</t>
        </is>
      </c>
      <c r="J973" t="inlineStr">
        <is>
          <t>us_v2-broad</t>
        </is>
      </c>
      <c r="K973" t="b">
        <v>1</v>
      </c>
      <c r="L973" t="inlineStr">
        <is>
          <t>partial</t>
        </is>
      </c>
      <c r="M973" t="inlineStr">
        <is>
          <t>relevant</t>
        </is>
      </c>
      <c r="N973" t="inlineStr">
        <is>
          <t>partial</t>
        </is>
      </c>
      <c r="O973" t="inlineStr">
        <is>
          <t>partial</t>
        </is>
      </c>
      <c r="P973" t="b">
        <v>1</v>
      </c>
    </row>
    <row r="974">
      <c r="A974" t="inlineStr">
        <is>
          <t>valentines gifts for him</t>
        </is>
      </c>
      <c r="B974" t="inlineStr"/>
      <c r="C974" t="n">
        <v>1250967957</v>
      </c>
      <c r="D974">
        <f>HYPERLINK("https://www.etsy.com/listing/1250967957", "link")</f>
        <v/>
      </c>
      <c r="E974">
        <f>HYPERLINK("https://atlas.etsycorp.com/listing/1250967957/lookup", "link")</f>
        <v/>
      </c>
      <c r="F974" t="inlineStr">
        <is>
          <t>Unique Valentines Card, Heart Shaped Tree,  Hearts Card, Love Card, Valentine Card, Valentines Cards, Card for her, Card for him,  (PM133)</t>
        </is>
      </c>
      <c r="G974" t="inlineStr">
        <is>
          <t>Eu-f50hqzNIL46xEOShaqFq5ps98</t>
        </is>
      </c>
      <c r="H974" t="inlineStr">
        <is>
          <t>web</t>
        </is>
      </c>
      <c r="I974" t="inlineStr">
        <is>
          <t>en-GB</t>
        </is>
      </c>
      <c r="J974" t="inlineStr">
        <is>
          <t>us_v2-gift</t>
        </is>
      </c>
      <c r="K974" t="b">
        <v>1</v>
      </c>
      <c r="L974" t="inlineStr">
        <is>
          <t>partial</t>
        </is>
      </c>
      <c r="M974" t="inlineStr">
        <is>
          <t>partial</t>
        </is>
      </c>
      <c r="N974" t="inlineStr">
        <is>
          <t>partial</t>
        </is>
      </c>
      <c r="O974" t="inlineStr">
        <is>
          <t>partial</t>
        </is>
      </c>
      <c r="P974" t="b">
        <v>1</v>
      </c>
    </row>
    <row r="975">
      <c r="A975" t="inlineStr">
        <is>
          <t>digital download</t>
        </is>
      </c>
      <c r="B975" t="inlineStr"/>
      <c r="C975" t="n">
        <v>1408361406</v>
      </c>
      <c r="D975">
        <f>HYPERLINK("https://www.etsy.com/listing/1408361406", "link")</f>
        <v/>
      </c>
      <c r="E975">
        <f>HYPERLINK("https://atlas.etsycorp.com/listing/1408361406/lookup", "link")</f>
        <v/>
      </c>
      <c r="F975" t="inlineStr">
        <is>
          <t>Vintage Wildflower Field Wall Art | Field Of Flowers Art | Botanical Wildflower Art | 167</t>
        </is>
      </c>
      <c r="G975" t="inlineStr">
        <is>
          <t>EubxohziWzBfpfnhErrDl3F3Gc00</t>
        </is>
      </c>
      <c r="H975" t="inlineStr">
        <is>
          <t>boe</t>
        </is>
      </c>
      <c r="I975" t="inlineStr">
        <is>
          <t>en-US</t>
        </is>
      </c>
      <c r="J975" t="inlineStr">
        <is>
          <t>us_v2-direct_unspecified</t>
        </is>
      </c>
      <c r="K975" t="b">
        <v>1</v>
      </c>
      <c r="L975" t="inlineStr">
        <is>
          <t>not_relevant</t>
        </is>
      </c>
      <c r="M975" t="inlineStr">
        <is>
          <t>not_relevant</t>
        </is>
      </c>
      <c r="N975" t="inlineStr">
        <is>
          <t>not_relevant</t>
        </is>
      </c>
      <c r="O975" t="inlineStr">
        <is>
          <t>not_relevant</t>
        </is>
      </c>
      <c r="P975" t="b">
        <v>1</v>
      </c>
    </row>
    <row r="976">
      <c r="A976" t="inlineStr">
        <is>
          <t>vivienne westwood lighter</t>
        </is>
      </c>
      <c r="B976" t="inlineStr">
        <is>
          <t>vivienne westwood lighter</t>
        </is>
      </c>
      <c r="C976" t="n">
        <v>1124524457</v>
      </c>
      <c r="D976">
        <f>HYPERLINK("https://www.etsy.com/listing/1124524457", "link")</f>
        <v/>
      </c>
      <c r="E976">
        <f>HYPERLINK("https://atlas.etsycorp.com/listing/1124524457/lookup", "link")</f>
        <v/>
      </c>
      <c r="F976" t="inlineStr">
        <is>
          <t>RED BLACK STONES band tee (choose your tshirt style)</t>
        </is>
      </c>
      <c r="G976" t="inlineStr">
        <is>
          <t>Eu9Av1tSXJxDI75y9jKwz5_3Np7d</t>
        </is>
      </c>
      <c r="H976" t="inlineStr">
        <is>
          <t>web</t>
        </is>
      </c>
      <c r="I976" t="inlineStr">
        <is>
          <t>es</t>
        </is>
      </c>
      <c r="J976" t="inlineStr">
        <is>
          <t>intl-es</t>
        </is>
      </c>
      <c r="K976" t="b">
        <v>1</v>
      </c>
      <c r="L976" t="inlineStr">
        <is>
          <t>not_relevant</t>
        </is>
      </c>
      <c r="M976" t="inlineStr">
        <is>
          <t>not_relevant</t>
        </is>
      </c>
      <c r="N976" t="inlineStr">
        <is>
          <t>not_relevant</t>
        </is>
      </c>
      <c r="O976" t="inlineStr">
        <is>
          <t>partial</t>
        </is>
      </c>
      <c r="P976" t="b">
        <v>1</v>
      </c>
    </row>
    <row r="977">
      <c r="A977" t="inlineStr">
        <is>
          <t>trofeo primer grado</t>
        </is>
      </c>
      <c r="B977" t="inlineStr">
        <is>
          <t>first grade trophy</t>
        </is>
      </c>
      <c r="C977" t="n">
        <v>1487084669</v>
      </c>
      <c r="D977">
        <f>HYPERLINK("https://www.etsy.com/listing/1487084669", "link")</f>
        <v/>
      </c>
      <c r="E977">
        <f>HYPERLINK("https://atlas.etsycorp.com/listing/1487084669/lookup", "link")</f>
        <v/>
      </c>
      <c r="F977" t="inlineStr">
        <is>
          <t>So Long Kindergarten SVG, Kindergarten Graduation SVG, 1st here I come Svg, Kinder Graduate, Wavy Text, Digital Download Png, Dxf, Eps Files</t>
        </is>
      </c>
      <c r="G977" t="inlineStr">
        <is>
          <t>EuvDw8AI3AbJ1gJ2TwV3Qt4ugo5e</t>
        </is>
      </c>
      <c r="H977" t="inlineStr">
        <is>
          <t>boe</t>
        </is>
      </c>
      <c r="I977" t="inlineStr">
        <is>
          <t>es</t>
        </is>
      </c>
      <c r="J977" t="inlineStr">
        <is>
          <t>intl-es</t>
        </is>
      </c>
      <c r="K977" t="b">
        <v>1</v>
      </c>
      <c r="L977" t="inlineStr">
        <is>
          <t>not_relevant</t>
        </is>
      </c>
      <c r="M977" t="inlineStr">
        <is>
          <t>partial</t>
        </is>
      </c>
      <c r="N977" t="inlineStr">
        <is>
          <t>not_relevant</t>
        </is>
      </c>
      <c r="O977" t="inlineStr">
        <is>
          <t>not_relevant</t>
        </is>
      </c>
      <c r="P977" t="b">
        <v>1</v>
      </c>
    </row>
    <row r="978">
      <c r="A978" t="inlineStr">
        <is>
          <t>blondie</t>
        </is>
      </c>
      <c r="B978" t="inlineStr">
        <is>
          <t>blondie</t>
        </is>
      </c>
      <c r="C978" t="n">
        <v>1410715265</v>
      </c>
      <c r="D978">
        <f>HYPERLINK("https://www.etsy.com/listing/1410715265", "link")</f>
        <v/>
      </c>
      <c r="E978">
        <f>HYPERLINK("https://atlas.etsycorp.com/listing/1410715265/lookup", "link")</f>
        <v/>
      </c>
      <c r="F978" t="inlineStr">
        <is>
          <t>1990s Vintage Mini Dress Blondie Nights Strapless</t>
        </is>
      </c>
      <c r="G978" t="inlineStr">
        <is>
          <t>EukkL-uuLPoHQIarcy21gDi_RW95</t>
        </is>
      </c>
      <c r="H978" t="inlineStr">
        <is>
          <t>web</t>
        </is>
      </c>
      <c r="I978" t="inlineStr">
        <is>
          <t>nl</t>
        </is>
      </c>
      <c r="J978" t="inlineStr">
        <is>
          <t>intl-nl</t>
        </is>
      </c>
      <c r="K978" t="b">
        <v>1</v>
      </c>
      <c r="L978" t="inlineStr">
        <is>
          <t>relevant</t>
        </is>
      </c>
      <c r="M978" t="inlineStr">
        <is>
          <t>relevant</t>
        </is>
      </c>
      <c r="N978" t="inlineStr">
        <is>
          <t>relevant</t>
        </is>
      </c>
      <c r="O978" t="inlineStr">
        <is>
          <t>relevant</t>
        </is>
      </c>
      <c r="P978" t="b">
        <v>1</v>
      </c>
    </row>
    <row r="979">
      <c r="A979" t="inlineStr">
        <is>
          <t>pokemon lingerie</t>
        </is>
      </c>
      <c r="B979" t="inlineStr"/>
      <c r="C979" t="n">
        <v>1578545737</v>
      </c>
      <c r="D979">
        <f>HYPERLINK("https://www.etsy.com/listing/1578545737", "link")</f>
        <v/>
      </c>
      <c r="E979">
        <f>HYPERLINK("https://atlas.etsycorp.com/listing/1578545737/lookup", "link")</f>
        <v/>
      </c>
      <c r="F979" t="inlineStr">
        <is>
          <t>Babydoll Nightgown | Slit Nightgown | Black Deep Side Slit Dress Lingerie | Slit Tight Dress Lingerie | Black Nightgown |</t>
        </is>
      </c>
      <c r="G979" t="inlineStr">
        <is>
          <t>EuBk3RvJdMQ70CFMbO2hmbyPKW4a</t>
        </is>
      </c>
      <c r="H979" t="inlineStr">
        <is>
          <t>web</t>
        </is>
      </c>
      <c r="I979" t="inlineStr">
        <is>
          <t>en-US</t>
        </is>
      </c>
      <c r="J979" t="inlineStr">
        <is>
          <t>us_v2-direct_specified</t>
        </is>
      </c>
      <c r="K979" t="b">
        <v>1</v>
      </c>
      <c r="L979" t="inlineStr">
        <is>
          <t>partial</t>
        </is>
      </c>
      <c r="M979" t="inlineStr">
        <is>
          <t>partial</t>
        </is>
      </c>
      <c r="N979" t="inlineStr">
        <is>
          <t>partial</t>
        </is>
      </c>
      <c r="O979" t="inlineStr">
        <is>
          <t>partial</t>
        </is>
      </c>
      <c r="P979" t="b">
        <v>1</v>
      </c>
    </row>
    <row r="980">
      <c r="A980" t="inlineStr">
        <is>
          <t>unique gifts for her</t>
        </is>
      </c>
      <c r="B980" t="inlineStr"/>
      <c r="C980" t="n">
        <v>538510450</v>
      </c>
      <c r="D980">
        <f>HYPERLINK("https://www.etsy.com/listing/538510450", "link")</f>
        <v/>
      </c>
      <c r="E980">
        <f>HYPERLINK("https://atlas.etsycorp.com/listing/538510450/lookup", "link")</f>
        <v/>
      </c>
      <c r="F980" t="inlineStr">
        <is>
          <t>Blue Spice Jar | Kitchen Canister | Storage Jar, Unique Handmade Pottery White Polka Dot Ceramic Canister, Housewarming, Christmas Gift</t>
        </is>
      </c>
      <c r="G980" t="inlineStr">
        <is>
          <t>EuPv-WzqUcagMXWAQsygTjf4AM2a</t>
        </is>
      </c>
      <c r="H980" t="inlineStr">
        <is>
          <t>boe</t>
        </is>
      </c>
      <c r="I980" t="inlineStr">
        <is>
          <t>en-GB</t>
        </is>
      </c>
      <c r="J980" t="inlineStr">
        <is>
          <t>us_v2-gift</t>
        </is>
      </c>
      <c r="K980" t="b">
        <v>1</v>
      </c>
      <c r="L980" t="inlineStr">
        <is>
          <t>relevant</t>
        </is>
      </c>
      <c r="M980" t="inlineStr">
        <is>
          <t>partial</t>
        </is>
      </c>
      <c r="N980" t="inlineStr">
        <is>
          <t>relevant</t>
        </is>
      </c>
      <c r="O980" t="inlineStr">
        <is>
          <t>relevant</t>
        </is>
      </c>
      <c r="P980" t="b">
        <v>1</v>
      </c>
    </row>
    <row r="981">
      <c r="A981" t="inlineStr">
        <is>
          <t>travel accessories</t>
        </is>
      </c>
      <c r="B981" t="inlineStr">
        <is>
          <t>travel accessories</t>
        </is>
      </c>
      <c r="C981" t="n">
        <v>1337862015</v>
      </c>
      <c r="D981">
        <f>HYPERLINK("https://www.etsy.com/listing/1337862015", "link")</f>
        <v/>
      </c>
      <c r="E981">
        <f>HYPERLINK("https://atlas.etsycorp.com/listing/1337862015/lookup", "link")</f>
        <v/>
      </c>
      <c r="F981" t="inlineStr">
        <is>
          <t>Tech Pouch Leather Cord Organizer Mouse Charger Case Cable Organizer Bag Travel Cord Tie Electronics Organiser Gadget Storage</t>
        </is>
      </c>
      <c r="G981" t="inlineStr">
        <is>
          <t>Eu-jyryLoJYwjh1J-mnwweycCOac</t>
        </is>
      </c>
      <c r="H981" t="inlineStr">
        <is>
          <t>boe</t>
        </is>
      </c>
      <c r="I981" t="inlineStr">
        <is>
          <t>pt</t>
        </is>
      </c>
      <c r="J981" t="inlineStr">
        <is>
          <t>intl-pt</t>
        </is>
      </c>
      <c r="K981" t="b">
        <v>1</v>
      </c>
      <c r="L981" t="inlineStr">
        <is>
          <t>relevant</t>
        </is>
      </c>
      <c r="M981" t="inlineStr">
        <is>
          <t>relevant</t>
        </is>
      </c>
      <c r="N981" t="inlineStr">
        <is>
          <t>relevant</t>
        </is>
      </c>
      <c r="O981" t="inlineStr">
        <is>
          <t>relevant</t>
        </is>
      </c>
      <c r="P981" t="b">
        <v>1</v>
      </c>
    </row>
    <row r="982">
      <c r="A982" t="inlineStr">
        <is>
          <t>schlafanzug damen</t>
        </is>
      </c>
      <c r="B982" t="inlineStr">
        <is>
          <t>pajamas women</t>
        </is>
      </c>
      <c r="C982" t="n">
        <v>1763859457</v>
      </c>
      <c r="D982">
        <f>HYPERLINK("https://www.etsy.com/listing/1763859457", "link")</f>
        <v/>
      </c>
      <c r="E982">
        <f>HYPERLINK("https://atlas.etsycorp.com/listing/1763859457/lookup", "link")</f>
        <v/>
      </c>
      <c r="F982" t="inlineStr">
        <is>
          <t>Cotton Pajama Set, Muslin Pajama Set, Wedding Pajamas, Bridal Shower Pajamas, Homewear, Double Gauze Pajamas, 100% Crinkled Cotton Pajamas</t>
        </is>
      </c>
      <c r="G982" t="inlineStr">
        <is>
          <t>EuqJ7wKWr2ymRYzTRvCYNNRSIDb9</t>
        </is>
      </c>
      <c r="H982" t="inlineStr">
        <is>
          <t>web</t>
        </is>
      </c>
      <c r="I982" t="inlineStr">
        <is>
          <t>de</t>
        </is>
      </c>
      <c r="J982" t="inlineStr">
        <is>
          <t>intl-de</t>
        </is>
      </c>
      <c r="K982" t="b">
        <v>1</v>
      </c>
      <c r="L982" t="inlineStr">
        <is>
          <t>relevant</t>
        </is>
      </c>
      <c r="M982" t="inlineStr">
        <is>
          <t>relevant</t>
        </is>
      </c>
      <c r="N982" t="inlineStr">
        <is>
          <t>relevant</t>
        </is>
      </c>
      <c r="O982" t="inlineStr">
        <is>
          <t>relevant</t>
        </is>
      </c>
      <c r="P982" t="b">
        <v>1</v>
      </c>
    </row>
    <row r="983">
      <c r="A983" t="inlineStr">
        <is>
          <t>personalised gin glass stemless</t>
        </is>
      </c>
      <c r="B983" t="inlineStr"/>
      <c r="C983" t="n">
        <v>1121581391</v>
      </c>
      <c r="D983">
        <f>HYPERLINK("https://www.etsy.com/listing/1121581391", "link")</f>
        <v/>
      </c>
      <c r="E983">
        <f>HYPERLINK("https://atlas.etsycorp.com/listing/1121581391/lookup", "link")</f>
        <v/>
      </c>
      <c r="F983" t="inlineStr">
        <is>
          <t>SKULL WHISKEY wine pair glass, engraved glassware, etched day of the dead, gift, personalised</t>
        </is>
      </c>
      <c r="G983" t="inlineStr">
        <is>
          <t>EuPBd3C3aSZwRnlarMTre4sQVM52</t>
        </is>
      </c>
      <c r="H983" t="inlineStr">
        <is>
          <t>boe</t>
        </is>
      </c>
      <c r="I983" t="inlineStr">
        <is>
          <t>en-GB</t>
        </is>
      </c>
      <c r="J983" t="inlineStr">
        <is>
          <t>us_v2-direct_specified</t>
        </is>
      </c>
      <c r="K983" t="b">
        <v>1</v>
      </c>
      <c r="L983" t="inlineStr">
        <is>
          <t>partial</t>
        </is>
      </c>
      <c r="M983" t="inlineStr">
        <is>
          <t>partial</t>
        </is>
      </c>
      <c r="N983" t="inlineStr">
        <is>
          <t>partial</t>
        </is>
      </c>
      <c r="O983" t="inlineStr">
        <is>
          <t>relevant</t>
        </is>
      </c>
      <c r="P983" t="b">
        <v>1</v>
      </c>
    </row>
    <row r="984">
      <c r="A984" t="inlineStr">
        <is>
          <t>sticker schalke</t>
        </is>
      </c>
      <c r="B984" t="inlineStr">
        <is>
          <t>stickers schalke</t>
        </is>
      </c>
      <c r="C984" t="n">
        <v>1043494718</v>
      </c>
      <c r="D984">
        <f>HYPERLINK("https://www.etsy.com/listing/1043494718", "link")</f>
        <v/>
      </c>
      <c r="E984">
        <f>HYPERLINK("https://atlas.etsycorp.com/listing/1043494718/lookup", "link")</f>
        <v/>
      </c>
      <c r="F984" t="inlineStr">
        <is>
          <t>100 x Stuttgart Stickers Inspiriert von VfB Aufkleber Fahne Flagge Poster Fahne Ultra Trikot Schal Flagge Decoration</t>
        </is>
      </c>
      <c r="G984" t="inlineStr">
        <is>
          <t>Eulv-85ZcZjW5q4pRvjC4T97lb53</t>
        </is>
      </c>
      <c r="H984" t="inlineStr">
        <is>
          <t>boe</t>
        </is>
      </c>
      <c r="I984" t="inlineStr">
        <is>
          <t>de</t>
        </is>
      </c>
      <c r="J984" t="inlineStr">
        <is>
          <t>intl-de</t>
        </is>
      </c>
      <c r="K984" t="b">
        <v>1</v>
      </c>
      <c r="L984" t="inlineStr">
        <is>
          <t>not_relevant</t>
        </is>
      </c>
      <c r="M984" t="inlineStr">
        <is>
          <t>not_relevant</t>
        </is>
      </c>
      <c r="N984" t="inlineStr">
        <is>
          <t>not_relevant</t>
        </is>
      </c>
      <c r="O984" t="inlineStr">
        <is>
          <t>not_relevant</t>
        </is>
      </c>
      <c r="P984" t="b">
        <v>1</v>
      </c>
    </row>
    <row r="985">
      <c r="A985" t="inlineStr">
        <is>
          <t>maple candy</t>
        </is>
      </c>
      <c r="B985" t="inlineStr"/>
      <c r="C985" t="n">
        <v>1144746788</v>
      </c>
      <c r="D985">
        <f>HYPERLINK("https://www.etsy.com/listing/1144746788", "link")</f>
        <v/>
      </c>
      <c r="E985">
        <f>HYPERLINK("https://atlas.etsycorp.com/listing/1144746788/lookup", "link")</f>
        <v/>
      </c>
      <c r="F985" t="inlineStr">
        <is>
          <t>Maple Drops Hard Candy - 18 Pieces - Made with Real Maple Syrup</t>
        </is>
      </c>
      <c r="G985" t="inlineStr">
        <is>
          <t>EuC011q0m7HuhrZOs7eesRcA37c5</t>
        </is>
      </c>
      <c r="H985" t="inlineStr">
        <is>
          <t>web</t>
        </is>
      </c>
      <c r="I985" t="inlineStr">
        <is>
          <t>en-US</t>
        </is>
      </c>
      <c r="J985" t="inlineStr">
        <is>
          <t>us_v2-broad</t>
        </is>
      </c>
      <c r="K985" t="b">
        <v>1</v>
      </c>
      <c r="L985" t="inlineStr">
        <is>
          <t>relevant</t>
        </is>
      </c>
      <c r="M985" t="inlineStr">
        <is>
          <t>relevant</t>
        </is>
      </c>
      <c r="N985" t="inlineStr">
        <is>
          <t>relevant</t>
        </is>
      </c>
      <c r="O985" t="inlineStr">
        <is>
          <t>relevant</t>
        </is>
      </c>
      <c r="P985" t="b">
        <v>1</v>
      </c>
    </row>
    <row r="986">
      <c r="A986" t="inlineStr">
        <is>
          <t>witch bells</t>
        </is>
      </c>
      <c r="B986" t="inlineStr"/>
      <c r="C986" t="n">
        <v>1480604914</v>
      </c>
      <c r="D986">
        <f>HYPERLINK("https://www.etsy.com/listing/1480604914", "link")</f>
        <v/>
      </c>
      <c r="E986">
        <f>HYPERLINK("https://atlas.etsycorp.com/listing/1480604914/lookup", "link")</f>
        <v/>
      </c>
      <c r="F986" t="inlineStr">
        <is>
          <t>Witches of Legend: An Oracle Deck</t>
        </is>
      </c>
      <c r="G986" t="inlineStr">
        <is>
          <t>EuylfPEHp0_pzouW051OPktvmT3f</t>
        </is>
      </c>
      <c r="H986" t="inlineStr">
        <is>
          <t>boe</t>
        </is>
      </c>
      <c r="I986" t="inlineStr">
        <is>
          <t>en-US</t>
        </is>
      </c>
      <c r="J986" t="inlineStr">
        <is>
          <t>us_v2-direct_unspecified</t>
        </is>
      </c>
      <c r="K986" t="b">
        <v>1</v>
      </c>
      <c r="L986" t="inlineStr">
        <is>
          <t>partial</t>
        </is>
      </c>
      <c r="M986" t="inlineStr">
        <is>
          <t>partial</t>
        </is>
      </c>
      <c r="N986" t="inlineStr">
        <is>
          <t>not_relevant</t>
        </is>
      </c>
      <c r="O986" t="inlineStr">
        <is>
          <t>partial</t>
        </is>
      </c>
      <c r="P986" t="b">
        <v>1</v>
      </c>
    </row>
    <row r="987">
      <c r="A987" t="inlineStr">
        <is>
          <t>xxxl cowboy hat</t>
        </is>
      </c>
      <c r="B987" t="inlineStr"/>
      <c r="C987" t="n">
        <v>1624742791</v>
      </c>
      <c r="D987">
        <f>HYPERLINK("https://www.etsy.com/listing/1624742791", "link")</f>
        <v/>
      </c>
      <c r="E987">
        <f>HYPERLINK("https://atlas.etsycorp.com/listing/1624742791/lookup", "link")</f>
        <v/>
      </c>
      <c r="F987" t="inlineStr">
        <is>
          <t>Men’s Black Felt Cowboy Hat. Men’s Western Cowboy Hat. Men’s Black Felt Western Hat. Sombrero Vaquero De Hombre. Sombrero Vaquero.</t>
        </is>
      </c>
      <c r="G987" t="inlineStr">
        <is>
          <t>Eu1ipn6r-0EQeRFBFz9o3IsZuj81</t>
        </is>
      </c>
      <c r="H987" t="inlineStr">
        <is>
          <t>web</t>
        </is>
      </c>
      <c r="I987" t="inlineStr">
        <is>
          <t>en-US</t>
        </is>
      </c>
      <c r="J987" t="inlineStr">
        <is>
          <t>us_v2-direct_specified</t>
        </is>
      </c>
      <c r="K987" t="b">
        <v>1</v>
      </c>
      <c r="L987" t="inlineStr">
        <is>
          <t>relevant</t>
        </is>
      </c>
      <c r="M987" t="inlineStr">
        <is>
          <t>partial</t>
        </is>
      </c>
      <c r="N987" t="inlineStr">
        <is>
          <t>relevant</t>
        </is>
      </c>
      <c r="O987" t="inlineStr">
        <is>
          <t>relevant</t>
        </is>
      </c>
      <c r="P987" t="b">
        <v>1</v>
      </c>
    </row>
    <row r="988">
      <c r="A988" t="inlineStr">
        <is>
          <t>fiji plush</t>
        </is>
      </c>
      <c r="B988" t="inlineStr"/>
      <c r="C988" t="n">
        <v>1618578308</v>
      </c>
      <c r="D988">
        <f>HYPERLINK("https://www.etsy.com/listing/1618578308", "link")</f>
        <v/>
      </c>
      <c r="E988">
        <f>HYPERLINK("https://atlas.etsycorp.com/listing/1618578308/lookup", "link")</f>
        <v/>
      </c>
      <c r="F988" t="inlineStr">
        <is>
          <t>Melanesian Fiji Tribal Blue Office Computer Desk Mat, Fijian Masi design gifts for AAPI, students, coworkers, birthday, parents, party, dorm</t>
        </is>
      </c>
      <c r="G988" t="inlineStr">
        <is>
          <t>Eu-YUHDGH7EmPHI3Aqg9KShxvS89</t>
        </is>
      </c>
      <c r="H988" t="inlineStr">
        <is>
          <t>web</t>
        </is>
      </c>
      <c r="I988" t="inlineStr">
        <is>
          <t>en-US</t>
        </is>
      </c>
      <c r="J988" t="inlineStr">
        <is>
          <t>us_v2-direct_specified</t>
        </is>
      </c>
      <c r="K988" t="b">
        <v>1</v>
      </c>
      <c r="L988" t="inlineStr">
        <is>
          <t>not_relevant</t>
        </is>
      </c>
      <c r="M988" t="inlineStr">
        <is>
          <t>partial</t>
        </is>
      </c>
      <c r="N988" t="inlineStr">
        <is>
          <t>not_relevant</t>
        </is>
      </c>
      <c r="O988" t="inlineStr">
        <is>
          <t>not_relevant</t>
        </is>
      </c>
      <c r="P988" t="b">
        <v>1</v>
      </c>
    </row>
    <row r="989">
      <c r="A989" t="inlineStr">
        <is>
          <t>Raw African SHEA BUTTER Unrefined Organic White/Ivory 100% Pure Premium Quality Shea Butter Bulk Wholesale</t>
        </is>
      </c>
      <c r="B989" t="inlineStr"/>
      <c r="C989" t="n">
        <v>669267529</v>
      </c>
      <c r="D989">
        <f>HYPERLINK("https://www.etsy.com/listing/669267529", "link")</f>
        <v/>
      </c>
      <c r="E989">
        <f>HYPERLINK("https://atlas.etsycorp.com/listing/669267529/lookup", "link")</f>
        <v/>
      </c>
      <c r="F989" t="inlineStr">
        <is>
          <t>16 oz - Shea Karite Oil - 100% Pure Organic Cold Pressed</t>
        </is>
      </c>
      <c r="G989" t="inlineStr">
        <is>
          <t>EupM_aUIk9WB8qYl_hTjWc4IY194</t>
        </is>
      </c>
      <c r="H989" t="inlineStr">
        <is>
          <t>boe</t>
        </is>
      </c>
      <c r="I989" t="inlineStr">
        <is>
          <t>en-GB</t>
        </is>
      </c>
      <c r="J989" t="inlineStr">
        <is>
          <t>us_v2-broad</t>
        </is>
      </c>
      <c r="K989" t="b">
        <v>1</v>
      </c>
      <c r="L989" t="inlineStr">
        <is>
          <t>not_relevant</t>
        </is>
      </c>
      <c r="M989" t="inlineStr">
        <is>
          <t>partial</t>
        </is>
      </c>
      <c r="N989" t="inlineStr">
        <is>
          <t>not_relevant</t>
        </is>
      </c>
      <c r="O989" t="inlineStr">
        <is>
          <t>not_relevant</t>
        </is>
      </c>
      <c r="P989" t="b">
        <v>1</v>
      </c>
    </row>
    <row r="990">
      <c r="A990" t="inlineStr">
        <is>
          <t>Batman</t>
        </is>
      </c>
      <c r="B990" t="inlineStr">
        <is>
          <t>Batman</t>
        </is>
      </c>
      <c r="C990" t="n">
        <v>1689421684</v>
      </c>
      <c r="D990">
        <f>HYPERLINK("https://www.etsy.com/listing/1689421684", "link")</f>
        <v/>
      </c>
      <c r="E990">
        <f>HYPERLINK("https://atlas.etsycorp.com/listing/1689421684/lookup", "link")</f>
        <v/>
      </c>
      <c r="F990" t="inlineStr">
        <is>
          <t>McFarlane and Dc Collectibles City / Asylum / Knight Riddler challenges props</t>
        </is>
      </c>
      <c r="G990" t="inlineStr">
        <is>
          <t>EuB59DrwREHlo0mJN-C1D98DEL82</t>
        </is>
      </c>
      <c r="H990" t="inlineStr">
        <is>
          <t>boe</t>
        </is>
      </c>
      <c r="I990" t="inlineStr">
        <is>
          <t>it</t>
        </is>
      </c>
      <c r="J990" t="inlineStr">
        <is>
          <t>intl-it</t>
        </is>
      </c>
      <c r="K990" t="b">
        <v>1</v>
      </c>
      <c r="L990" t="inlineStr">
        <is>
          <t>relevant</t>
        </is>
      </c>
      <c r="M990" t="inlineStr">
        <is>
          <t>relevant</t>
        </is>
      </c>
      <c r="N990" t="inlineStr">
        <is>
          <t>relevant</t>
        </is>
      </c>
      <c r="O990" t="inlineStr">
        <is>
          <t>relevant</t>
        </is>
      </c>
      <c r="P990" t="b">
        <v>1</v>
      </c>
    </row>
    <row r="991">
      <c r="A991" t="inlineStr">
        <is>
          <t>wedding gifts</t>
        </is>
      </c>
      <c r="B991" t="inlineStr"/>
      <c r="C991" t="n">
        <v>1259672202</v>
      </c>
      <c r="D991">
        <f>HYPERLINK("https://www.etsy.com/listing/1259672202", "link")</f>
        <v/>
      </c>
      <c r="E991">
        <f>HYPERLINK("https://atlas.etsycorp.com/listing/1259672202/lookup", "link")</f>
        <v/>
      </c>
      <c r="F991" t="inlineStr">
        <is>
          <t>Personalized Wedding Portrait, Custom Painting from Photo, Couple Portrait, Wedding Gift, Digital Print On Canvas Ready to Hang</t>
        </is>
      </c>
      <c r="G991" t="inlineStr">
        <is>
          <t>EuCUi1Ag5Rvb3hGP4PsbqFdSABdf</t>
        </is>
      </c>
      <c r="H991" t="inlineStr">
        <is>
          <t>web</t>
        </is>
      </c>
      <c r="I991" t="inlineStr">
        <is>
          <t>en-GB</t>
        </is>
      </c>
      <c r="J991" t="inlineStr">
        <is>
          <t>us_v2-gift</t>
        </is>
      </c>
      <c r="K991" t="b">
        <v>1</v>
      </c>
      <c r="L991" t="inlineStr">
        <is>
          <t>relevant</t>
        </is>
      </c>
      <c r="M991" t="inlineStr">
        <is>
          <t>relevant</t>
        </is>
      </c>
      <c r="N991" t="inlineStr">
        <is>
          <t>relevant</t>
        </is>
      </c>
      <c r="O991" t="inlineStr">
        <is>
          <t>relevant</t>
        </is>
      </c>
      <c r="P991" t="b">
        <v>1</v>
      </c>
    </row>
    <row r="992">
      <c r="A992" t="inlineStr">
        <is>
          <t>the witcher</t>
        </is>
      </c>
      <c r="B992" t="inlineStr">
        <is>
          <t>the witcher</t>
        </is>
      </c>
      <c r="C992" t="n">
        <v>1124104838</v>
      </c>
      <c r="D992">
        <f>HYPERLINK("https://www.etsy.com/listing/1124104838", "link")</f>
        <v/>
      </c>
      <c r="E992">
        <f>HYPERLINK("https://atlas.etsycorp.com/listing/1124104838/lookup", "link")</f>
        <v/>
      </c>
      <c r="F992" t="inlineStr">
        <is>
          <t>LIZARD SKIN (real) in Antique Flask Alchemy Ingredient Witchcraft Magic Potion Vintage Apothecary Curio Oddity Curiosity Dark Academia</t>
        </is>
      </c>
      <c r="G992" t="inlineStr">
        <is>
          <t>EusU14j77Bj77ouFU9cLaRfeJ399</t>
        </is>
      </c>
      <c r="H992" t="inlineStr">
        <is>
          <t>web</t>
        </is>
      </c>
      <c r="I992" t="inlineStr">
        <is>
          <t>pl</t>
        </is>
      </c>
      <c r="J992" t="inlineStr">
        <is>
          <t>intl-pl</t>
        </is>
      </c>
      <c r="K992" t="b">
        <v>1</v>
      </c>
      <c r="L992" t="inlineStr">
        <is>
          <t>not_relevant</t>
        </is>
      </c>
      <c r="M992" t="inlineStr">
        <is>
          <t>not_relevant</t>
        </is>
      </c>
      <c r="N992" t="inlineStr">
        <is>
          <t>relevant</t>
        </is>
      </c>
      <c r="O992" t="inlineStr">
        <is>
          <t>not_relevant</t>
        </is>
      </c>
      <c r="P992" t="b">
        <v>1</v>
      </c>
    </row>
    <row r="993">
      <c r="A993" t="inlineStr">
        <is>
          <t>aquarium statue</t>
        </is>
      </c>
      <c r="B993" t="inlineStr">
        <is>
          <t>aquarium statue</t>
        </is>
      </c>
      <c r="C993" t="n">
        <v>1538008337</v>
      </c>
      <c r="D993">
        <f>HYPERLINK("https://www.etsy.com/listing/1538008337", "link")</f>
        <v/>
      </c>
      <c r="E993">
        <f>HYPERLINK("https://atlas.etsycorp.com/listing/1538008337/lookup", "link")</f>
        <v/>
      </c>
      <c r="F993" t="inlineStr">
        <is>
          <t>The Original SQUARE Floating Water Change Top Off Diffuser for Freshwater and Saltwater Fishtanks - 3D Printed - Aquarium Safe ABS Plastic!</t>
        </is>
      </c>
      <c r="G993" t="inlineStr">
        <is>
          <t>Eu0d9TsA0-nb7E8YILBUjL_2Bte6</t>
        </is>
      </c>
      <c r="H993" t="inlineStr">
        <is>
          <t>boe</t>
        </is>
      </c>
      <c r="I993" t="inlineStr">
        <is>
          <t>fr</t>
        </is>
      </c>
      <c r="J993" t="inlineStr">
        <is>
          <t>intl-fr</t>
        </is>
      </c>
      <c r="K993" t="b">
        <v>1</v>
      </c>
      <c r="L993" t="inlineStr">
        <is>
          <t>partial</t>
        </is>
      </c>
      <c r="M993" t="inlineStr">
        <is>
          <t>partial</t>
        </is>
      </c>
      <c r="N993" t="inlineStr">
        <is>
          <t>partial</t>
        </is>
      </c>
      <c r="O993" t="inlineStr">
        <is>
          <t>partial</t>
        </is>
      </c>
      <c r="P993" t="b">
        <v>1</v>
      </c>
    </row>
    <row r="994">
      <c r="A994" t="inlineStr">
        <is>
          <t>ceramic dumpling plate</t>
        </is>
      </c>
      <c r="B994" t="inlineStr"/>
      <c r="C994" t="n">
        <v>652395882</v>
      </c>
      <c r="D994">
        <f>HYPERLINK("https://www.etsy.com/listing/652395882", "link")</f>
        <v/>
      </c>
      <c r="E994">
        <f>HYPERLINK("https://atlas.etsycorp.com/listing/652395882/lookup", "link")</f>
        <v/>
      </c>
      <c r="F994" t="inlineStr">
        <is>
          <t>Vintage Pfaltzgraff USA Two Piece Chip And Dip Blossom Collection - Argonne Hall, LLC</t>
        </is>
      </c>
      <c r="G994" t="inlineStr">
        <is>
          <t>EuRQilJeeDRrRpmc1gA_5cmCprfe</t>
        </is>
      </c>
      <c r="H994" t="inlineStr">
        <is>
          <t>web</t>
        </is>
      </c>
      <c r="I994" t="inlineStr">
        <is>
          <t>en-US</t>
        </is>
      </c>
      <c r="J994" t="inlineStr">
        <is>
          <t>us_v2-direct_specified</t>
        </is>
      </c>
      <c r="K994" t="b">
        <v>1</v>
      </c>
      <c r="L994" t="inlineStr">
        <is>
          <t>partial</t>
        </is>
      </c>
      <c r="M994" t="inlineStr">
        <is>
          <t>not_relevant</t>
        </is>
      </c>
      <c r="N994" t="inlineStr">
        <is>
          <t>partial</t>
        </is>
      </c>
      <c r="O994" t="inlineStr">
        <is>
          <t>partial</t>
        </is>
      </c>
      <c r="P994" t="b">
        <v>1</v>
      </c>
    </row>
    <row r="995">
      <c r="A995" t="inlineStr">
        <is>
          <t>magic the gathering</t>
        </is>
      </c>
      <c r="B995" t="inlineStr"/>
      <c r="C995" t="n">
        <v>1502513131</v>
      </c>
      <c r="D995">
        <f>HYPERLINK("https://www.etsy.com/listing/1502513131", "link")</f>
        <v/>
      </c>
      <c r="E995">
        <f>HYPERLINK("https://atlas.etsycorp.com/listing/1502513131/lookup", "link")</f>
        <v/>
      </c>
      <c r="F995" t="inlineStr">
        <is>
          <t>MTG Bundle pack SVG Magic The Gathering Cricut Bundle MTG Mana Guilds Game Mana Symbols Silhouette file For Laser Cutter svg file for cricut</t>
        </is>
      </c>
      <c r="G995" t="inlineStr">
        <is>
          <t>EuL4f4qNIarJylbN4ngjROU0XL82</t>
        </is>
      </c>
      <c r="H995" t="inlineStr">
        <is>
          <t>boe</t>
        </is>
      </c>
      <c r="I995" t="inlineStr">
        <is>
          <t>en-GB</t>
        </is>
      </c>
      <c r="J995" t="inlineStr">
        <is>
          <t>us_v2-broad</t>
        </is>
      </c>
      <c r="K995" t="b">
        <v>1</v>
      </c>
      <c r="L995" t="inlineStr">
        <is>
          <t>relevant</t>
        </is>
      </c>
      <c r="M995" t="inlineStr">
        <is>
          <t>relevant</t>
        </is>
      </c>
      <c r="N995" t="inlineStr">
        <is>
          <t>relevant</t>
        </is>
      </c>
      <c r="O995" t="inlineStr">
        <is>
          <t>relevant</t>
        </is>
      </c>
      <c r="P995" t="b">
        <v>1</v>
      </c>
    </row>
    <row r="996">
      <c r="A996" t="inlineStr">
        <is>
          <t>rosenquarz kette</t>
        </is>
      </c>
      <c r="B996" t="inlineStr">
        <is>
          <t>rose quartz necklace</t>
        </is>
      </c>
      <c r="C996" t="n">
        <v>1002802888</v>
      </c>
      <c r="D996">
        <f>HYPERLINK("https://www.etsy.com/listing/1002802888", "link")</f>
        <v/>
      </c>
      <c r="E996">
        <f>HYPERLINK("https://atlas.etsycorp.com/listing/1002802888/lookup", "link")</f>
        <v/>
      </c>
      <c r="F996" t="inlineStr">
        <is>
          <t>ROSE QUARTZ 20” (50.8cm) gemstone crystal 10-15mm Nugget Bead NECKLACE (creativity, forgiveness, love)</t>
        </is>
      </c>
      <c r="G996" t="inlineStr">
        <is>
          <t>Eu3xtjdZ-_7tWz2JVLqcCpcFjvc1</t>
        </is>
      </c>
      <c r="H996" t="inlineStr">
        <is>
          <t>web</t>
        </is>
      </c>
      <c r="I996" t="inlineStr">
        <is>
          <t>de</t>
        </is>
      </c>
      <c r="J996" t="inlineStr">
        <is>
          <t>intl-de</t>
        </is>
      </c>
      <c r="K996" t="b">
        <v>1</v>
      </c>
      <c r="L996" t="inlineStr">
        <is>
          <t>relevant</t>
        </is>
      </c>
      <c r="M996" t="inlineStr">
        <is>
          <t>relevant</t>
        </is>
      </c>
      <c r="N996" t="inlineStr">
        <is>
          <t>relevant</t>
        </is>
      </c>
      <c r="O996" t="inlineStr">
        <is>
          <t>relevant</t>
        </is>
      </c>
      <c r="P996" t="b">
        <v>1</v>
      </c>
    </row>
    <row r="997">
      <c r="A997" t="inlineStr">
        <is>
          <t>silly phone case</t>
        </is>
      </c>
      <c r="B997" t="inlineStr"/>
      <c r="C997" t="n">
        <v>1488181876</v>
      </c>
      <c r="D997">
        <f>HYPERLINK("https://www.etsy.com/listing/1488181876", "link")</f>
        <v/>
      </c>
      <c r="E997">
        <f>HYPERLINK("https://atlas.etsycorp.com/listing/1488181876/lookup", "link")</f>
        <v/>
      </c>
      <c r="F997" t="inlineStr">
        <is>
          <t>iPhone 14 13 12 11 Pro Max Case Banana Apple Holder iPhone 13 12 Mini Case iPhone XR iPhone XS Max Case Fruit Protective Case</t>
        </is>
      </c>
      <c r="G997" t="inlineStr">
        <is>
          <t>EuKpnHR0hrbSETV7hUxWqFpPVH2d</t>
        </is>
      </c>
      <c r="H997" t="inlineStr">
        <is>
          <t>web</t>
        </is>
      </c>
      <c r="I997" t="inlineStr">
        <is>
          <t>en-GB</t>
        </is>
      </c>
      <c r="J997" t="inlineStr">
        <is>
          <t>us_v2-direct_specified</t>
        </is>
      </c>
      <c r="K997" t="b">
        <v>1</v>
      </c>
      <c r="L997" t="inlineStr">
        <is>
          <t>relevant</t>
        </is>
      </c>
      <c r="M997" t="inlineStr">
        <is>
          <t>relevant</t>
        </is>
      </c>
      <c r="N997" t="inlineStr">
        <is>
          <t>partial</t>
        </is>
      </c>
      <c r="O997" t="inlineStr">
        <is>
          <t>relevant</t>
        </is>
      </c>
      <c r="P997" t="b">
        <v>1</v>
      </c>
    </row>
    <row r="998">
      <c r="A998" t="inlineStr">
        <is>
          <t>embellished dress maternity</t>
        </is>
      </c>
      <c r="B998" t="inlineStr"/>
      <c r="C998" t="n">
        <v>1291554480</v>
      </c>
      <c r="D998">
        <f>HYPERLINK("https://www.etsy.com/listing/1291554480", "link")</f>
        <v/>
      </c>
      <c r="E998">
        <f>HYPERLINK("https://atlas.etsycorp.com/listing/1291554480/lookup", "link")</f>
        <v/>
      </c>
      <c r="F998" t="inlineStr">
        <is>
          <t>Maternity Dress for Photo Shoot, Maternity Gown for Women, Tulle Dress, Baby Shower Dress Gift for Her, PhotoShoot Dress</t>
        </is>
      </c>
      <c r="G998" t="inlineStr">
        <is>
          <t>EufZbhjfV-NSKz07i2SG-iUczx96</t>
        </is>
      </c>
      <c r="H998" t="inlineStr">
        <is>
          <t>web</t>
        </is>
      </c>
      <c r="I998" t="inlineStr">
        <is>
          <t>en-US</t>
        </is>
      </c>
      <c r="J998" t="inlineStr">
        <is>
          <t>us_v2-direct_specified</t>
        </is>
      </c>
      <c r="K998" t="b">
        <v>1</v>
      </c>
      <c r="L998" t="inlineStr">
        <is>
          <t>partial</t>
        </is>
      </c>
      <c r="M998" t="inlineStr">
        <is>
          <t>partial</t>
        </is>
      </c>
      <c r="N998" t="inlineStr">
        <is>
          <t>partial</t>
        </is>
      </c>
      <c r="O998" t="inlineStr">
        <is>
          <t>relevant</t>
        </is>
      </c>
      <c r="P998" t="b">
        <v>1</v>
      </c>
    </row>
    <row r="999">
      <c r="A999" t="inlineStr">
        <is>
          <t>decorasion de super simple songs</t>
        </is>
      </c>
      <c r="B999" t="inlineStr">
        <is>
          <t>decoration of super simple songs</t>
        </is>
      </c>
      <c r="C999" t="n">
        <v>1581144821</v>
      </c>
      <c r="D999">
        <f>HYPERLINK("https://www.etsy.com/listing/1581144821", "link")</f>
        <v/>
      </c>
      <c r="E999">
        <f>HYPERLINK("https://atlas.etsycorp.com/listing/1581144821/lookup", "link")</f>
        <v/>
      </c>
      <c r="F999" t="inlineStr">
        <is>
          <t>Super Simple Songs 1st birthday poster |  1st birthday welcome Sign | Simple Songs Decor Welcome Birthday Sign DIGITAL DOWNLOAD</t>
        </is>
      </c>
      <c r="G999" t="inlineStr">
        <is>
          <t>Euhm3YQH1rW-RCn0JEt0__YuAF7d</t>
        </is>
      </c>
      <c r="H999" t="inlineStr">
        <is>
          <t>boe</t>
        </is>
      </c>
      <c r="I999" t="inlineStr">
        <is>
          <t>es</t>
        </is>
      </c>
      <c r="J999" t="inlineStr">
        <is>
          <t>intl-es</t>
        </is>
      </c>
      <c r="K999" t="b">
        <v>1</v>
      </c>
      <c r="L999" t="inlineStr">
        <is>
          <t>relevant</t>
        </is>
      </c>
      <c r="M999" t="inlineStr">
        <is>
          <t>relevant</t>
        </is>
      </c>
      <c r="N999" t="inlineStr">
        <is>
          <t>relevant</t>
        </is>
      </c>
      <c r="O999" t="inlineStr">
        <is>
          <t>relevant</t>
        </is>
      </c>
      <c r="P999" t="b">
        <v>1</v>
      </c>
    </row>
    <row r="1000">
      <c r="A1000" t="inlineStr">
        <is>
          <t>personalized school supplies</t>
        </is>
      </c>
      <c r="B1000" t="inlineStr">
        <is>
          <t>personalized school supplies</t>
        </is>
      </c>
      <c r="C1000" t="n">
        <v>193320194</v>
      </c>
      <c r="D1000">
        <f>HYPERLINK("https://www.etsy.com/listing/193320194", "link")</f>
        <v/>
      </c>
      <c r="E1000">
        <f>HYPERLINK("https://atlas.etsycorp.com/listing/193320194/lookup", "link")</f>
        <v/>
      </c>
      <c r="F1000" t="inlineStr">
        <is>
          <t>Wedding Favours Pencils | Personalised Engraved Favors | Rustic Wedding Wooden Favours Ideas Bags | Favour Boxes | Wedding Favour Tags</t>
        </is>
      </c>
      <c r="G1000" t="inlineStr">
        <is>
          <t>EuAt0B_NWmBu7P5S4mb5bZqAxP7e</t>
        </is>
      </c>
      <c r="H1000" t="inlineStr">
        <is>
          <t>boe</t>
        </is>
      </c>
      <c r="I1000" t="inlineStr">
        <is>
          <t>es</t>
        </is>
      </c>
      <c r="J1000" t="inlineStr">
        <is>
          <t>intl-es</t>
        </is>
      </c>
      <c r="K1000" t="b">
        <v>1</v>
      </c>
      <c r="L1000" t="inlineStr">
        <is>
          <t>not_relevant</t>
        </is>
      </c>
      <c r="M1000" t="inlineStr">
        <is>
          <t>not_relevant</t>
        </is>
      </c>
      <c r="N1000" t="inlineStr">
        <is>
          <t>partial</t>
        </is>
      </c>
      <c r="O1000" t="inlineStr">
        <is>
          <t>not_relevant</t>
        </is>
      </c>
      <c r="P1000" t="b">
        <v>1</v>
      </c>
    </row>
    <row r="1001">
      <c r="A1001" t="inlineStr">
        <is>
          <t>panoramic easter egg</t>
        </is>
      </c>
      <c r="B1001" t="inlineStr"/>
      <c r="C1001" t="n">
        <v>1659817742</v>
      </c>
      <c r="D1001">
        <f>HYPERLINK("https://www.etsy.com/listing/1659817742", "link")</f>
        <v/>
      </c>
      <c r="E1001">
        <f>HYPERLINK("https://atlas.etsycorp.com/listing/1659817742/lookup", "link")</f>
        <v/>
      </c>
      <c r="F1001" t="inlineStr">
        <is>
          <t>Panoramic Sugar Egg (Small)</t>
        </is>
      </c>
      <c r="G1001" t="inlineStr">
        <is>
          <t>EuFQw_DVU33JY2Am8BXyabNVT-ae</t>
        </is>
      </c>
      <c r="H1001" t="inlineStr">
        <is>
          <t>boe</t>
        </is>
      </c>
      <c r="I1001" t="inlineStr">
        <is>
          <t>en-US</t>
        </is>
      </c>
      <c r="J1001" t="inlineStr">
        <is>
          <t>us_v2-direct_unspecified</t>
        </is>
      </c>
      <c r="K1001" t="b">
        <v>1</v>
      </c>
      <c r="L1001" t="inlineStr">
        <is>
          <t>relevant</t>
        </is>
      </c>
      <c r="M1001" t="inlineStr">
        <is>
          <t>relevant</t>
        </is>
      </c>
      <c r="N1001" t="inlineStr">
        <is>
          <t>relevant</t>
        </is>
      </c>
      <c r="O1001" t="inlineStr">
        <is>
          <t>relevant</t>
        </is>
      </c>
      <c r="P1001" t="b">
        <v>1</v>
      </c>
    </row>
    <row r="1002">
      <c r="A1002" t="inlineStr">
        <is>
          <t>tatuajes de cristo</t>
        </is>
      </c>
      <c r="B1002" t="inlineStr">
        <is>
          <t>christ tattoos</t>
        </is>
      </c>
      <c r="C1002" t="n">
        <v>1757981801</v>
      </c>
      <c r="D1002">
        <f>HYPERLINK("https://www.etsy.com/listing/1757981801", "link")</f>
        <v/>
      </c>
      <c r="E1002">
        <f>HYPERLINK("https://atlas.etsycorp.com/listing/1757981801/lookup", "link")</f>
        <v/>
      </c>
      <c r="F1002" t="inlineStr">
        <is>
          <t>Jesus Comforting Tattoo Design - Download High Resolution Digital Art PNG</t>
        </is>
      </c>
      <c r="G1002" t="inlineStr">
        <is>
          <t>EuZQiGVxGby3lisrUnz-E-IoO896</t>
        </is>
      </c>
      <c r="H1002" t="inlineStr">
        <is>
          <t>web</t>
        </is>
      </c>
      <c r="I1002" t="inlineStr">
        <is>
          <t>es</t>
        </is>
      </c>
      <c r="J1002" t="inlineStr">
        <is>
          <t>intl-es</t>
        </is>
      </c>
      <c r="K1002" t="b">
        <v>1</v>
      </c>
      <c r="L1002" t="inlineStr">
        <is>
          <t>relevant</t>
        </is>
      </c>
      <c r="M1002" t="inlineStr">
        <is>
          <t>relevant</t>
        </is>
      </c>
      <c r="N1002" t="inlineStr">
        <is>
          <t>partial</t>
        </is>
      </c>
      <c r="O1002" t="inlineStr">
        <is>
          <t>relevant</t>
        </is>
      </c>
      <c r="P1002" t="b">
        <v>1</v>
      </c>
    </row>
    <row r="1003">
      <c r="A1003" t="inlineStr">
        <is>
          <t>トワイライトトパーズ</t>
        </is>
      </c>
      <c r="B1003" t="inlineStr">
        <is>
          <t>Twilight Topaz</t>
        </is>
      </c>
      <c r="C1003" t="n">
        <v>1179188125</v>
      </c>
      <c r="D1003">
        <f>HYPERLINK("https://www.etsy.com/listing/1179188125", "link")</f>
        <v/>
      </c>
      <c r="E1003">
        <f>HYPERLINK("https://atlas.etsycorp.com/listing/1179188125/lookup", "link")</f>
        <v/>
      </c>
      <c r="F1003" t="inlineStr">
        <is>
          <t>Natural Mystic Topaz Ring/ Sterling Silver/ 4ct Oval Cut Faceted Mystic Gem Art Nouveau Leaf Filigree [Made To Order] Design#229</t>
        </is>
      </c>
      <c r="G1003" t="inlineStr">
        <is>
          <t>EuJ78v_stTWPl_nmgM1LgFM92Ib8</t>
        </is>
      </c>
      <c r="H1003" t="inlineStr">
        <is>
          <t>web</t>
        </is>
      </c>
      <c r="I1003" t="inlineStr">
        <is>
          <t>ja</t>
        </is>
      </c>
      <c r="J1003" t="inlineStr">
        <is>
          <t>intl-ja</t>
        </is>
      </c>
      <c r="K1003" t="b">
        <v>1</v>
      </c>
      <c r="L1003" t="inlineStr">
        <is>
          <t>partial</t>
        </is>
      </c>
      <c r="M1003" t="inlineStr">
        <is>
          <t>partial</t>
        </is>
      </c>
      <c r="N1003" t="inlineStr">
        <is>
          <t>partial</t>
        </is>
      </c>
      <c r="O1003" t="inlineStr">
        <is>
          <t>partial</t>
        </is>
      </c>
      <c r="P1003" t="b">
        <v>1</v>
      </c>
    </row>
    <row r="1004">
      <c r="A1004" t="inlineStr">
        <is>
          <t>wedding contract template</t>
        </is>
      </c>
      <c r="B1004" t="inlineStr"/>
      <c r="C1004" t="n">
        <v>1417039654</v>
      </c>
      <c r="D1004">
        <f>HYPERLINK("https://www.etsy.com/listing/1417039654", "link")</f>
        <v/>
      </c>
      <c r="E1004">
        <f>HYPERLINK("https://atlas.etsycorp.com/listing/1417039654/lookup", "link")</f>
        <v/>
      </c>
      <c r="F1004" t="inlineStr">
        <is>
          <t>DIY Price List Template, Editable Beauty Salon Pricing Template Design, Printable Hair Stylist Wig Braids Nail Lash Makeup Canva Template</t>
        </is>
      </c>
      <c r="G1004" t="inlineStr">
        <is>
          <t>EuuLKlR4K6WMc7Yq8ecFq08bSu79</t>
        </is>
      </c>
      <c r="H1004" t="inlineStr">
        <is>
          <t>web</t>
        </is>
      </c>
      <c r="I1004" t="inlineStr">
        <is>
          <t>en-US</t>
        </is>
      </c>
      <c r="J1004" t="inlineStr">
        <is>
          <t>us_v2-direct_unspecified</t>
        </is>
      </c>
      <c r="K1004" t="b">
        <v>1</v>
      </c>
      <c r="L1004" t="inlineStr">
        <is>
          <t>partial</t>
        </is>
      </c>
      <c r="M1004" t="inlineStr">
        <is>
          <t>partial</t>
        </is>
      </c>
      <c r="N1004" t="inlineStr">
        <is>
          <t>partial</t>
        </is>
      </c>
      <c r="O1004" t="inlineStr">
        <is>
          <t>relevant</t>
        </is>
      </c>
      <c r="P1004" t="b">
        <v>1</v>
      </c>
    </row>
    <row r="1005">
      <c r="A1005" t="inlineStr">
        <is>
          <t>poochyena</t>
        </is>
      </c>
      <c r="B1005" t="inlineStr"/>
      <c r="C1005" t="n">
        <v>1388952061</v>
      </c>
      <c r="D1005">
        <f>HYPERLINK("https://www.etsy.com/listing/1388952061", "link")</f>
        <v/>
      </c>
      <c r="E1005">
        <f>HYPERLINK("https://atlas.etsycorp.com/listing/1388952061/lookup", "link")</f>
        <v/>
      </c>
      <c r="F1005" t="inlineStr">
        <is>
          <t>Pokemon Heart Necklace</t>
        </is>
      </c>
      <c r="G1005" t="inlineStr">
        <is>
          <t>EuDDs0mKgvDOmV01K87FI7J3OX77</t>
        </is>
      </c>
      <c r="H1005" t="inlineStr">
        <is>
          <t>boe</t>
        </is>
      </c>
      <c r="I1005" t="inlineStr">
        <is>
          <t>en-US</t>
        </is>
      </c>
      <c r="J1005" t="inlineStr">
        <is>
          <t>us_v2-broad</t>
        </is>
      </c>
      <c r="K1005" t="b">
        <v>1</v>
      </c>
      <c r="L1005" t="inlineStr">
        <is>
          <t>partial</t>
        </is>
      </c>
      <c r="M1005" t="inlineStr">
        <is>
          <t>not_relevant</t>
        </is>
      </c>
      <c r="N1005" t="inlineStr">
        <is>
          <t>partial</t>
        </is>
      </c>
      <c r="O1005" t="inlineStr">
        <is>
          <t>partial</t>
        </is>
      </c>
      <c r="P1005" t="b">
        <v>1</v>
      </c>
    </row>
    <row r="1006">
      <c r="A1006" t="inlineStr">
        <is>
          <t>dental hygenist era</t>
        </is>
      </c>
      <c r="B1006" t="inlineStr"/>
      <c r="C1006" t="n">
        <v>1417743560</v>
      </c>
      <c r="D1006">
        <f>HYPERLINK("https://www.etsy.com/listing/1417743560", "link")</f>
        <v/>
      </c>
      <c r="E1006">
        <f>HYPERLINK("https://atlas.etsycorp.com/listing/1417743560/lookup", "link")</f>
        <v/>
      </c>
      <c r="F1006" t="inlineStr">
        <is>
          <t>Dental hygienist PNG file - retro dental hygiene for sublimation</t>
        </is>
      </c>
      <c r="G1006" t="inlineStr">
        <is>
          <t>EuwooxWK_0MTm-eMZ_kdB49q7X09</t>
        </is>
      </c>
      <c r="H1006" t="inlineStr">
        <is>
          <t>web</t>
        </is>
      </c>
      <c r="I1006" t="inlineStr">
        <is>
          <t>en-US</t>
        </is>
      </c>
      <c r="J1006" t="inlineStr">
        <is>
          <t>us_v2-broad</t>
        </is>
      </c>
      <c r="K1006" t="b">
        <v>1</v>
      </c>
      <c r="L1006" t="inlineStr">
        <is>
          <t>partial</t>
        </is>
      </c>
      <c r="M1006" t="inlineStr">
        <is>
          <t>partial</t>
        </is>
      </c>
      <c r="N1006" t="inlineStr">
        <is>
          <t>partial</t>
        </is>
      </c>
      <c r="O1006" t="inlineStr">
        <is>
          <t>relevant</t>
        </is>
      </c>
      <c r="P1006" t="b">
        <v>1</v>
      </c>
    </row>
    <row r="1007">
      <c r="A1007" t="inlineStr">
        <is>
          <t>sticker schalke</t>
        </is>
      </c>
      <c r="B1007" t="inlineStr">
        <is>
          <t>stickers schalke</t>
        </is>
      </c>
      <c r="C1007" t="n">
        <v>611985632</v>
      </c>
      <c r="D1007">
        <f>HYPERLINK("https://www.etsy.com/listing/611985632", "link")</f>
        <v/>
      </c>
      <c r="E1007">
        <f>HYPERLINK("https://atlas.etsycorp.com/listing/611985632/lookup", "link")</f>
        <v/>
      </c>
      <c r="F1007" t="inlineStr">
        <is>
          <t>Achim web ribbon Northern Germany black/white</t>
        </is>
      </c>
      <c r="G1007" t="inlineStr">
        <is>
          <t>Eulv-85ZcZjW5q4pRvjC4T97lb53</t>
        </is>
      </c>
      <c r="H1007" t="inlineStr">
        <is>
          <t>boe</t>
        </is>
      </c>
      <c r="I1007" t="inlineStr">
        <is>
          <t>de</t>
        </is>
      </c>
      <c r="J1007" t="inlineStr">
        <is>
          <t>intl-de</t>
        </is>
      </c>
      <c r="K1007" t="b">
        <v>1</v>
      </c>
      <c r="L1007" t="inlineStr">
        <is>
          <t>not_relevant</t>
        </is>
      </c>
      <c r="M1007" t="inlineStr">
        <is>
          <t>not_relevant</t>
        </is>
      </c>
      <c r="N1007" t="inlineStr">
        <is>
          <t>not_relevant</t>
        </is>
      </c>
      <c r="O1007" t="inlineStr">
        <is>
          <t>not_relevant</t>
        </is>
      </c>
      <c r="P1007" t="b">
        <v>1</v>
      </c>
    </row>
    <row r="1008">
      <c r="A1008" t="inlineStr">
        <is>
          <t>fun facts 1974 belgie</t>
        </is>
      </c>
      <c r="B1008" t="inlineStr">
        <is>
          <t>fun facts 1974 belgium</t>
        </is>
      </c>
      <c r="C1008" t="n">
        <v>1180000722</v>
      </c>
      <c r="D1008">
        <f>HYPERLINK("https://www.etsy.com/listing/1180000722", "link")</f>
        <v/>
      </c>
      <c r="E1008">
        <f>HYPERLINK("https://atlas.etsycorp.com/listing/1180000722/lookup", "link")</f>
        <v/>
      </c>
      <c r="F1008" t="inlineStr">
        <is>
          <t>1974 IRELAND, 50th Birthday Poster, 50th Birthday Card, Personalized Gift For Men And Women, 50th Birthday Printable Newspaper, Irish Facts</t>
        </is>
      </c>
      <c r="G1008" t="inlineStr">
        <is>
          <t>EuU7unOBSnmN8Vylz8ttIxlL96c9</t>
        </is>
      </c>
      <c r="H1008" t="inlineStr">
        <is>
          <t>web</t>
        </is>
      </c>
      <c r="I1008" t="inlineStr">
        <is>
          <t>nl</t>
        </is>
      </c>
      <c r="J1008" t="inlineStr">
        <is>
          <t>intl-nl</t>
        </is>
      </c>
      <c r="K1008" t="b">
        <v>1</v>
      </c>
      <c r="L1008" t="inlineStr">
        <is>
          <t>partial</t>
        </is>
      </c>
      <c r="M1008" t="inlineStr">
        <is>
          <t>not_relevant</t>
        </is>
      </c>
      <c r="N1008" t="inlineStr">
        <is>
          <t>partial</t>
        </is>
      </c>
      <c r="O1008" t="inlineStr">
        <is>
          <t>partial</t>
        </is>
      </c>
      <c r="P1008" t="b">
        <v>1</v>
      </c>
    </row>
    <row r="1009">
      <c r="A1009" t="inlineStr">
        <is>
          <t>pedestal blanco</t>
        </is>
      </c>
      <c r="B1009" t="inlineStr">
        <is>
          <t>white pedestal</t>
        </is>
      </c>
      <c r="C1009" t="n">
        <v>1569925297</v>
      </c>
      <c r="D1009">
        <f>HYPERLINK("https://www.etsy.com/listing/1569925297", "link")</f>
        <v/>
      </c>
      <c r="E1009">
        <f>HYPERLINK("https://atlas.etsycorp.com/listing/1569925297/lookup", "link")</f>
        <v/>
      </c>
      <c r="F1009" t="inlineStr">
        <is>
          <t>Beautiful column, unique decoration for your home, perfect for a gift, made in Europe, 76cm</t>
        </is>
      </c>
      <c r="G1009" t="inlineStr">
        <is>
          <t>Eu-1o8rT7bLOrlcAZXUYt4QuJY0f</t>
        </is>
      </c>
      <c r="H1009" t="inlineStr">
        <is>
          <t>web</t>
        </is>
      </c>
      <c r="I1009" t="inlineStr">
        <is>
          <t>es</t>
        </is>
      </c>
      <c r="J1009" t="inlineStr">
        <is>
          <t>intl-es</t>
        </is>
      </c>
      <c r="K1009" t="b">
        <v>1</v>
      </c>
      <c r="L1009" t="inlineStr">
        <is>
          <t>relevant</t>
        </is>
      </c>
      <c r="M1009" t="inlineStr">
        <is>
          <t>relevant</t>
        </is>
      </c>
      <c r="N1009" t="inlineStr">
        <is>
          <t>relevant</t>
        </is>
      </c>
      <c r="O1009" t="inlineStr">
        <is>
          <t>relevant</t>
        </is>
      </c>
      <c r="P1009" t="b">
        <v>1</v>
      </c>
    </row>
    <row r="1010">
      <c r="A1010" t="inlineStr">
        <is>
          <t>logo R300</t>
        </is>
      </c>
      <c r="B1010" t="inlineStr">
        <is>
          <t>R300 logo</t>
        </is>
      </c>
      <c r="C1010" t="n">
        <v>1589605323</v>
      </c>
      <c r="D1010">
        <f>HYPERLINK("https://www.etsy.com/listing/1589605323", "link")</f>
        <v/>
      </c>
      <c r="E1010">
        <f>HYPERLINK("https://atlas.etsycorp.com/listing/1589605323/lookup", "link")</f>
        <v/>
      </c>
      <c r="F1010" t="inlineStr">
        <is>
          <t>Motorcycle car stickers R1 M R3 R6 R7 R15 R25 decals Vinyl Material</t>
        </is>
      </c>
      <c r="G1010" t="inlineStr">
        <is>
          <t>Eu5EDdHf9cx304iu67_tohDrBb63</t>
        </is>
      </c>
      <c r="H1010" t="inlineStr">
        <is>
          <t>boe</t>
        </is>
      </c>
      <c r="I1010" t="inlineStr">
        <is>
          <t>fr</t>
        </is>
      </c>
      <c r="J1010" t="inlineStr">
        <is>
          <t>intl-fr</t>
        </is>
      </c>
      <c r="K1010" t="b">
        <v>1</v>
      </c>
      <c r="L1010" t="inlineStr">
        <is>
          <t>not_relevant</t>
        </is>
      </c>
      <c r="M1010" t="inlineStr">
        <is>
          <t>not_relevant</t>
        </is>
      </c>
      <c r="N1010" t="inlineStr">
        <is>
          <t>not_relevant</t>
        </is>
      </c>
      <c r="O1010" t="inlineStr">
        <is>
          <t>partial</t>
        </is>
      </c>
      <c r="P1010" t="b">
        <v>1</v>
      </c>
    </row>
    <row r="1011">
      <c r="A1011" t="inlineStr">
        <is>
          <t>personalized school supplies</t>
        </is>
      </c>
      <c r="B1011" t="inlineStr">
        <is>
          <t>personalized school supplies</t>
        </is>
      </c>
      <c r="C1011" t="n">
        <v>1345216195</v>
      </c>
      <c r="D1011">
        <f>HYPERLINK("https://www.etsy.com/listing/1345216195", "link")</f>
        <v/>
      </c>
      <c r="E1011">
        <f>HYPERLINK("https://atlas.etsycorp.com/listing/1345216195/lookup", "link")</f>
        <v/>
      </c>
      <c r="F1011" t="inlineStr">
        <is>
          <t>pencil case, black pencil case, kawaii pencil case, aesthetic pencil case, goth pencil case, pencil pouch, cute pencil pouch, kawaii pouch</t>
        </is>
      </c>
      <c r="G1011" t="inlineStr">
        <is>
          <t>EupclUXDi1DasHyNytV8T8xjNTeb</t>
        </is>
      </c>
      <c r="H1011" t="inlineStr">
        <is>
          <t>boe</t>
        </is>
      </c>
      <c r="I1011" t="inlineStr">
        <is>
          <t>pl</t>
        </is>
      </c>
      <c r="J1011" t="inlineStr">
        <is>
          <t>intl-pl</t>
        </is>
      </c>
      <c r="K1011" t="b">
        <v>1</v>
      </c>
      <c r="L1011" t="inlineStr">
        <is>
          <t>relevant</t>
        </is>
      </c>
      <c r="M1011" t="inlineStr">
        <is>
          <t>relevant</t>
        </is>
      </c>
      <c r="N1011" t="inlineStr">
        <is>
          <t>relevant</t>
        </is>
      </c>
      <c r="O1011" t="inlineStr">
        <is>
          <t>relevant</t>
        </is>
      </c>
      <c r="P1011" t="b">
        <v>1</v>
      </c>
    </row>
    <row r="1012">
      <c r="A1012" t="inlineStr">
        <is>
          <t>rice cooker</t>
        </is>
      </c>
      <c r="B1012" t="inlineStr"/>
      <c r="C1012" t="n">
        <v>1317389341</v>
      </c>
      <c r="D1012">
        <f>HYPERLINK("https://www.etsy.com/listing/1317389341", "link")</f>
        <v/>
      </c>
      <c r="E1012">
        <f>HYPERLINK("https://atlas.etsycorp.com/listing/1317389341/lookup", "link")</f>
        <v/>
      </c>
      <c r="F1012" t="inlineStr">
        <is>
          <t>Bearnigiri Crochet Pattern</t>
        </is>
      </c>
      <c r="G1012" t="inlineStr">
        <is>
          <t>EupmSURKTfS2rIn0a14eYpae5Y08</t>
        </is>
      </c>
      <c r="H1012" t="inlineStr">
        <is>
          <t>boe</t>
        </is>
      </c>
      <c r="I1012" t="inlineStr">
        <is>
          <t>en-GB</t>
        </is>
      </c>
      <c r="J1012" t="inlineStr">
        <is>
          <t>us_v2-direct_unspecified</t>
        </is>
      </c>
      <c r="K1012" t="b">
        <v>1</v>
      </c>
      <c r="L1012" t="inlineStr">
        <is>
          <t>not_relevant</t>
        </is>
      </c>
      <c r="M1012" t="inlineStr">
        <is>
          <t>not_relevant</t>
        </is>
      </c>
      <c r="N1012" t="inlineStr">
        <is>
          <t>not_relevant</t>
        </is>
      </c>
      <c r="O1012" t="inlineStr">
        <is>
          <t>not_relevant</t>
        </is>
      </c>
      <c r="P1012" t="b">
        <v>1</v>
      </c>
    </row>
    <row r="1013">
      <c r="A1013" t="inlineStr">
        <is>
          <t>grandson birthday gift 24th</t>
        </is>
      </c>
      <c r="B1013" t="inlineStr"/>
      <c r="C1013" t="n">
        <v>1574447284</v>
      </c>
      <c r="D1013">
        <f>HYPERLINK("https://www.etsy.com/listing/1574447284", "link")</f>
        <v/>
      </c>
      <c r="E1013">
        <f>HYPERLINK("https://atlas.etsycorp.com/listing/1574447284/lookup", "link")</f>
        <v/>
      </c>
      <c r="F1013" t="inlineStr">
        <is>
          <t>Personalised Nephew 24th Birthday Card Nephew 24th Birthday Cards Nephew 24 Card Nephew 24th Birthday Gift Nephews 24th Birthday Present Mug</t>
        </is>
      </c>
      <c r="G1013" t="inlineStr">
        <is>
          <t>EuAgJzcqg_vmnJPNL8MsYdw4zI78</t>
        </is>
      </c>
      <c r="H1013" t="inlineStr">
        <is>
          <t>web</t>
        </is>
      </c>
      <c r="I1013" t="inlineStr">
        <is>
          <t>en-GB</t>
        </is>
      </c>
      <c r="J1013" t="inlineStr">
        <is>
          <t>us_v2-broad</t>
        </is>
      </c>
      <c r="K1013" t="b">
        <v>1</v>
      </c>
      <c r="L1013" t="inlineStr">
        <is>
          <t>partial</t>
        </is>
      </c>
      <c r="M1013" t="inlineStr">
        <is>
          <t>partial</t>
        </is>
      </c>
      <c r="N1013" t="inlineStr">
        <is>
          <t>partial</t>
        </is>
      </c>
      <c r="O1013" t="inlineStr">
        <is>
          <t>partial</t>
        </is>
      </c>
      <c r="P1013" t="b">
        <v>1</v>
      </c>
    </row>
    <row r="1014">
      <c r="A1014" t="inlineStr">
        <is>
          <t>graduation cruise shirts</t>
        </is>
      </c>
      <c r="B1014" t="inlineStr"/>
      <c r="C1014" t="n">
        <v>1206644798</v>
      </c>
      <c r="D1014">
        <f>HYPERLINK("https://www.etsy.com/listing/1206644798", "link")</f>
        <v/>
      </c>
      <c r="E1014">
        <f>HYPERLINK("https://atlas.etsycorp.com/listing/1206644798/lookup", "link")</f>
        <v/>
      </c>
      <c r="F1014" t="inlineStr">
        <is>
          <t>Custom Blue Whale Cruise Door Magnet Name Alaska Magnets Cabin Sign Group Family Trip Gift Outfit Attire Shirt Banner Idea Ideas Amazon Ship</t>
        </is>
      </c>
      <c r="G1014" t="inlineStr">
        <is>
          <t>EuAwE8lerCMZQLyeIorwjQG0nn5a</t>
        </is>
      </c>
      <c r="H1014" t="inlineStr">
        <is>
          <t>web</t>
        </is>
      </c>
      <c r="I1014" t="inlineStr">
        <is>
          <t>en-US</t>
        </is>
      </c>
      <c r="J1014" t="inlineStr">
        <is>
          <t>us_v2-direct_unspecified</t>
        </is>
      </c>
      <c r="K1014" t="b">
        <v>1</v>
      </c>
      <c r="L1014" t="inlineStr">
        <is>
          <t>not_relevant</t>
        </is>
      </c>
      <c r="M1014" t="inlineStr">
        <is>
          <t>not_relevant</t>
        </is>
      </c>
      <c r="N1014" t="inlineStr">
        <is>
          <t>not_relevant</t>
        </is>
      </c>
      <c r="O1014" t="inlineStr">
        <is>
          <t>not_relevant</t>
        </is>
      </c>
      <c r="P1014" t="b">
        <v>1</v>
      </c>
    </row>
    <row r="1015">
      <c r="A1015" t="inlineStr">
        <is>
          <t>lunchables coaster</t>
        </is>
      </c>
      <c r="B1015" t="inlineStr"/>
      <c r="C1015" t="n">
        <v>1505264615</v>
      </c>
      <c r="D1015">
        <f>HYPERLINK("https://www.etsy.com/listing/1505264615", "link")</f>
        <v/>
      </c>
      <c r="E1015">
        <f>HYPERLINK("https://atlas.etsycorp.com/listing/1505264615/lookup", "link")</f>
        <v/>
      </c>
      <c r="F1015" t="inlineStr">
        <is>
          <t>Laser Engraved Slate Coasters | Coaster Sets | Gifts for Dad, Mom, Friend | Fun Gifts | Rock Coasters</t>
        </is>
      </c>
      <c r="G1015" t="inlineStr">
        <is>
          <t>EufDkpKFZuPyizROXkCf2UW9qXbf</t>
        </is>
      </c>
      <c r="H1015" t="inlineStr">
        <is>
          <t>boe</t>
        </is>
      </c>
      <c r="I1015" t="inlineStr">
        <is>
          <t>en-US</t>
        </is>
      </c>
      <c r="J1015" t="inlineStr">
        <is>
          <t>us_v2-direct_unspecified</t>
        </is>
      </c>
      <c r="K1015" t="b">
        <v>1</v>
      </c>
      <c r="L1015" t="inlineStr">
        <is>
          <t>partial</t>
        </is>
      </c>
      <c r="M1015" t="inlineStr">
        <is>
          <t>partial</t>
        </is>
      </c>
      <c r="N1015" t="inlineStr">
        <is>
          <t>partial</t>
        </is>
      </c>
      <c r="O1015" t="inlineStr">
        <is>
          <t>partial</t>
        </is>
      </c>
      <c r="P1015" t="b">
        <v>1</v>
      </c>
    </row>
    <row r="1016">
      <c r="A1016" t="inlineStr">
        <is>
          <t>Custom womens clothing</t>
        </is>
      </c>
      <c r="B1016" t="inlineStr">
        <is>
          <t>Custom womens clothing</t>
        </is>
      </c>
      <c r="C1016" t="n">
        <v>619897527</v>
      </c>
      <c r="D1016">
        <f>HYPERLINK("https://www.etsy.com/listing/619897527", "link")</f>
        <v/>
      </c>
      <c r="E1016">
        <f>HYPERLINK("https://atlas.etsycorp.com/listing/619897527/lookup", "link")</f>
        <v/>
      </c>
      <c r="F1016" t="inlineStr">
        <is>
          <t>JULIET Wide Leg Linen Pants / Elegant High Waisted Linen Pants With Pockets / Linen Trousers / Paper Bag Waist Pants</t>
        </is>
      </c>
      <c r="G1016" t="inlineStr">
        <is>
          <t>EuvUXgaGi24sKXZabBDuxufKPV5f</t>
        </is>
      </c>
      <c r="H1016" t="inlineStr">
        <is>
          <t>boe</t>
        </is>
      </c>
      <c r="I1016" t="inlineStr">
        <is>
          <t>fr</t>
        </is>
      </c>
      <c r="J1016" t="inlineStr">
        <is>
          <t>intl-fr</t>
        </is>
      </c>
      <c r="K1016" t="b">
        <v>1</v>
      </c>
      <c r="L1016" t="inlineStr">
        <is>
          <t>relevant</t>
        </is>
      </c>
      <c r="M1016" t="inlineStr">
        <is>
          <t>relevant</t>
        </is>
      </c>
      <c r="N1016" t="inlineStr">
        <is>
          <t>partial</t>
        </is>
      </c>
      <c r="O1016" t="inlineStr">
        <is>
          <t>relevant</t>
        </is>
      </c>
      <c r="P1016" t="b">
        <v>1</v>
      </c>
    </row>
    <row r="1017">
      <c r="A1017" t="inlineStr">
        <is>
          <t>kitchen island</t>
        </is>
      </c>
      <c r="B1017" t="inlineStr"/>
      <c r="C1017" t="n">
        <v>747075265</v>
      </c>
      <c r="D1017">
        <f>HYPERLINK("https://www.etsy.com/listing/747075265", "link")</f>
        <v/>
      </c>
      <c r="E1017">
        <f>HYPERLINK("https://atlas.etsycorp.com/listing/747075265/lookup", "link")</f>
        <v/>
      </c>
      <c r="F1017" t="inlineStr">
        <is>
          <t>St. Lawrence River to 1000 Islands Map Wooden Sign | Wall Art Print on Real Wood | Ontario Gulf Cabin Lodge Lake House Home Decor</t>
        </is>
      </c>
      <c r="G1017" t="inlineStr">
        <is>
          <t>EunCJmX5QzlCW9usSH6tHTt6LR20</t>
        </is>
      </c>
      <c r="H1017" t="inlineStr">
        <is>
          <t>boe</t>
        </is>
      </c>
      <c r="I1017" t="inlineStr">
        <is>
          <t>en-US</t>
        </is>
      </c>
      <c r="J1017" t="inlineStr">
        <is>
          <t>us_v2-direct_unspecified</t>
        </is>
      </c>
      <c r="K1017" t="b">
        <v>1</v>
      </c>
      <c r="L1017" t="inlineStr">
        <is>
          <t>not_relevant</t>
        </is>
      </c>
      <c r="M1017" t="inlineStr">
        <is>
          <t>partial</t>
        </is>
      </c>
      <c r="N1017" t="inlineStr">
        <is>
          <t>not_relevant</t>
        </is>
      </c>
      <c r="O1017" t="inlineStr">
        <is>
          <t>not_relevant</t>
        </is>
      </c>
      <c r="P1017" t="b">
        <v>1</v>
      </c>
    </row>
    <row r="1018">
      <c r="A1018" t="inlineStr">
        <is>
          <t>cartier santos</t>
        </is>
      </c>
      <c r="B1018" t="inlineStr">
        <is>
          <t>cartier santos</t>
        </is>
      </c>
      <c r="C1018" t="n">
        <v>1650474474</v>
      </c>
      <c r="D1018">
        <f>HYPERLINK("https://www.etsy.com/listing/1650474474", "link")</f>
        <v/>
      </c>
      <c r="E1018">
        <f>HYPERLINK("https://atlas.etsycorp.com/listing/1650474474/lookup", "link")</f>
        <v/>
      </c>
      <c r="F1018" t="inlineStr">
        <is>
          <t>ALITALIA vintage sunglasses aviator gold black Professional 560 Kanye West Karl Lagerfeld New mirror lens 80s 90s pilot tank santos big 63</t>
        </is>
      </c>
      <c r="G1018" t="inlineStr">
        <is>
          <t>EuSf4-LLhe9pX9xeDevXOQcHzYb0</t>
        </is>
      </c>
      <c r="H1018" t="inlineStr">
        <is>
          <t>web</t>
        </is>
      </c>
      <c r="I1018" t="inlineStr">
        <is>
          <t>nl</t>
        </is>
      </c>
      <c r="J1018" t="inlineStr">
        <is>
          <t>intl-nl</t>
        </is>
      </c>
      <c r="K1018" t="b">
        <v>1</v>
      </c>
      <c r="L1018" t="inlineStr">
        <is>
          <t>not_relevant</t>
        </is>
      </c>
      <c r="M1018" t="inlineStr">
        <is>
          <t>partial</t>
        </is>
      </c>
      <c r="N1018" t="inlineStr">
        <is>
          <t>not_relevant</t>
        </is>
      </c>
      <c r="O1018" t="inlineStr">
        <is>
          <t>not_relevant</t>
        </is>
      </c>
      <c r="P1018" t="b">
        <v>1</v>
      </c>
    </row>
    <row r="1019">
      <c r="A1019" t="inlineStr">
        <is>
          <t>indian kurutha</t>
        </is>
      </c>
      <c r="B1019" t="inlineStr"/>
      <c r="C1019" t="n">
        <v>1326224854</v>
      </c>
      <c r="D1019">
        <f>HYPERLINK("https://www.etsy.com/listing/1326224854", "link")</f>
        <v/>
      </c>
      <c r="E1019">
        <f>HYPERLINK("https://atlas.etsycorp.com/listing/1326224854/lookup", "link")</f>
        <v/>
      </c>
      <c r="F1019" t="inlineStr">
        <is>
          <t>Kurta Set For Women - Brown Floral Embroidered Pure Cotton Kurta With Trousers &amp; Dupatta - Indian Dress Salwar Kameez - Plus Size XXL</t>
        </is>
      </c>
      <c r="G1019" t="inlineStr">
        <is>
          <t>EujVHloUBVJzHNLjfPZsEp_E7a93</t>
        </is>
      </c>
      <c r="H1019" t="inlineStr">
        <is>
          <t>web</t>
        </is>
      </c>
      <c r="I1019" t="inlineStr">
        <is>
          <t>en-US</t>
        </is>
      </c>
      <c r="J1019" t="inlineStr">
        <is>
          <t>us_v2-broad</t>
        </is>
      </c>
      <c r="K1019" t="b">
        <v>1</v>
      </c>
      <c r="L1019" t="inlineStr">
        <is>
          <t>relevant</t>
        </is>
      </c>
      <c r="M1019" t="inlineStr">
        <is>
          <t>relevant</t>
        </is>
      </c>
      <c r="N1019" t="inlineStr">
        <is>
          <t>relevant</t>
        </is>
      </c>
      <c r="O1019" t="inlineStr">
        <is>
          <t>relevant</t>
        </is>
      </c>
      <c r="P1019" t="b">
        <v>1</v>
      </c>
    </row>
    <row r="1020">
      <c r="A1020" t="inlineStr">
        <is>
          <t>Rosalina hot</t>
        </is>
      </c>
      <c r="B1020" t="inlineStr">
        <is>
          <t>Rosalina hot</t>
        </is>
      </c>
      <c r="C1020" t="n">
        <v>1666458227</v>
      </c>
      <c r="D1020">
        <f>HYPERLINK("https://www.etsy.com/listing/1666458227", "link")</f>
        <v/>
      </c>
      <c r="E1020">
        <f>HYPERLINK("https://atlas.etsycorp.com/listing/1666458227/lookup", "link")</f>
        <v/>
      </c>
      <c r="F1020" t="inlineStr">
        <is>
          <t>Super Mario Girls Keychains - Peach, Daisy, Rosalina, Pauline Charms</t>
        </is>
      </c>
      <c r="G1020" t="inlineStr">
        <is>
          <t>EuRk-iADqUiYNJZ3FRqxjPKLuy64</t>
        </is>
      </c>
      <c r="H1020" t="inlineStr">
        <is>
          <t>web</t>
        </is>
      </c>
      <c r="I1020" t="inlineStr">
        <is>
          <t>es</t>
        </is>
      </c>
      <c r="J1020" t="inlineStr">
        <is>
          <t>intl-es</t>
        </is>
      </c>
      <c r="K1020" t="b">
        <v>1</v>
      </c>
      <c r="L1020" t="inlineStr">
        <is>
          <t>partial</t>
        </is>
      </c>
      <c r="M1020" t="inlineStr">
        <is>
          <t>partial</t>
        </is>
      </c>
      <c r="N1020" t="inlineStr">
        <is>
          <t>relevant</t>
        </is>
      </c>
      <c r="O1020" t="inlineStr">
        <is>
          <t>partial</t>
        </is>
      </c>
      <c r="P1020" t="b">
        <v>1</v>
      </c>
    </row>
    <row r="1021">
      <c r="A1021" t="inlineStr">
        <is>
          <t>personalized school supplies</t>
        </is>
      </c>
      <c r="B1021" t="inlineStr">
        <is>
          <t>personalized school supplies</t>
        </is>
      </c>
      <c r="C1021" t="n">
        <v>1565477790</v>
      </c>
      <c r="D1021">
        <f>HYPERLINK("https://www.etsy.com/listing/1565477790", "link")</f>
        <v/>
      </c>
      <c r="E1021">
        <f>HYPERLINK("https://atlas.etsycorp.com/listing/1565477790/lookup", "link")</f>
        <v/>
      </c>
      <c r="F1021" t="inlineStr">
        <is>
          <t>Custom Name Canvas Tote bag, Birthday gift for kids, Kids Name Tote Bag, Birthday Gift, Preschool,Kindergarten Book Tote Bag, Birthday Gift</t>
        </is>
      </c>
      <c r="G1021" t="inlineStr">
        <is>
          <t>Eu4SaCYR_uVEp2_G-fdRZlUwA753</t>
        </is>
      </c>
      <c r="H1021" t="inlineStr">
        <is>
          <t>boe</t>
        </is>
      </c>
      <c r="I1021" t="inlineStr">
        <is>
          <t>fr</t>
        </is>
      </c>
      <c r="J1021" t="inlineStr">
        <is>
          <t>intl-fr</t>
        </is>
      </c>
      <c r="K1021" t="b">
        <v>1</v>
      </c>
      <c r="L1021" t="inlineStr">
        <is>
          <t>relevant</t>
        </is>
      </c>
      <c r="M1021" t="inlineStr">
        <is>
          <t>not_relevant</t>
        </is>
      </c>
      <c r="N1021" t="inlineStr">
        <is>
          <t>relevant</t>
        </is>
      </c>
      <c r="O1021" t="inlineStr">
        <is>
          <t>relevant</t>
        </is>
      </c>
      <c r="P1021" t="b">
        <v>1</v>
      </c>
    </row>
    <row r="1022">
      <c r="A1022" t="inlineStr">
        <is>
          <t>easter bubble romper</t>
        </is>
      </c>
      <c r="B1022" t="inlineStr"/>
      <c r="C1022" t="n">
        <v>1117747560</v>
      </c>
      <c r="D1022">
        <f>HYPERLINK("https://www.etsy.com/listing/1117747560", "link")</f>
        <v/>
      </c>
      <c r="E1022">
        <f>HYPERLINK("https://atlas.etsycorp.com/listing/1117747560/lookup", "link")</f>
        <v/>
      </c>
      <c r="F1022" t="inlineStr">
        <is>
          <t>Girls donut 2nd birthday outfit- donut romper - two sweet donut outfit - donut second birthday outfit - donut birthday dress - 2nd birthday</t>
        </is>
      </c>
      <c r="G1022" t="inlineStr">
        <is>
          <t>EuQ9fXgj-kfS8FE4N_ovChknGqd7</t>
        </is>
      </c>
      <c r="H1022" t="inlineStr">
        <is>
          <t>boe</t>
        </is>
      </c>
      <c r="I1022" t="inlineStr">
        <is>
          <t>en-US</t>
        </is>
      </c>
      <c r="J1022" t="inlineStr">
        <is>
          <t>us_v2-direct_unspecified</t>
        </is>
      </c>
      <c r="K1022" t="b">
        <v>1</v>
      </c>
      <c r="L1022" t="inlineStr">
        <is>
          <t>partial</t>
        </is>
      </c>
      <c r="M1022" t="inlineStr">
        <is>
          <t>partial</t>
        </is>
      </c>
      <c r="N1022" t="inlineStr">
        <is>
          <t>partial</t>
        </is>
      </c>
      <c r="O1022" t="inlineStr">
        <is>
          <t>partial</t>
        </is>
      </c>
      <c r="P1022" t="b">
        <v>1</v>
      </c>
    </row>
    <row r="1023">
      <c r="A1023" t="inlineStr">
        <is>
          <t>vitage fischer</t>
        </is>
      </c>
      <c r="B1023" t="inlineStr">
        <is>
          <t>vitage fischer</t>
        </is>
      </c>
      <c r="C1023" t="n">
        <v>1602976308</v>
      </c>
      <c r="D1023">
        <f>HYPERLINK("https://www.etsy.com/listing/1602976308", "link")</f>
        <v/>
      </c>
      <c r="E1023">
        <f>HYPERLINK("https://atlas.etsycorp.com/listing/1602976308/lookup", "link")</f>
        <v/>
      </c>
      <c r="F1023" t="inlineStr">
        <is>
          <t>HUGE Vintage Fishing Net Large French Blue Cotton Net Seaside Beach Decor</t>
        </is>
      </c>
      <c r="G1023" t="inlineStr">
        <is>
          <t>EuiZIMfcG1WdgY45iGZikrMmrAa7</t>
        </is>
      </c>
      <c r="H1023" t="inlineStr">
        <is>
          <t>web</t>
        </is>
      </c>
      <c r="I1023" t="inlineStr">
        <is>
          <t>de</t>
        </is>
      </c>
      <c r="J1023" t="inlineStr">
        <is>
          <t>intl-de</t>
        </is>
      </c>
      <c r="K1023" t="b">
        <v>1</v>
      </c>
      <c r="L1023" t="inlineStr">
        <is>
          <t>relevant</t>
        </is>
      </c>
      <c r="M1023" t="inlineStr">
        <is>
          <t>relevant</t>
        </is>
      </c>
      <c r="N1023" t="inlineStr">
        <is>
          <t>relevant</t>
        </is>
      </c>
      <c r="O1023" t="inlineStr">
        <is>
          <t>relevant</t>
        </is>
      </c>
      <c r="P1023" t="b">
        <v>1</v>
      </c>
    </row>
    <row r="1024">
      <c r="A1024" t="inlineStr">
        <is>
          <t>handmade gift</t>
        </is>
      </c>
      <c r="B1024" t="inlineStr">
        <is>
          <t>handmade gift</t>
        </is>
      </c>
      <c r="C1024" t="n">
        <v>993944520</v>
      </c>
      <c r="D1024">
        <f>HYPERLINK("https://www.etsy.com/listing/993944520", "link")</f>
        <v/>
      </c>
      <c r="E1024">
        <f>HYPERLINK("https://atlas.etsycorp.com/listing/993944520/lookup", "link")</f>
        <v/>
      </c>
      <c r="F1024" t="inlineStr">
        <is>
          <t>Father&amp;#39;s Day Gift, Personalised Men&amp;#39;s Wallet, Genuine Soft Black Leather Wallet, Personalized Engraved Gift for Him, Boyfriend, Dad, Husband</t>
        </is>
      </c>
      <c r="G1024" t="inlineStr">
        <is>
          <t>Eu8o_WBPX6EZuaUhj0hoB0Iqvpa4</t>
        </is>
      </c>
      <c r="H1024" t="inlineStr">
        <is>
          <t>boe</t>
        </is>
      </c>
      <c r="I1024" t="inlineStr">
        <is>
          <t>es</t>
        </is>
      </c>
      <c r="J1024" t="inlineStr">
        <is>
          <t>intl-es</t>
        </is>
      </c>
      <c r="K1024" t="b">
        <v>1</v>
      </c>
      <c r="L1024" t="inlineStr">
        <is>
          <t>partial</t>
        </is>
      </c>
      <c r="M1024" t="inlineStr">
        <is>
          <t>partial</t>
        </is>
      </c>
      <c r="N1024" t="inlineStr">
        <is>
          <t>relevant</t>
        </is>
      </c>
      <c r="O1024" t="inlineStr">
        <is>
          <t>partial</t>
        </is>
      </c>
      <c r="P1024" t="b">
        <v>1</v>
      </c>
    </row>
    <row r="1025">
      <c r="A1025" t="inlineStr">
        <is>
          <t>.925 stackable rings</t>
        </is>
      </c>
      <c r="B1025" t="inlineStr"/>
      <c r="C1025" t="n">
        <v>1136507412</v>
      </c>
      <c r="D1025">
        <f>HYPERLINK("https://www.etsy.com/listing/1136507412", "link")</f>
        <v/>
      </c>
      <c r="E1025">
        <f>HYPERLINK("https://atlas.etsycorp.com/listing/1136507412/lookup", "link")</f>
        <v/>
      </c>
      <c r="F1025" t="inlineStr">
        <is>
          <t>Opal Inlay Huggie Earrings by Caitlyn Minimalist • Fire Opal Hoop Earrings • Dainty Blue &amp; Green Gemstone Earrings • Gift for Her • ER212</t>
        </is>
      </c>
      <c r="G1025" t="inlineStr">
        <is>
          <t>Eu-RB-U4Zw10jwxjxfZs2B5P8m13</t>
        </is>
      </c>
      <c r="H1025" t="inlineStr">
        <is>
          <t>boe</t>
        </is>
      </c>
      <c r="I1025" t="inlineStr">
        <is>
          <t>en-US</t>
        </is>
      </c>
      <c r="J1025" t="inlineStr">
        <is>
          <t>us_v2-direct_specified</t>
        </is>
      </c>
      <c r="K1025" t="b">
        <v>1</v>
      </c>
      <c r="L1025" t="inlineStr">
        <is>
          <t>partial</t>
        </is>
      </c>
      <c r="M1025" t="inlineStr">
        <is>
          <t>partial</t>
        </is>
      </c>
      <c r="N1025" t="inlineStr">
        <is>
          <t>partial</t>
        </is>
      </c>
      <c r="O1025" t="inlineStr">
        <is>
          <t>partial</t>
        </is>
      </c>
      <c r="P1025" t="b">
        <v>1</v>
      </c>
    </row>
    <row r="1026">
      <c r="A1026" t="inlineStr">
        <is>
          <t>nounou</t>
        </is>
      </c>
      <c r="B1026" t="inlineStr">
        <is>
          <t>nanny</t>
        </is>
      </c>
      <c r="C1026" t="n">
        <v>1070390357</v>
      </c>
      <c r="D1026">
        <f>HYPERLINK("https://www.etsy.com/listing/1070390357", "link")</f>
        <v/>
      </c>
      <c r="E1026">
        <f>HYPERLINK("https://atlas.etsycorp.com/listing/1070390357/lookup", "link")</f>
        <v/>
      </c>
      <c r="F1026" t="inlineStr">
        <is>
          <t>Ecru and jute nanny tote/wonderful nanny tote/nanny tote bag/customizable nanny tote/nanny gift idea/jute nanny tote</t>
        </is>
      </c>
      <c r="G1026" t="inlineStr">
        <is>
          <t>EuEZ1_TKuJFk2BKxxGQZittB4z53</t>
        </is>
      </c>
      <c r="H1026" t="inlineStr">
        <is>
          <t>web</t>
        </is>
      </c>
      <c r="I1026" t="inlineStr">
        <is>
          <t>fr</t>
        </is>
      </c>
      <c r="J1026" t="inlineStr">
        <is>
          <t>intl-fr</t>
        </is>
      </c>
      <c r="K1026" t="b">
        <v>1</v>
      </c>
      <c r="L1026" t="inlineStr">
        <is>
          <t>relevant</t>
        </is>
      </c>
      <c r="M1026" t="inlineStr">
        <is>
          <t>relevant</t>
        </is>
      </c>
      <c r="N1026" t="inlineStr">
        <is>
          <t>not_relevant</t>
        </is>
      </c>
      <c r="O1026" t="inlineStr">
        <is>
          <t>relevant</t>
        </is>
      </c>
      <c r="P1026" t="b">
        <v>1</v>
      </c>
    </row>
    <row r="1027">
      <c r="A1027" t="inlineStr">
        <is>
          <t>nudit</t>
        </is>
      </c>
      <c r="B1027" t="inlineStr">
        <is>
          <t>nudit</t>
        </is>
      </c>
      <c r="C1027" t="n">
        <v>1128480192</v>
      </c>
      <c r="D1027">
        <f>HYPERLINK("https://www.etsy.com/listing/1128480192", "link")</f>
        <v/>
      </c>
      <c r="E1027">
        <f>HYPERLINK("https://atlas.etsycorp.com/listing/1128480192/lookup", "link")</f>
        <v/>
      </c>
      <c r="F1027" t="inlineStr">
        <is>
          <t>Rocktopus fidget toy | 2 colour option | Dwayne Johnson octopus Flexi toy | fidget toy</t>
        </is>
      </c>
      <c r="G1027" t="inlineStr">
        <is>
          <t>Eu8iqBM5o0CSx59BStDDleD6uD07</t>
        </is>
      </c>
      <c r="H1027" t="inlineStr">
        <is>
          <t>boe</t>
        </is>
      </c>
      <c r="I1027" t="inlineStr">
        <is>
          <t>es</t>
        </is>
      </c>
      <c r="J1027" t="inlineStr">
        <is>
          <t>intl-es</t>
        </is>
      </c>
      <c r="K1027" t="b">
        <v>1</v>
      </c>
      <c r="L1027" t="inlineStr">
        <is>
          <t>not_relevant</t>
        </is>
      </c>
      <c r="M1027" t="inlineStr">
        <is>
          <t>not_relevant</t>
        </is>
      </c>
      <c r="N1027" t="inlineStr">
        <is>
          <t>not_relevant</t>
        </is>
      </c>
      <c r="O1027" t="inlineStr">
        <is>
          <t>not_relevant</t>
        </is>
      </c>
      <c r="P1027" t="b">
        <v>1</v>
      </c>
    </row>
    <row r="1028">
      <c r="A1028" t="inlineStr">
        <is>
          <t>hunt is over bridal shower game</t>
        </is>
      </c>
      <c r="B1028" t="inlineStr"/>
      <c r="C1028" t="n">
        <v>469172629</v>
      </c>
      <c r="D1028">
        <f>HYPERLINK("https://www.etsy.com/listing/469172629", "link")</f>
        <v/>
      </c>
      <c r="E1028">
        <f>HYPERLINK("https://atlas.etsycorp.com/listing/469172629/lookup", "link")</f>
        <v/>
      </c>
      <c r="F1028" t="inlineStr">
        <is>
          <t>The Hunt Is Over - Cake Topper - White, Black or Maple</t>
        </is>
      </c>
      <c r="G1028" t="inlineStr">
        <is>
          <t>Eu8-7xVnx73iURvdBzgRGSnuc170</t>
        </is>
      </c>
      <c r="H1028" t="inlineStr">
        <is>
          <t>web</t>
        </is>
      </c>
      <c r="I1028" t="inlineStr">
        <is>
          <t>en-US</t>
        </is>
      </c>
      <c r="J1028" t="inlineStr">
        <is>
          <t>us_v2-broad</t>
        </is>
      </c>
      <c r="K1028" t="b">
        <v>1</v>
      </c>
      <c r="L1028" t="inlineStr">
        <is>
          <t>partial</t>
        </is>
      </c>
      <c r="M1028" t="inlineStr">
        <is>
          <t>relevant</t>
        </is>
      </c>
      <c r="N1028" t="inlineStr">
        <is>
          <t>partial</t>
        </is>
      </c>
      <c r="O1028" t="inlineStr">
        <is>
          <t>partial</t>
        </is>
      </c>
      <c r="P1028" t="b">
        <v>1</v>
      </c>
    </row>
    <row r="1029">
      <c r="A1029" t="inlineStr">
        <is>
          <t>caftan</t>
        </is>
      </c>
      <c r="B1029" t="inlineStr">
        <is>
          <t>caftan</t>
        </is>
      </c>
      <c r="C1029" t="n">
        <v>1545678709</v>
      </c>
      <c r="D1029">
        <f>HYPERLINK("https://www.etsy.com/listing/1545678709", "link")</f>
        <v/>
      </c>
      <c r="E1029">
        <f>HYPERLINK("https://atlas.etsycorp.com/listing/1545678709/lookup", "link")</f>
        <v/>
      </c>
      <c r="F1029" t="inlineStr">
        <is>
          <t>Abaya ruffle sleeves</t>
        </is>
      </c>
      <c r="G1029" t="inlineStr">
        <is>
          <t>Eu2Ojuumgx7a1f_9ZRWkz59lW73f</t>
        </is>
      </c>
      <c r="H1029" t="inlineStr">
        <is>
          <t>web</t>
        </is>
      </c>
      <c r="I1029" t="inlineStr">
        <is>
          <t>fr</t>
        </is>
      </c>
      <c r="J1029" t="inlineStr">
        <is>
          <t>intl-fr</t>
        </is>
      </c>
      <c r="K1029" t="b">
        <v>1</v>
      </c>
      <c r="L1029" t="inlineStr">
        <is>
          <t>partial</t>
        </is>
      </c>
      <c r="M1029" t="inlineStr">
        <is>
          <t>partial</t>
        </is>
      </c>
      <c r="N1029" t="inlineStr">
        <is>
          <t>relevant</t>
        </is>
      </c>
      <c r="O1029" t="inlineStr">
        <is>
          <t>partial</t>
        </is>
      </c>
      <c r="P1029" t="b">
        <v>1</v>
      </c>
    </row>
    <row r="1030">
      <c r="A1030" t="inlineStr">
        <is>
          <t>abendtasche blau glitzer</t>
        </is>
      </c>
      <c r="B1030" t="inlineStr">
        <is>
          <t>evening bag blue glitter</t>
        </is>
      </c>
      <c r="C1030" t="n">
        <v>1514722662</v>
      </c>
      <c r="D1030">
        <f>HYPERLINK("https://www.etsy.com/listing/1514722662", "link")</f>
        <v/>
      </c>
      <c r="E1030">
        <f>HYPERLINK("https://atlas.etsycorp.com/listing/1514722662/lookup", "link")</f>
        <v/>
      </c>
      <c r="F1030" t="inlineStr">
        <is>
          <t>Green Crystal Diamond Embellished Evening Clutch Bag</t>
        </is>
      </c>
      <c r="G1030" t="inlineStr">
        <is>
          <t>Eu1VSvfajn6XfZC280O0s0VF7hf9</t>
        </is>
      </c>
      <c r="H1030" t="inlineStr">
        <is>
          <t>boe</t>
        </is>
      </c>
      <c r="I1030" t="inlineStr">
        <is>
          <t>de</t>
        </is>
      </c>
      <c r="J1030" t="inlineStr">
        <is>
          <t>intl-de</t>
        </is>
      </c>
      <c r="K1030" t="b">
        <v>1</v>
      </c>
      <c r="L1030" t="inlineStr">
        <is>
          <t>partial</t>
        </is>
      </c>
      <c r="M1030" t="inlineStr">
        <is>
          <t>partial</t>
        </is>
      </c>
      <c r="N1030" t="inlineStr">
        <is>
          <t>partial</t>
        </is>
      </c>
      <c r="O1030" t="inlineStr">
        <is>
          <t>partial</t>
        </is>
      </c>
      <c r="P1030" t="b">
        <v>1</v>
      </c>
    </row>
    <row r="1031">
      <c r="A1031" t="inlineStr">
        <is>
          <t>pool slide rules</t>
        </is>
      </c>
      <c r="B1031" t="inlineStr"/>
      <c r="C1031" t="n">
        <v>1028630125</v>
      </c>
      <c r="D1031">
        <f>HYPERLINK("https://www.etsy.com/listing/1028630125", "link")</f>
        <v/>
      </c>
      <c r="E1031">
        <f>HYPERLINK("https://atlas.etsycorp.com/listing/1028630125/lookup", "link")</f>
        <v/>
      </c>
      <c r="F1031" t="inlineStr">
        <is>
          <t>Pool gift for dad makes great poolside personalized cooler!</t>
        </is>
      </c>
      <c r="G1031" t="inlineStr">
        <is>
          <t>EuU6rYiaIgalw9tbWTtwLogwhv04</t>
        </is>
      </c>
      <c r="H1031" t="inlineStr">
        <is>
          <t>boe</t>
        </is>
      </c>
      <c r="I1031" t="inlineStr">
        <is>
          <t>en-US</t>
        </is>
      </c>
      <c r="J1031" t="inlineStr">
        <is>
          <t>us_v2-direct_unspecified</t>
        </is>
      </c>
      <c r="K1031" t="b">
        <v>1</v>
      </c>
      <c r="L1031" t="inlineStr">
        <is>
          <t>partial</t>
        </is>
      </c>
      <c r="M1031" t="inlineStr">
        <is>
          <t>partial</t>
        </is>
      </c>
      <c r="N1031" t="inlineStr">
        <is>
          <t>partial</t>
        </is>
      </c>
      <c r="O1031" t="inlineStr">
        <is>
          <t>not_relevant</t>
        </is>
      </c>
      <c r="P1031" t="b">
        <v>1</v>
      </c>
    </row>
    <row r="1032">
      <c r="A1032" t="inlineStr">
        <is>
          <t>trousse toilette coton</t>
        </is>
      </c>
      <c r="B1032" t="inlineStr">
        <is>
          <t>cotton toiletry bag</t>
        </is>
      </c>
      <c r="C1032" t="n">
        <v>1730082703</v>
      </c>
      <c r="D1032">
        <f>HYPERLINK("https://www.etsy.com/listing/1730082703", "link")</f>
        <v/>
      </c>
      <c r="E1032">
        <f>HYPERLINK("https://atlas.etsycorp.com/listing/1730082703/lookup", "link")</f>
        <v/>
      </c>
      <c r="F1032" t="inlineStr">
        <is>
          <t>Toiletry bag, travel kit, makeup bag, cotton pouch</t>
        </is>
      </c>
      <c r="G1032" t="inlineStr">
        <is>
          <t>Eua915Je9HGb-cv3V2GZCLqCYr92</t>
        </is>
      </c>
      <c r="H1032" t="inlineStr">
        <is>
          <t>boe</t>
        </is>
      </c>
      <c r="I1032" t="inlineStr">
        <is>
          <t>fr</t>
        </is>
      </c>
      <c r="J1032" t="inlineStr">
        <is>
          <t>intl-fr</t>
        </is>
      </c>
      <c r="K1032" t="b">
        <v>1</v>
      </c>
      <c r="L1032" t="inlineStr">
        <is>
          <t>relevant</t>
        </is>
      </c>
      <c r="M1032" t="inlineStr">
        <is>
          <t>relevant</t>
        </is>
      </c>
      <c r="N1032" t="inlineStr">
        <is>
          <t>relevant</t>
        </is>
      </c>
      <c r="O1032" t="inlineStr">
        <is>
          <t>relevant</t>
        </is>
      </c>
      <c r="P1032" t="b">
        <v>1</v>
      </c>
    </row>
    <row r="1033">
      <c r="A1033" t="inlineStr">
        <is>
          <t>warrior cats bookmark</t>
        </is>
      </c>
      <c r="B1033" t="inlineStr"/>
      <c r="C1033" t="n">
        <v>1324901016</v>
      </c>
      <c r="D1033">
        <f>HYPERLINK("https://www.etsy.com/listing/1324901016", "link")</f>
        <v/>
      </c>
      <c r="E1033">
        <f>HYPERLINK("https://atlas.etsycorp.com/listing/1324901016/lookup", "link")</f>
        <v/>
      </c>
      <c r="F1033" t="inlineStr">
        <is>
          <t>Jayfeather | Cats | Warrior Cats | Moon | Reading | Book | Kittens | Round | Purple | Sky | Bookmark</t>
        </is>
      </c>
      <c r="G1033" t="inlineStr">
        <is>
          <t>EuFb73FMIUXhfjxwW_DCET5DzBc3</t>
        </is>
      </c>
      <c r="H1033" t="inlineStr">
        <is>
          <t>boe</t>
        </is>
      </c>
      <c r="I1033" t="inlineStr">
        <is>
          <t>en-US</t>
        </is>
      </c>
      <c r="J1033" t="inlineStr">
        <is>
          <t>us_v2-direct_specified</t>
        </is>
      </c>
      <c r="K1033" t="b">
        <v>1</v>
      </c>
      <c r="L1033" t="inlineStr">
        <is>
          <t>relevant</t>
        </is>
      </c>
      <c r="M1033" t="inlineStr">
        <is>
          <t>relevant</t>
        </is>
      </c>
      <c r="N1033" t="inlineStr">
        <is>
          <t>relevant</t>
        </is>
      </c>
      <c r="O1033" t="inlineStr">
        <is>
          <t>relevant</t>
        </is>
      </c>
      <c r="P1033" t="b">
        <v>1</v>
      </c>
    </row>
    <row r="1034">
      <c r="A1034" t="inlineStr">
        <is>
          <t>savon mariage</t>
        </is>
      </c>
      <c r="B1034" t="inlineStr">
        <is>
          <t>wedding soap</t>
        </is>
      </c>
      <c r="C1034" t="n">
        <v>1674819260</v>
      </c>
      <c r="D1034">
        <f>HYPERLINK("https://www.etsy.com/listing/1674819260", "link")</f>
        <v/>
      </c>
      <c r="E1034">
        <f>HYPERLINK("https://atlas.etsycorp.com/listing/1674819260/lookup", "link")</f>
        <v/>
      </c>
      <c r="F1034" t="inlineStr">
        <is>
          <t>Wedding Pear Bottle Tea favors for guests, Personalized Bulk gifts, Rustic wedding favor, Loose Leaf Tea Favor, Tea jars, Herbal Tea gifts</t>
        </is>
      </c>
      <c r="G1034" t="inlineStr">
        <is>
          <t>EuQzNVYd_9PwCMcI4lRmdW3veR0d</t>
        </is>
      </c>
      <c r="H1034" t="inlineStr">
        <is>
          <t>web</t>
        </is>
      </c>
      <c r="I1034" t="inlineStr">
        <is>
          <t>fr</t>
        </is>
      </c>
      <c r="J1034" t="inlineStr">
        <is>
          <t>intl-fr</t>
        </is>
      </c>
      <c r="K1034" t="b">
        <v>1</v>
      </c>
      <c r="L1034" t="inlineStr">
        <is>
          <t>not_relevant</t>
        </is>
      </c>
      <c r="M1034" t="inlineStr">
        <is>
          <t>not_relevant</t>
        </is>
      </c>
      <c r="N1034" t="inlineStr">
        <is>
          <t>not_relevant</t>
        </is>
      </c>
      <c r="O1034" t="inlineStr">
        <is>
          <t>not_relevant</t>
        </is>
      </c>
      <c r="P1034" t="b">
        <v>1</v>
      </c>
    </row>
    <row r="1035">
      <c r="A1035" t="inlineStr">
        <is>
          <t>Find shirts</t>
        </is>
      </c>
      <c r="B1035" t="inlineStr">
        <is>
          <t>Find shirts</t>
        </is>
      </c>
      <c r="C1035" t="n">
        <v>1656838901</v>
      </c>
      <c r="D1035">
        <f>HYPERLINK("https://www.etsy.com/listing/1656838901", "link")</f>
        <v/>
      </c>
      <c r="E1035">
        <f>HYPERLINK("https://atlas.etsycorp.com/listing/1656838901/lookup", "link")</f>
        <v/>
      </c>
      <c r="F1035" t="inlineStr">
        <is>
          <t>If I&amp;#39;m Too Much Then Go Find Less Svg Wavy Stacked Trendy Svg Funny Sayings Svg Adult Humor Svg Motivational Quote Svg Files Png Pdf Eps</t>
        </is>
      </c>
      <c r="G1035" t="inlineStr">
        <is>
          <t>EuvIS1lmey4F6GIBWbndSoAuVE5b</t>
        </is>
      </c>
      <c r="H1035" t="inlineStr">
        <is>
          <t>web</t>
        </is>
      </c>
      <c r="I1035" t="inlineStr">
        <is>
          <t>es</t>
        </is>
      </c>
      <c r="J1035" t="inlineStr">
        <is>
          <t>intl-es</t>
        </is>
      </c>
      <c r="K1035" t="b">
        <v>1</v>
      </c>
      <c r="L1035" t="inlineStr">
        <is>
          <t>partial</t>
        </is>
      </c>
      <c r="M1035" t="inlineStr">
        <is>
          <t>partial</t>
        </is>
      </c>
      <c r="N1035" t="inlineStr">
        <is>
          <t>partial</t>
        </is>
      </c>
      <c r="O1035" t="inlineStr">
        <is>
          <t>partial</t>
        </is>
      </c>
      <c r="P1035" t="b">
        <v>1</v>
      </c>
    </row>
    <row r="1036">
      <c r="A1036" t="inlineStr">
        <is>
          <t>linen</t>
        </is>
      </c>
      <c r="B1036" t="inlineStr">
        <is>
          <t>linen</t>
        </is>
      </c>
      <c r="C1036" t="n">
        <v>1054454061</v>
      </c>
      <c r="D1036">
        <f>HYPERLINK("https://www.etsy.com/listing/1054454061", "link")</f>
        <v/>
      </c>
      <c r="E1036">
        <f>HYPERLINK("https://atlas.etsycorp.com/listing/1054454061/lookup", "link")</f>
        <v/>
      </c>
      <c r="F1036" t="inlineStr">
        <is>
          <t>White Linen Crop Top. Loose Linen Top. Open Back Linen Crop Top. Elegant Linen Top. Linen Blouse. Handmade Linen Clothes For Women.</t>
        </is>
      </c>
      <c r="G1036" t="inlineStr">
        <is>
          <t>Eu58CNfdcQZQjOaGwRTFcTRvOS01</t>
        </is>
      </c>
      <c r="H1036" t="inlineStr">
        <is>
          <t>web</t>
        </is>
      </c>
      <c r="I1036" t="inlineStr">
        <is>
          <t>fr</t>
        </is>
      </c>
      <c r="J1036" t="inlineStr">
        <is>
          <t>intl-fr</t>
        </is>
      </c>
      <c r="K1036" t="b">
        <v>1</v>
      </c>
      <c r="L1036" t="inlineStr">
        <is>
          <t>relevant</t>
        </is>
      </c>
      <c r="M1036" t="inlineStr">
        <is>
          <t>relevant</t>
        </is>
      </c>
      <c r="N1036" t="inlineStr">
        <is>
          <t>relevant</t>
        </is>
      </c>
      <c r="O1036" t="inlineStr">
        <is>
          <t>relevant</t>
        </is>
      </c>
      <c r="P1036" t="b">
        <v>1</v>
      </c>
    </row>
    <row r="1037">
      <c r="A1037" t="inlineStr">
        <is>
          <t>Find shirts</t>
        </is>
      </c>
      <c r="B1037" t="inlineStr">
        <is>
          <t>Find shirts</t>
        </is>
      </c>
      <c r="C1037" t="n">
        <v>952980941</v>
      </c>
      <c r="D1037">
        <f>HYPERLINK("https://www.etsy.com/listing/952980941", "link")</f>
        <v/>
      </c>
      <c r="E1037">
        <f>HYPERLINK("https://atlas.etsycorp.com/listing/952980941/lookup", "link")</f>
        <v/>
      </c>
      <c r="F1037" t="inlineStr">
        <is>
          <t>Find The Beauty In Every day - Positive Shirt - Positive Life Shirt - Positive Vibes - Positive Quote - Live Positive - Positive Mind</t>
        </is>
      </c>
      <c r="G1037" t="inlineStr">
        <is>
          <t>EuAy8ikzNbC_CkToP0f_7FtEVyd3</t>
        </is>
      </c>
      <c r="H1037" t="inlineStr">
        <is>
          <t>web</t>
        </is>
      </c>
      <c r="I1037" t="inlineStr">
        <is>
          <t>es</t>
        </is>
      </c>
      <c r="J1037" t="inlineStr">
        <is>
          <t>intl-es</t>
        </is>
      </c>
      <c r="K1037" t="b">
        <v>1</v>
      </c>
      <c r="L1037" t="inlineStr">
        <is>
          <t>relevant</t>
        </is>
      </c>
      <c r="M1037" t="inlineStr">
        <is>
          <t>relevant</t>
        </is>
      </c>
      <c r="N1037" t="inlineStr">
        <is>
          <t>relevant</t>
        </is>
      </c>
      <c r="O1037" t="inlineStr">
        <is>
          <t>relevant</t>
        </is>
      </c>
      <c r="P1037" t="b">
        <v>1</v>
      </c>
    </row>
    <row r="1038">
      <c r="A1038" t="inlineStr">
        <is>
          <t>st christopher gifts</t>
        </is>
      </c>
      <c r="B1038" t="inlineStr"/>
      <c r="C1038" t="n">
        <v>1484002191</v>
      </c>
      <c r="D1038">
        <f>HYPERLINK("https://www.etsy.com/listing/1484002191", "link")</f>
        <v/>
      </c>
      <c r="E1038">
        <f>HYPERLINK("https://atlas.etsycorp.com/listing/1484002191/lookup", "link")</f>
        <v/>
      </c>
      <c r="F1038" t="inlineStr">
        <is>
          <t>Solid 925 Sterling Silver 16mm Saint St Christopher Pendant with Silver Chain</t>
        </is>
      </c>
      <c r="G1038" t="inlineStr">
        <is>
          <t>Eu3vYR20AcOkYC_n4CJFBfRsGQec</t>
        </is>
      </c>
      <c r="H1038" t="inlineStr">
        <is>
          <t>web</t>
        </is>
      </c>
      <c r="I1038" t="inlineStr">
        <is>
          <t>en-GB</t>
        </is>
      </c>
      <c r="J1038" t="inlineStr">
        <is>
          <t>us_v2-gift</t>
        </is>
      </c>
      <c r="K1038" t="b">
        <v>1</v>
      </c>
      <c r="L1038" t="inlineStr">
        <is>
          <t>relevant</t>
        </is>
      </c>
      <c r="M1038" t="inlineStr">
        <is>
          <t>not_relevant</t>
        </is>
      </c>
      <c r="N1038" t="inlineStr">
        <is>
          <t>relevant</t>
        </is>
      </c>
      <c r="O1038" t="inlineStr">
        <is>
          <t>relevant</t>
        </is>
      </c>
      <c r="P1038" t="b">
        <v>1</v>
      </c>
    </row>
    <row r="1039">
      <c r="A1039" t="inlineStr">
        <is>
          <t>disney pop century door decorations</t>
        </is>
      </c>
      <c r="B1039" t="inlineStr"/>
      <c r="C1039" t="n">
        <v>1184866893</v>
      </c>
      <c r="D1039">
        <f>HYPERLINK("https://www.etsy.com/listing/1184866893", "link")</f>
        <v/>
      </c>
      <c r="E1039">
        <f>HYPERLINK("https://atlas.etsycorp.com/listing/1184866893/lookup", "link")</f>
        <v/>
      </c>
      <c r="F1039" t="inlineStr">
        <is>
          <t>Disney’s Boardwalk Inn Sticker</t>
        </is>
      </c>
      <c r="G1039" t="inlineStr">
        <is>
          <t>Eu23g5Qhjgs5muvuOArpRPoSoTe1</t>
        </is>
      </c>
      <c r="H1039" t="inlineStr">
        <is>
          <t>web</t>
        </is>
      </c>
      <c r="I1039" t="inlineStr">
        <is>
          <t>en-US</t>
        </is>
      </c>
      <c r="J1039" t="inlineStr">
        <is>
          <t>us_v2-direct_specified</t>
        </is>
      </c>
      <c r="K1039" t="b">
        <v>1</v>
      </c>
      <c r="L1039" t="inlineStr">
        <is>
          <t>partial</t>
        </is>
      </c>
      <c r="M1039" t="inlineStr">
        <is>
          <t>partial</t>
        </is>
      </c>
      <c r="N1039" t="inlineStr">
        <is>
          <t>not_relevant</t>
        </is>
      </c>
      <c r="O1039" t="inlineStr">
        <is>
          <t>partial</t>
        </is>
      </c>
      <c r="P1039" t="b">
        <v>1</v>
      </c>
    </row>
    <row r="1040">
      <c r="A1040" t="inlineStr">
        <is>
          <t>self made man</t>
        </is>
      </c>
      <c r="B1040" t="inlineStr"/>
      <c r="C1040" t="n">
        <v>1581264037</v>
      </c>
      <c r="D1040">
        <f>HYPERLINK("https://www.etsy.com/listing/1581264037", "link")</f>
        <v/>
      </c>
      <c r="E1040">
        <f>HYPERLINK("https://atlas.etsycorp.com/listing/1581264037/lookup", "link")</f>
        <v/>
      </c>
      <c r="F1040" t="inlineStr">
        <is>
          <t>Silk Bowtie for Men - Midas Touch - One-of-a-Kind - Self-tie - Adjustable</t>
        </is>
      </c>
      <c r="G1040" t="inlineStr">
        <is>
          <t>Euv1g9T0AqwH3wIlZpjUsdXqsyed</t>
        </is>
      </c>
      <c r="H1040" t="inlineStr">
        <is>
          <t>web</t>
        </is>
      </c>
      <c r="I1040" t="inlineStr">
        <is>
          <t>en-US</t>
        </is>
      </c>
      <c r="J1040" t="inlineStr">
        <is>
          <t>us_v2-broad</t>
        </is>
      </c>
      <c r="K1040" t="b">
        <v>1</v>
      </c>
      <c r="L1040" t="inlineStr">
        <is>
          <t>relevant</t>
        </is>
      </c>
      <c r="M1040" t="inlineStr">
        <is>
          <t>not_relevant</t>
        </is>
      </c>
      <c r="N1040" t="inlineStr">
        <is>
          <t>relevant</t>
        </is>
      </c>
      <c r="O1040" t="inlineStr">
        <is>
          <t>relevant</t>
        </is>
      </c>
      <c r="P1040" t="b">
        <v>1</v>
      </c>
    </row>
    <row r="1041">
      <c r="A1041" t="inlineStr">
        <is>
          <t>gifts for kids</t>
        </is>
      </c>
      <c r="B1041" t="inlineStr"/>
      <c r="C1041" t="n">
        <v>1183916600</v>
      </c>
      <c r="D1041">
        <f>HYPERLINK("https://www.etsy.com/listing/1183916600", "link")</f>
        <v/>
      </c>
      <c r="E1041">
        <f>HYPERLINK("https://atlas.etsycorp.com/listing/1183916600/lookup", "link")</f>
        <v/>
      </c>
      <c r="F1041" t="inlineStr">
        <is>
          <t>Ruby Heart Earrings by Caitlyn Minimalist • Everyday Red Crystal Earrings • Dainty Love Stud Earrings • Perfect Girlfriend Gift • ER235</t>
        </is>
      </c>
      <c r="G1041" t="inlineStr">
        <is>
          <t>Eu6VYFDA0JgVndp05pVKOa8eYq9f</t>
        </is>
      </c>
      <c r="H1041" t="inlineStr">
        <is>
          <t>boe</t>
        </is>
      </c>
      <c r="I1041" t="inlineStr">
        <is>
          <t>en-US</t>
        </is>
      </c>
      <c r="J1041" t="inlineStr">
        <is>
          <t>us_v2-broad</t>
        </is>
      </c>
      <c r="K1041" t="b">
        <v>1</v>
      </c>
      <c r="L1041" t="inlineStr">
        <is>
          <t>not_relevant</t>
        </is>
      </c>
      <c r="M1041" t="inlineStr">
        <is>
          <t>not_relevant</t>
        </is>
      </c>
      <c r="N1041" t="inlineStr">
        <is>
          <t>not_relevant</t>
        </is>
      </c>
      <c r="O1041" t="inlineStr">
        <is>
          <t>not_relevant</t>
        </is>
      </c>
      <c r="P1041" t="b">
        <v>1</v>
      </c>
    </row>
    <row r="1042">
      <c r="A1042" t="inlineStr">
        <is>
          <t>plantilla tumbler 20 onzas</t>
        </is>
      </c>
      <c r="B1042" t="inlineStr">
        <is>
          <t>20 ounce tumbler template</t>
        </is>
      </c>
      <c r="C1042" t="n">
        <v>1168672393</v>
      </c>
      <c r="D1042">
        <f>HYPERLINK("https://www.etsy.com/listing/1168672393", "link")</f>
        <v/>
      </c>
      <c r="E1042">
        <f>HYPERLINK("https://atlas.etsycorp.com/listing/1168672393/lookup", "link")</f>
        <v/>
      </c>
      <c r="F1042" t="inlineStr">
        <is>
          <t>20oz Skinny Tumbler Sublimation Designs, Add Your Own Text, Glitter Leopard Print Tumbler PNG, Cheetah Print Tumbler Wrap Template</t>
        </is>
      </c>
      <c r="G1042" t="inlineStr">
        <is>
          <t>EueBMzBV_I8Q_T7Wz1u49ThFxD1c</t>
        </is>
      </c>
      <c r="H1042" t="inlineStr">
        <is>
          <t>boe</t>
        </is>
      </c>
      <c r="I1042" t="inlineStr">
        <is>
          <t>es</t>
        </is>
      </c>
      <c r="J1042" t="inlineStr">
        <is>
          <t>intl-es</t>
        </is>
      </c>
      <c r="K1042" t="b">
        <v>1</v>
      </c>
      <c r="L1042" t="inlineStr">
        <is>
          <t>relevant</t>
        </is>
      </c>
      <c r="M1042" t="inlineStr">
        <is>
          <t>partial</t>
        </is>
      </c>
      <c r="N1042" t="inlineStr">
        <is>
          <t>relevant</t>
        </is>
      </c>
      <c r="O1042" t="inlineStr">
        <is>
          <t>relevant</t>
        </is>
      </c>
      <c r="P1042" t="b">
        <v>1</v>
      </c>
    </row>
    <row r="1043">
      <c r="A1043" t="inlineStr">
        <is>
          <t>rouge à levres sans titane</t>
        </is>
      </c>
      <c r="B1043" t="inlineStr">
        <is>
          <t>lipstick without titanium</t>
        </is>
      </c>
      <c r="C1043" t="n">
        <v>1500575255</v>
      </c>
      <c r="D1043">
        <f>HYPERLINK("https://www.etsy.com/listing/1500575255", "link")</f>
        <v/>
      </c>
      <c r="E1043">
        <f>HYPERLINK("https://atlas.etsycorp.com/listing/1500575255/lookup", "link")</f>
        <v/>
      </c>
      <c r="F1043" t="inlineStr">
        <is>
          <t>Rouge à lèvres marocain, (fabriqué à partir de matières organiques)</t>
        </is>
      </c>
      <c r="G1043" t="inlineStr">
        <is>
          <t>EuzBD9_lcW02dTyqZUguflcwPmf3</t>
        </is>
      </c>
      <c r="H1043" t="inlineStr">
        <is>
          <t>web</t>
        </is>
      </c>
      <c r="I1043" t="inlineStr">
        <is>
          <t>fr</t>
        </is>
      </c>
      <c r="J1043" t="inlineStr">
        <is>
          <t>intl-fr</t>
        </is>
      </c>
      <c r="K1043" t="b">
        <v>1</v>
      </c>
      <c r="L1043" t="inlineStr">
        <is>
          <t>relevant</t>
        </is>
      </c>
      <c r="M1043" t="inlineStr">
        <is>
          <t>relevant</t>
        </is>
      </c>
      <c r="N1043" t="inlineStr">
        <is>
          <t>partial</t>
        </is>
      </c>
      <c r="O1043" t="inlineStr">
        <is>
          <t>relevant</t>
        </is>
      </c>
      <c r="P1043" t="b">
        <v>1</v>
      </c>
    </row>
    <row r="1044">
      <c r="A1044" t="inlineStr">
        <is>
          <t>ciondoli</t>
        </is>
      </c>
      <c r="B1044" t="inlineStr">
        <is>
          <t>pendants</t>
        </is>
      </c>
      <c r="C1044" t="n">
        <v>1033876173</v>
      </c>
      <c r="D1044">
        <f>HYPERLINK("https://www.etsy.com/listing/1033876173", "link")</f>
        <v/>
      </c>
      <c r="E1044">
        <f>HYPERLINK("https://atlas.etsycorp.com/listing/1033876173/lookup", "link")</f>
        <v/>
      </c>
      <c r="F1044" t="inlineStr">
        <is>
          <t>Pendant for chain, pendant made of gold, small pendant gold, pendant without chain, chain pendant gold, gift small item for women</t>
        </is>
      </c>
      <c r="G1044" t="inlineStr">
        <is>
          <t>EuZ3Rrd9qU5snxzU1yMUq6T4LZdd</t>
        </is>
      </c>
      <c r="H1044" t="inlineStr">
        <is>
          <t>web</t>
        </is>
      </c>
      <c r="I1044" t="inlineStr">
        <is>
          <t>it</t>
        </is>
      </c>
      <c r="J1044" t="inlineStr">
        <is>
          <t>intl-it</t>
        </is>
      </c>
      <c r="K1044" t="b">
        <v>1</v>
      </c>
      <c r="L1044" t="inlineStr">
        <is>
          <t>relevant</t>
        </is>
      </c>
      <c r="M1044" t="inlineStr">
        <is>
          <t>relevant</t>
        </is>
      </c>
      <c r="N1044" t="inlineStr">
        <is>
          <t>relevant</t>
        </is>
      </c>
      <c r="O1044" t="inlineStr">
        <is>
          <t>relevant</t>
        </is>
      </c>
      <c r="P1044" t="b">
        <v>1</v>
      </c>
    </row>
    <row r="1045">
      <c r="A1045" t="inlineStr">
        <is>
          <t>bracelet chatm pandora me</t>
        </is>
      </c>
      <c r="B1045" t="inlineStr">
        <is>
          <t>pandora me chatm bracelet</t>
        </is>
      </c>
      <c r="C1045" t="n">
        <v>1701528198</v>
      </c>
      <c r="D1045">
        <f>HYPERLINK("https://www.etsy.com/listing/1701528198", "link")</f>
        <v/>
      </c>
      <c r="E1045">
        <f>HYPERLINK("https://atlas.etsycorp.com/listing/1701528198/lookup", "link")</f>
        <v/>
      </c>
      <c r="F1045" t="inlineStr">
        <is>
          <t>ME Burning Wings Mini Dangle Charm Fits ME &amp; Essence Bracelet Gift for Her Fashion Jewelry Girl Gift 925 Silver Small Hole (2.5mm)</t>
        </is>
      </c>
      <c r="G1045" t="inlineStr">
        <is>
          <t>EullAYOCO6dS43w4VYBG4wuy9dec</t>
        </is>
      </c>
      <c r="H1045" t="inlineStr">
        <is>
          <t>web</t>
        </is>
      </c>
      <c r="I1045" t="inlineStr">
        <is>
          <t>fr</t>
        </is>
      </c>
      <c r="J1045" t="inlineStr">
        <is>
          <t>intl-fr</t>
        </is>
      </c>
      <c r="K1045" t="b">
        <v>1</v>
      </c>
      <c r="L1045" t="inlineStr">
        <is>
          <t>partial</t>
        </is>
      </c>
      <c r="M1045" t="inlineStr">
        <is>
          <t>partial</t>
        </is>
      </c>
      <c r="N1045" t="inlineStr">
        <is>
          <t>relevant</t>
        </is>
      </c>
      <c r="O1045" t="inlineStr">
        <is>
          <t>partial</t>
        </is>
      </c>
      <c r="P1045" t="b">
        <v>1</v>
      </c>
    </row>
    <row r="1046">
      <c r="A1046" t="inlineStr">
        <is>
          <t>coastal mug</t>
        </is>
      </c>
      <c r="B1046" t="inlineStr"/>
      <c r="C1046" t="n">
        <v>1566733019</v>
      </c>
      <c r="D1046">
        <f>HYPERLINK("https://www.etsy.com/listing/1566733019", "link")</f>
        <v/>
      </c>
      <c r="E1046">
        <f>HYPERLINK("https://atlas.etsycorp.com/listing/1566733019/lookup", "link")</f>
        <v/>
      </c>
      <c r="F1046" t="inlineStr">
        <is>
          <t>Best Friends Coastal Cowgirls Mug Wrap, Western Boho Mug Design, 11oz Mug Wrap, 15oz Mug Wrap, 3D Mug Sublimation, 3D Mug Template</t>
        </is>
      </c>
      <c r="G1046" t="inlineStr">
        <is>
          <t>EuUPL4GSLXWnnSvwKTkCCv-3zzbb</t>
        </is>
      </c>
      <c r="H1046" t="inlineStr">
        <is>
          <t>web</t>
        </is>
      </c>
      <c r="I1046" t="inlineStr">
        <is>
          <t>en-US</t>
        </is>
      </c>
      <c r="J1046" t="inlineStr">
        <is>
          <t>us_v2-direct_unspecified</t>
        </is>
      </c>
      <c r="K1046" t="b">
        <v>1</v>
      </c>
      <c r="L1046" t="inlineStr">
        <is>
          <t>partial</t>
        </is>
      </c>
      <c r="M1046" t="inlineStr">
        <is>
          <t>partial</t>
        </is>
      </c>
      <c r="N1046" t="inlineStr">
        <is>
          <t>partial</t>
        </is>
      </c>
      <c r="O1046" t="inlineStr">
        <is>
          <t>relevant</t>
        </is>
      </c>
      <c r="P1046" t="b">
        <v>1</v>
      </c>
    </row>
    <row r="1047">
      <c r="A1047" t="inlineStr">
        <is>
          <t>dainty ring silver</t>
        </is>
      </c>
      <c r="B1047" t="inlineStr"/>
      <c r="C1047" t="n">
        <v>888908954</v>
      </c>
      <c r="D1047">
        <f>HYPERLINK("https://www.etsy.com/listing/888908954", "link")</f>
        <v/>
      </c>
      <c r="E1047">
        <f>HYPERLINK("https://atlas.etsycorp.com/listing/888908954/lookup", "link")</f>
        <v/>
      </c>
      <c r="F1047" t="inlineStr">
        <is>
          <t>Pearl ring| Minimalist ring|Thin ring |Tiny ring|Simple ring |stacking ring|gift for her|Dainty ring|Shiny ring|</t>
        </is>
      </c>
      <c r="G1047" t="inlineStr">
        <is>
          <t>Eukp46GNFWZL5fNJtv3XNllvjmd8</t>
        </is>
      </c>
      <c r="H1047" t="inlineStr">
        <is>
          <t>web</t>
        </is>
      </c>
      <c r="I1047" t="inlineStr">
        <is>
          <t>en-US</t>
        </is>
      </c>
      <c r="J1047" t="inlineStr">
        <is>
          <t>us_v2-direct_specified</t>
        </is>
      </c>
      <c r="K1047" t="b">
        <v>1</v>
      </c>
      <c r="L1047" t="inlineStr">
        <is>
          <t>partial</t>
        </is>
      </c>
      <c r="M1047" t="inlineStr">
        <is>
          <t>partial</t>
        </is>
      </c>
      <c r="N1047" t="inlineStr">
        <is>
          <t>partial</t>
        </is>
      </c>
      <c r="O1047" t="inlineStr">
        <is>
          <t>relevant</t>
        </is>
      </c>
      <c r="P1047" t="b">
        <v>1</v>
      </c>
    </row>
    <row r="1048">
      <c r="A1048" t="inlineStr">
        <is>
          <t>cherry coke</t>
        </is>
      </c>
      <c r="B1048" t="inlineStr"/>
      <c r="C1048" t="n">
        <v>1628103594</v>
      </c>
      <c r="D1048">
        <f>HYPERLINK("https://www.etsy.com/listing/1628103594", "link")</f>
        <v/>
      </c>
      <c r="E1048">
        <f>HYPERLINK("https://atlas.etsycorp.com/listing/1628103594/lookup", "link")</f>
        <v/>
      </c>
      <c r="F1048" t="inlineStr">
        <is>
          <t>Life Happens Coca Cola Coke Helps Soda PNG &amp; JPG Files Iron Transfer Heat Press Sublimation Tshirts Tumblers Mugs</t>
        </is>
      </c>
      <c r="G1048" t="inlineStr">
        <is>
          <t>EuKlIbTTwvwWItyUCbrcBjrgKz38</t>
        </is>
      </c>
      <c r="H1048" t="inlineStr">
        <is>
          <t>web</t>
        </is>
      </c>
      <c r="I1048" t="inlineStr">
        <is>
          <t>en-US</t>
        </is>
      </c>
      <c r="J1048" t="inlineStr">
        <is>
          <t>us_v2-direct_specified</t>
        </is>
      </c>
      <c r="K1048" t="b">
        <v>1</v>
      </c>
      <c r="L1048" t="inlineStr">
        <is>
          <t>partial</t>
        </is>
      </c>
      <c r="M1048" t="inlineStr">
        <is>
          <t>relevant</t>
        </is>
      </c>
      <c r="N1048" t="inlineStr">
        <is>
          <t>partial</t>
        </is>
      </c>
      <c r="O1048" t="inlineStr">
        <is>
          <t>partial</t>
        </is>
      </c>
      <c r="P1048" t="b">
        <v>1</v>
      </c>
    </row>
    <row r="1049">
      <c r="A1049" t="inlineStr">
        <is>
          <t>bluey sweater</t>
        </is>
      </c>
      <c r="B1049" t="inlineStr"/>
      <c r="C1049" t="n">
        <v>1585755426</v>
      </c>
      <c r="D1049">
        <f>HYPERLINK("https://www.etsy.com/listing/1585755426", "link")</f>
        <v/>
      </c>
      <c r="E1049">
        <f>HYPERLINK("https://atlas.etsycorp.com/listing/1585755426/lookup", "link")</f>
        <v/>
      </c>
      <c r="F1049" t="inlineStr">
        <is>
          <t>Blue.y Mum, Dad, Sweatshirt, Crew Neck, Blue Dog, Chilli, Bandit, T-Shirt</t>
        </is>
      </c>
      <c r="G1049" t="inlineStr">
        <is>
          <t>EuH1CpyfuBhxpP3VwEypNcuOld8d</t>
        </is>
      </c>
      <c r="H1049" t="inlineStr">
        <is>
          <t>boe</t>
        </is>
      </c>
      <c r="I1049" t="inlineStr">
        <is>
          <t>en-US</t>
        </is>
      </c>
      <c r="J1049" t="inlineStr">
        <is>
          <t>us_v2-direct_specified</t>
        </is>
      </c>
      <c r="K1049" t="b">
        <v>1</v>
      </c>
      <c r="L1049" t="inlineStr">
        <is>
          <t>relevant</t>
        </is>
      </c>
      <c r="M1049" t="inlineStr">
        <is>
          <t>relevant</t>
        </is>
      </c>
      <c r="N1049" t="inlineStr">
        <is>
          <t>relevant</t>
        </is>
      </c>
      <c r="O1049" t="inlineStr">
        <is>
          <t>relevant</t>
        </is>
      </c>
      <c r="P1049" t="b">
        <v>1</v>
      </c>
    </row>
    <row r="1050">
      <c r="A1050" t="inlineStr">
        <is>
          <t>journee naturelle</t>
        </is>
      </c>
      <c r="B1050" t="inlineStr"/>
      <c r="C1050" t="n">
        <v>1341831849</v>
      </c>
      <c r="D1050">
        <f>HYPERLINK("https://www.etsy.com/listing/1341831849", "link")</f>
        <v/>
      </c>
      <c r="E1050">
        <f>HYPERLINK("https://atlas.etsycorp.com/listing/1341831849/lookup", "link")</f>
        <v/>
      </c>
      <c r="F1050" t="inlineStr">
        <is>
          <t>Wooden Pine Cone Modern Chandelier Lamp - Wood Pendant Light - Dining Room Lampshade - Pineapple Shape Luminaire - Round Ceiling Lighting</t>
        </is>
      </c>
      <c r="G1050" t="inlineStr">
        <is>
          <t>EuAN0pi_94FXsexKyxZCjAKaM_95</t>
        </is>
      </c>
      <c r="H1050" t="inlineStr">
        <is>
          <t>web</t>
        </is>
      </c>
      <c r="I1050" t="inlineStr">
        <is>
          <t>en-US</t>
        </is>
      </c>
      <c r="J1050" t="inlineStr">
        <is>
          <t>us_v2-broad</t>
        </is>
      </c>
      <c r="K1050" t="b">
        <v>1</v>
      </c>
      <c r="L1050" t="inlineStr">
        <is>
          <t>not_relevant</t>
        </is>
      </c>
      <c r="M1050" t="inlineStr">
        <is>
          <t>not_relevant</t>
        </is>
      </c>
      <c r="N1050" t="inlineStr">
        <is>
          <t>not_relevant</t>
        </is>
      </c>
      <c r="O1050" t="inlineStr">
        <is>
          <t>not_relevant</t>
        </is>
      </c>
      <c r="P1050" t="b">
        <v>1</v>
      </c>
    </row>
    <row r="1051">
      <c r="A1051" t="inlineStr">
        <is>
          <t>F*CK CANCER sticker</t>
        </is>
      </c>
      <c r="B1051" t="inlineStr"/>
      <c r="C1051" t="n">
        <v>1347432917</v>
      </c>
      <c r="D1051">
        <f>HYPERLINK("https://www.etsy.com/listing/1347432917", "link")</f>
        <v/>
      </c>
      <c r="E1051">
        <f>HYPERLINK("https://atlas.etsycorp.com/listing/1347432917/lookup", "link")</f>
        <v/>
      </c>
      <c r="F1051" t="inlineStr">
        <is>
          <t>F*CK CANCER Decal • Custom Vinyl • Fuck Cancer Breast Health Survivor Gift Idea • Cartoon Skull • Car Truck Van Vehicle Window Sticker</t>
        </is>
      </c>
      <c r="G1051" t="inlineStr">
        <is>
          <t>EuLiCHKq7Dj5RTWhFepqYEAj4v21</t>
        </is>
      </c>
      <c r="H1051" t="inlineStr">
        <is>
          <t>boe</t>
        </is>
      </c>
      <c r="I1051" t="inlineStr">
        <is>
          <t>en-US</t>
        </is>
      </c>
      <c r="J1051" t="inlineStr">
        <is>
          <t>us_v2-direct_specified</t>
        </is>
      </c>
      <c r="K1051" t="b">
        <v>1</v>
      </c>
      <c r="L1051" t="inlineStr">
        <is>
          <t>relevant</t>
        </is>
      </c>
      <c r="M1051" t="inlineStr">
        <is>
          <t>relevant</t>
        </is>
      </c>
      <c r="N1051" t="inlineStr">
        <is>
          <t>relevant</t>
        </is>
      </c>
      <c r="O1051" t="inlineStr">
        <is>
          <t>relevant</t>
        </is>
      </c>
      <c r="P1051" t="b">
        <v>1</v>
      </c>
    </row>
    <row r="1052">
      <c r="A1052" t="inlineStr">
        <is>
          <t>Find shirts</t>
        </is>
      </c>
      <c r="B1052" t="inlineStr">
        <is>
          <t>Find shirts</t>
        </is>
      </c>
      <c r="C1052" t="n">
        <v>1717274503</v>
      </c>
      <c r="D1052">
        <f>HYPERLINK("https://www.etsy.com/listing/1717274503", "link")</f>
        <v/>
      </c>
      <c r="E1052">
        <f>HYPERLINK("https://atlas.etsycorp.com/listing/1717274503/lookup", "link")</f>
        <v/>
      </c>
      <c r="F1052" t="inlineStr">
        <is>
          <t>Adventure Awaits Let&amp;#39;s Go Find It Shirt, Adventure Awaits Shirt, Adventure Shirt, Mountain Shirt, Hiking Shirt, Nature Shirt, Camping Shirt</t>
        </is>
      </c>
      <c r="G1052" t="inlineStr">
        <is>
          <t>Eu9KnGYUddsOQ_3XzbOQ0Uqc6Dcd</t>
        </is>
      </c>
      <c r="H1052" t="inlineStr">
        <is>
          <t>web</t>
        </is>
      </c>
      <c r="I1052" t="inlineStr">
        <is>
          <t>es</t>
        </is>
      </c>
      <c r="J1052" t="inlineStr">
        <is>
          <t>intl-es</t>
        </is>
      </c>
      <c r="K1052" t="b">
        <v>1</v>
      </c>
      <c r="L1052" t="inlineStr">
        <is>
          <t>relevant</t>
        </is>
      </c>
      <c r="M1052" t="inlineStr">
        <is>
          <t>relevant</t>
        </is>
      </c>
      <c r="N1052" t="inlineStr">
        <is>
          <t>partial</t>
        </is>
      </c>
      <c r="O1052" t="inlineStr">
        <is>
          <t>relevant</t>
        </is>
      </c>
      <c r="P1052" t="b">
        <v>1</v>
      </c>
    </row>
    <row r="1053">
      <c r="A1053" t="inlineStr">
        <is>
          <t>echarpe triangle</t>
        </is>
      </c>
      <c r="B1053" t="inlineStr">
        <is>
          <t>triangle scarf</t>
        </is>
      </c>
      <c r="C1053" t="n">
        <v>1657234248</v>
      </c>
      <c r="D1053">
        <f>HYPERLINK("https://www.etsy.com/listing/1657234248", "link")</f>
        <v/>
      </c>
      <c r="E1053">
        <f>HYPERLINK("https://atlas.etsycorp.com/listing/1657234248/lookup", "link")</f>
        <v/>
      </c>
      <c r="F1053" t="inlineStr">
        <is>
          <t>Hand knitted tapered sophie scarf in cream and brown sequin wool acrylic yarn (2 colours available)</t>
        </is>
      </c>
      <c r="G1053" t="inlineStr">
        <is>
          <t>EuHMADbLaTX7rs2r6Frilwd6ORb8</t>
        </is>
      </c>
      <c r="H1053" t="inlineStr">
        <is>
          <t>web</t>
        </is>
      </c>
      <c r="I1053" t="inlineStr">
        <is>
          <t>fr</t>
        </is>
      </c>
      <c r="J1053" t="inlineStr">
        <is>
          <t>intl-fr</t>
        </is>
      </c>
      <c r="K1053" t="b">
        <v>1</v>
      </c>
      <c r="L1053" t="inlineStr">
        <is>
          <t>relevant</t>
        </is>
      </c>
      <c r="M1053" t="inlineStr">
        <is>
          <t>partial</t>
        </is>
      </c>
      <c r="N1053" t="inlineStr">
        <is>
          <t>relevant</t>
        </is>
      </c>
      <c r="O1053" t="inlineStr">
        <is>
          <t>relevant</t>
        </is>
      </c>
      <c r="P1053" t="b">
        <v>1</v>
      </c>
    </row>
    <row r="1054">
      <c r="A1054" t="inlineStr">
        <is>
          <t>sleep token</t>
        </is>
      </c>
      <c r="B1054" t="inlineStr"/>
      <c r="C1054" t="n">
        <v>1512355905</v>
      </c>
      <c r="D1054">
        <f>HYPERLINK("https://www.etsy.com/listing/1512355905", "link")</f>
        <v/>
      </c>
      <c r="E1054">
        <f>HYPERLINK("https://atlas.etsycorp.com/listing/1512355905/lookup", "link")</f>
        <v/>
      </c>
      <c r="F1054" t="inlineStr">
        <is>
          <t>BLEGHSSED Sticker Decal for Metal Band Fans - Pixelated Font Variation</t>
        </is>
      </c>
      <c r="G1054" t="inlineStr">
        <is>
          <t>Eu-KMRsO14JIUVRf6qDwWaAgJFe0</t>
        </is>
      </c>
      <c r="H1054" t="inlineStr">
        <is>
          <t>web</t>
        </is>
      </c>
      <c r="I1054" t="inlineStr">
        <is>
          <t>en-US</t>
        </is>
      </c>
      <c r="J1054" t="inlineStr">
        <is>
          <t>us_v2-direct_unspecified</t>
        </is>
      </c>
      <c r="K1054" t="b">
        <v>1</v>
      </c>
      <c r="L1054" t="inlineStr">
        <is>
          <t>not_relevant</t>
        </is>
      </c>
      <c r="M1054" t="inlineStr">
        <is>
          <t>not_relevant</t>
        </is>
      </c>
      <c r="N1054" t="inlineStr">
        <is>
          <t>not_relevant</t>
        </is>
      </c>
      <c r="O1054" t="inlineStr">
        <is>
          <t>partial</t>
        </is>
      </c>
      <c r="P1054" t="b">
        <v>1</v>
      </c>
    </row>
    <row r="1055">
      <c r="A1055" t="inlineStr">
        <is>
          <t>scrubbies</t>
        </is>
      </c>
      <c r="B1055" t="inlineStr"/>
      <c r="C1055" t="n">
        <v>1500276398</v>
      </c>
      <c r="D1055">
        <f>HYPERLINK("https://www.etsy.com/listing/1500276398", "link")</f>
        <v/>
      </c>
      <c r="E1055">
        <f>HYPERLINK("https://atlas.etsycorp.com/listing/1500276398/lookup", "link")</f>
        <v/>
      </c>
      <c r="F1055" t="inlineStr">
        <is>
          <t>Dish Scrubbies Scrubber Scrubbie Scrubby Sponge Reusable Dragon Year of Dragon Amigurumi Gift Idea Handmade Korean Susemi Yarn</t>
        </is>
      </c>
      <c r="G1055" t="inlineStr">
        <is>
          <t>EuusYu3zgduXWEvyaHSrA4TLjn30</t>
        </is>
      </c>
      <c r="H1055" t="inlineStr">
        <is>
          <t>web</t>
        </is>
      </c>
      <c r="I1055" t="inlineStr">
        <is>
          <t>en-US</t>
        </is>
      </c>
      <c r="J1055" t="inlineStr">
        <is>
          <t>us_v2-direct_unspecified</t>
        </is>
      </c>
      <c r="K1055" t="b">
        <v>1</v>
      </c>
      <c r="L1055" t="inlineStr">
        <is>
          <t>relevant</t>
        </is>
      </c>
      <c r="M1055" t="inlineStr">
        <is>
          <t>relevant</t>
        </is>
      </c>
      <c r="N1055" t="inlineStr">
        <is>
          <t>relevant</t>
        </is>
      </c>
      <c r="O1055" t="inlineStr">
        <is>
          <t>relevant</t>
        </is>
      </c>
      <c r="P1055" t="b">
        <v>1</v>
      </c>
    </row>
    <row r="1056">
      <c r="A1056" t="inlineStr">
        <is>
          <t>personalized gifts for women</t>
        </is>
      </c>
      <c r="B1056" t="inlineStr"/>
      <c r="C1056" t="n">
        <v>1352058893</v>
      </c>
      <c r="D1056">
        <f>HYPERLINK("https://www.etsy.com/listing/1352058893", "link")</f>
        <v/>
      </c>
      <c r="E1056">
        <f>HYPERLINK("https://atlas.etsycorp.com/listing/1352058893/lookup", "link")</f>
        <v/>
      </c>
      <c r="F1056" t="inlineStr">
        <is>
          <t>Diamond Constellation Ring, 14k Solid Gold Celestial Ring, Dainty Stacking Rings for Women, Minimalist Star Ring, Ultra Thin Everyday Ring</t>
        </is>
      </c>
      <c r="G1056" t="inlineStr">
        <is>
          <t>Eu0kq4j9M7r2q1cQPv9JOaRELic2</t>
        </is>
      </c>
      <c r="H1056" t="inlineStr">
        <is>
          <t>boe</t>
        </is>
      </c>
      <c r="I1056" t="inlineStr">
        <is>
          <t>en-GB</t>
        </is>
      </c>
      <c r="J1056" t="inlineStr">
        <is>
          <t>us_v2-gift</t>
        </is>
      </c>
      <c r="K1056" t="b">
        <v>1</v>
      </c>
      <c r="L1056" t="inlineStr">
        <is>
          <t>not_relevant</t>
        </is>
      </c>
      <c r="M1056" t="inlineStr">
        <is>
          <t>not_relevant</t>
        </is>
      </c>
      <c r="N1056" t="inlineStr">
        <is>
          <t>not_relevant</t>
        </is>
      </c>
      <c r="O1056" t="inlineStr">
        <is>
          <t>not_relevant</t>
        </is>
      </c>
      <c r="P1056" t="b">
        <v>1</v>
      </c>
    </row>
    <row r="1057">
      <c r="A1057" t="inlineStr">
        <is>
          <t>briard gold glasses</t>
        </is>
      </c>
      <c r="B1057" t="inlineStr"/>
      <c r="C1057" t="n">
        <v>1669855904</v>
      </c>
      <c r="D1057">
        <f>HYPERLINK("https://www.etsy.com/listing/1669855904", "link")</f>
        <v/>
      </c>
      <c r="E1057">
        <f>HYPERLINK("https://atlas.etsycorp.com/listing/1669855904/lookup", "link")</f>
        <v/>
      </c>
      <c r="F1057" t="inlineStr">
        <is>
          <t>Georges Briard Barware Snakeskin Highball Glasses Set of 6 ~ Vintage 1970s Barware ~ Brown &amp; 22k Gold Snakeskin Pattern ~ VintageSouthwest</t>
        </is>
      </c>
      <c r="G1057" t="inlineStr">
        <is>
          <t>EuVyv1hIvnaqH_MZJF0tLzBlY292</t>
        </is>
      </c>
      <c r="H1057" t="inlineStr">
        <is>
          <t>boe</t>
        </is>
      </c>
      <c r="I1057" t="inlineStr">
        <is>
          <t>en-US</t>
        </is>
      </c>
      <c r="J1057" t="inlineStr">
        <is>
          <t>us_v2-direct_specified</t>
        </is>
      </c>
      <c r="K1057" t="b">
        <v>1</v>
      </c>
      <c r="L1057" t="inlineStr">
        <is>
          <t>relevant</t>
        </is>
      </c>
      <c r="M1057" t="inlineStr">
        <is>
          <t>relevant</t>
        </is>
      </c>
      <c r="N1057" t="inlineStr">
        <is>
          <t>relevant</t>
        </is>
      </c>
      <c r="O1057" t="inlineStr">
        <is>
          <t>relevant</t>
        </is>
      </c>
      <c r="P1057" t="b">
        <v>1</v>
      </c>
    </row>
    <row r="1058">
      <c r="A1058" t="inlineStr">
        <is>
          <t>drink gifts for men</t>
        </is>
      </c>
      <c r="B1058" t="inlineStr"/>
      <c r="C1058" t="n">
        <v>1062855384</v>
      </c>
      <c r="D1058">
        <f>HYPERLINK("https://www.etsy.com/listing/1062855384", "link")</f>
        <v/>
      </c>
      <c r="E1058">
        <f>HYPERLINK("https://atlas.etsycorp.com/listing/1062855384/lookup", "link")</f>
        <v/>
      </c>
      <c r="F1058" t="inlineStr">
        <is>
          <t>Gift Boxed Engraved Birthday 500ml Beer Mug and Leatherette Barmate</t>
        </is>
      </c>
      <c r="G1058" t="inlineStr">
        <is>
          <t>EughPXklylwBAxtViEJEN9rWTIeb</t>
        </is>
      </c>
      <c r="H1058" t="inlineStr">
        <is>
          <t>web</t>
        </is>
      </c>
      <c r="I1058" t="inlineStr">
        <is>
          <t>en-US</t>
        </is>
      </c>
      <c r="J1058" t="inlineStr">
        <is>
          <t>us_v2-gift</t>
        </is>
      </c>
      <c r="K1058" t="b">
        <v>1</v>
      </c>
      <c r="L1058" t="inlineStr">
        <is>
          <t>relevant</t>
        </is>
      </c>
      <c r="M1058" t="inlineStr">
        <is>
          <t>relevant</t>
        </is>
      </c>
      <c r="N1058" t="inlineStr">
        <is>
          <t>relevant</t>
        </is>
      </c>
      <c r="O1058" t="inlineStr">
        <is>
          <t>relevant</t>
        </is>
      </c>
      <c r="P1058" t="b">
        <v>1</v>
      </c>
    </row>
    <row r="1059">
      <c r="A1059" t="inlineStr">
        <is>
          <t>valentines gift for him gamer</t>
        </is>
      </c>
      <c r="B1059" t="inlineStr"/>
      <c r="C1059" t="n">
        <v>1030153436</v>
      </c>
      <c r="D1059">
        <f>HYPERLINK("https://www.etsy.com/listing/1030153436", "link")</f>
        <v/>
      </c>
      <c r="E1059">
        <f>HYPERLINK("https://atlas.etsycorp.com/listing/1030153436/lookup", "link")</f>
        <v/>
      </c>
      <c r="F1059" t="inlineStr">
        <is>
          <t>Date Night Olympics Game, Double Date, Minute to Win It, Couples Game, Two Player Game, Shower Gift, Game Night, Couples Game Night</t>
        </is>
      </c>
      <c r="G1059" t="inlineStr">
        <is>
          <t>EupTxffJfk_hXvMZ-03LHuPWhn1b</t>
        </is>
      </c>
      <c r="H1059" t="inlineStr">
        <is>
          <t>web</t>
        </is>
      </c>
      <c r="I1059" t="inlineStr">
        <is>
          <t>en-US</t>
        </is>
      </c>
      <c r="J1059" t="inlineStr">
        <is>
          <t>us_v2-gift</t>
        </is>
      </c>
      <c r="K1059" t="b">
        <v>1</v>
      </c>
      <c r="L1059" t="inlineStr">
        <is>
          <t>not_relevant</t>
        </is>
      </c>
      <c r="M1059" t="inlineStr">
        <is>
          <t>not_relevant</t>
        </is>
      </c>
      <c r="N1059" t="inlineStr">
        <is>
          <t>not_relevant</t>
        </is>
      </c>
      <c r="O1059" t="inlineStr">
        <is>
          <t>not_relevant</t>
        </is>
      </c>
      <c r="P1059" t="b">
        <v>1</v>
      </c>
    </row>
    <row r="1060">
      <c r="A1060" t="inlineStr">
        <is>
          <t>casco bebe</t>
        </is>
      </c>
      <c r="B1060" t="inlineStr">
        <is>
          <t>baby helmet</t>
        </is>
      </c>
      <c r="C1060" t="n">
        <v>793867052</v>
      </c>
      <c r="D1060">
        <f>HYPERLINK("https://www.etsy.com/listing/793867052", "link")</f>
        <v/>
      </c>
      <c r="E1060">
        <f>HYPERLINK("https://atlas.etsycorp.com/listing/793867052/lookup", "link")</f>
        <v/>
      </c>
      <c r="F1060" t="inlineStr">
        <is>
          <t xml:space="preserve">Custom design doc band decoration decals, stickers, cranial helmet, Starband, docband, Plagio , flat head for baby Roundmyhead </t>
        </is>
      </c>
      <c r="G1060" t="inlineStr">
        <is>
          <t>Eu54o431q3vCPZb2vX09Tx8IsB13</t>
        </is>
      </c>
      <c r="H1060" t="inlineStr">
        <is>
          <t>boe</t>
        </is>
      </c>
      <c r="I1060" t="inlineStr">
        <is>
          <t>es</t>
        </is>
      </c>
      <c r="J1060" t="inlineStr">
        <is>
          <t>intl-es</t>
        </is>
      </c>
      <c r="K1060" t="b">
        <v>1</v>
      </c>
      <c r="L1060" t="inlineStr">
        <is>
          <t>partial</t>
        </is>
      </c>
      <c r="M1060" t="inlineStr">
        <is>
          <t>partial</t>
        </is>
      </c>
      <c r="N1060" t="inlineStr">
        <is>
          <t>relevant</t>
        </is>
      </c>
      <c r="O1060" t="inlineStr">
        <is>
          <t>partial</t>
        </is>
      </c>
      <c r="P1060" t="b">
        <v>1</v>
      </c>
    </row>
    <row r="1061">
      <c r="A1061" t="inlineStr">
        <is>
          <t>conan gray bracelet</t>
        </is>
      </c>
      <c r="B1061" t="inlineStr"/>
      <c r="C1061" t="n">
        <v>1566549382</v>
      </c>
      <c r="D1061">
        <f>HYPERLINK("https://www.etsy.com/listing/1566549382", "link")</f>
        <v/>
      </c>
      <c r="E1061">
        <f>HYPERLINK("https://atlas.etsycorp.com/listing/1566549382/lookup", "link")</f>
        <v/>
      </c>
      <c r="F1061" t="inlineStr">
        <is>
          <t>bitch crop top baby tee t-shirt (multiple colors)</t>
        </is>
      </c>
      <c r="G1061" t="inlineStr">
        <is>
          <t>EuhVyKo1_EyNZqbMvLxlJgiBuq0c</t>
        </is>
      </c>
      <c r="H1061" t="inlineStr">
        <is>
          <t>web</t>
        </is>
      </c>
      <c r="I1061" t="inlineStr">
        <is>
          <t>en-US</t>
        </is>
      </c>
      <c r="J1061" t="inlineStr">
        <is>
          <t>us_v2-direct_specified</t>
        </is>
      </c>
      <c r="K1061" t="b">
        <v>1</v>
      </c>
      <c r="L1061" t="inlineStr">
        <is>
          <t>not_relevant</t>
        </is>
      </c>
      <c r="M1061" t="inlineStr">
        <is>
          <t>not_relevant</t>
        </is>
      </c>
      <c r="N1061" t="inlineStr">
        <is>
          <t>not_relevant</t>
        </is>
      </c>
      <c r="O1061" t="inlineStr">
        <is>
          <t>not_relevant</t>
        </is>
      </c>
      <c r="P1061" t="b">
        <v>1</v>
      </c>
    </row>
    <row r="1062">
      <c r="A1062" t="inlineStr">
        <is>
          <t>cone top beer can</t>
        </is>
      </c>
      <c r="B1062" t="inlineStr"/>
      <c r="C1062" t="n">
        <v>1606177556</v>
      </c>
      <c r="D1062">
        <f>HYPERLINK("https://www.etsy.com/listing/1606177556", "link")</f>
        <v/>
      </c>
      <c r="E1062">
        <f>HYPERLINK("https://atlas.etsycorp.com/listing/1606177556/lookup", "link")</f>
        <v/>
      </c>
      <c r="F1062" t="inlineStr">
        <is>
          <t>Vintage Early 1970&amp;#39;s Czhilispiel Premium Home Brew (Private Stock) Beer 12oz Straight Steel Pull Tab Can, Empty, Shiner, Texas</t>
        </is>
      </c>
      <c r="G1062" t="inlineStr">
        <is>
          <t>Eus12y9WRcBLHYD2IQRjEeIB7-26</t>
        </is>
      </c>
      <c r="H1062" t="inlineStr">
        <is>
          <t>web</t>
        </is>
      </c>
      <c r="I1062" t="inlineStr">
        <is>
          <t>en-US</t>
        </is>
      </c>
      <c r="J1062" t="inlineStr">
        <is>
          <t>us_v2-direct_unspecified</t>
        </is>
      </c>
      <c r="K1062" t="b">
        <v>1</v>
      </c>
      <c r="L1062" t="inlineStr">
        <is>
          <t>partial</t>
        </is>
      </c>
      <c r="M1062" t="inlineStr">
        <is>
          <t>partial</t>
        </is>
      </c>
      <c r="N1062" t="inlineStr">
        <is>
          <t>partial</t>
        </is>
      </c>
      <c r="O1062" t="inlineStr">
        <is>
          <t>partial</t>
        </is>
      </c>
      <c r="P1062" t="b">
        <v>1</v>
      </c>
    </row>
    <row r="1063">
      <c r="A1063" t="inlineStr">
        <is>
          <t>copita india</t>
        </is>
      </c>
      <c r="B1063" t="inlineStr"/>
      <c r="C1063" t="n">
        <v>1457710075</v>
      </c>
      <c r="D1063">
        <f>HYPERLINK("https://www.etsy.com/listing/1457710075", "link")</f>
        <v/>
      </c>
      <c r="E1063">
        <f>HYPERLINK("https://atlas.etsycorp.com/listing/1457710075/lookup", "link")</f>
        <v/>
      </c>
      <c r="F1063" t="inlineStr">
        <is>
          <t>Antique copper lota - a South Asian Indian miniature copper lota vessel of exceptional antique colour, decorated with four dancing figures.</t>
        </is>
      </c>
      <c r="G1063" t="inlineStr">
        <is>
          <t>Eut9AEZmyThe5DncDPiBmz3jAT6f</t>
        </is>
      </c>
      <c r="H1063" t="inlineStr">
        <is>
          <t>web</t>
        </is>
      </c>
      <c r="I1063" t="inlineStr">
        <is>
          <t>en-US</t>
        </is>
      </c>
      <c r="J1063" t="inlineStr">
        <is>
          <t>us_v2-broad</t>
        </is>
      </c>
      <c r="K1063" t="b">
        <v>1</v>
      </c>
      <c r="L1063" t="inlineStr">
        <is>
          <t>not_relevant</t>
        </is>
      </c>
      <c r="M1063" t="inlineStr">
        <is>
          <t>not_relevant</t>
        </is>
      </c>
      <c r="N1063" t="inlineStr">
        <is>
          <t>partial</t>
        </is>
      </c>
      <c r="O1063" t="inlineStr">
        <is>
          <t>not_relevant</t>
        </is>
      </c>
      <c r="P1063" t="b">
        <v>1</v>
      </c>
    </row>
    <row r="1064">
      <c r="A1064" t="inlineStr">
        <is>
          <t>cricut 3d card</t>
        </is>
      </c>
      <c r="B1064" t="inlineStr"/>
      <c r="C1064" t="n">
        <v>1178940660</v>
      </c>
      <c r="D1064">
        <f>HYPERLINK("https://www.etsy.com/listing/1178940660", "link")</f>
        <v/>
      </c>
      <c r="E1064">
        <f>HYPERLINK("https://atlas.etsycorp.com/listing/1178940660/lookup", "link")</f>
        <v/>
      </c>
      <c r="F1064" t="inlineStr">
        <is>
          <t>3D Thank You Card Papercut Template SVG, PDF, JPG Dxf, Layered Paper Mandala Shadowbox card, Hand or Machine cut, Commercial Use</t>
        </is>
      </c>
      <c r="G1064" t="inlineStr">
        <is>
          <t>EuUwJ-d6eyJS3yUWOfi7LWTyTJec</t>
        </is>
      </c>
      <c r="H1064" t="inlineStr">
        <is>
          <t>boe</t>
        </is>
      </c>
      <c r="I1064" t="inlineStr">
        <is>
          <t>en-US</t>
        </is>
      </c>
      <c r="J1064" t="inlineStr">
        <is>
          <t>us_v2-direct_unspecified</t>
        </is>
      </c>
      <c r="K1064" t="b">
        <v>1</v>
      </c>
      <c r="L1064" t="inlineStr">
        <is>
          <t>relevant</t>
        </is>
      </c>
      <c r="M1064" t="inlineStr">
        <is>
          <t>relevant</t>
        </is>
      </c>
      <c r="N1064" t="inlineStr">
        <is>
          <t>partial</t>
        </is>
      </c>
      <c r="O1064" t="inlineStr">
        <is>
          <t>relevant</t>
        </is>
      </c>
      <c r="P1064" t="b">
        <v>1</v>
      </c>
    </row>
    <row r="1065">
      <c r="A1065" t="inlineStr">
        <is>
          <t>chip bag lines crimp</t>
        </is>
      </c>
      <c r="B1065" t="inlineStr"/>
      <c r="C1065" t="n">
        <v>1416182546</v>
      </c>
      <c r="D1065">
        <f>HYPERLINK("https://www.etsy.com/listing/1416182546", "link")</f>
        <v/>
      </c>
      <c r="E1065">
        <f>HYPERLINK("https://atlas.etsycorp.com/listing/1416182546/lookup", "link")</f>
        <v/>
      </c>
      <c r="F1065" t="inlineStr">
        <is>
          <t>Custom Order Chip Bag Label, Chip Bag Template, Birthday Chip Bag, Chip Bag Wrapper, Printable Chip Bags</t>
        </is>
      </c>
      <c r="G1065" t="inlineStr">
        <is>
          <t>Eu6N_Ol4zo1Fhhw5UBWmzB7EqU1a</t>
        </is>
      </c>
      <c r="H1065" t="inlineStr">
        <is>
          <t>web</t>
        </is>
      </c>
      <c r="I1065" t="inlineStr">
        <is>
          <t>en-US</t>
        </is>
      </c>
      <c r="J1065" t="inlineStr">
        <is>
          <t>us_v2-direct_unspecified</t>
        </is>
      </c>
      <c r="K1065" t="b">
        <v>1</v>
      </c>
      <c r="L1065" t="inlineStr">
        <is>
          <t>partial</t>
        </is>
      </c>
      <c r="M1065" t="inlineStr">
        <is>
          <t>partial</t>
        </is>
      </c>
      <c r="N1065" t="inlineStr">
        <is>
          <t>partial</t>
        </is>
      </c>
      <c r="O1065" t="inlineStr">
        <is>
          <t>partial</t>
        </is>
      </c>
      <c r="P1065" t="b">
        <v>1</v>
      </c>
    </row>
    <row r="1066">
      <c r="A1066" t="inlineStr">
        <is>
          <t>funufco ring</t>
        </is>
      </c>
      <c r="B1066" t="inlineStr"/>
      <c r="C1066" t="n">
        <v>906322812</v>
      </c>
      <c r="D1066">
        <f>HYPERLINK("https://www.etsy.com/listing/906322812", "link")</f>
        <v/>
      </c>
      <c r="E1066">
        <f>HYPERLINK("https://atlas.etsycorp.com/listing/906322812/lookup", "link")</f>
        <v/>
      </c>
      <c r="F1066" t="inlineStr">
        <is>
          <t>Genuine Moonstone Ring, Moonstone Silver Ring,  Moonstone Ring, Moon stone Ring, Boho Ring, Rainbow Moonstone Ring, Birthday Gift For Her</t>
        </is>
      </c>
      <c r="G1066" t="inlineStr">
        <is>
          <t>EufMkbo6FOiiz--3_QqDRJ4Q_l45</t>
        </is>
      </c>
      <c r="H1066" t="inlineStr">
        <is>
          <t>web</t>
        </is>
      </c>
      <c r="I1066" t="inlineStr">
        <is>
          <t>en-US</t>
        </is>
      </c>
      <c r="J1066" t="inlineStr">
        <is>
          <t>us_v2-direct_specified</t>
        </is>
      </c>
      <c r="K1066" t="b">
        <v>1</v>
      </c>
      <c r="L1066" t="inlineStr">
        <is>
          <t>partial</t>
        </is>
      </c>
      <c r="M1066" t="inlineStr">
        <is>
          <t>partial</t>
        </is>
      </c>
      <c r="N1066" t="inlineStr">
        <is>
          <t>partial</t>
        </is>
      </c>
      <c r="O1066" t="inlineStr">
        <is>
          <t>partial</t>
        </is>
      </c>
      <c r="P1066" t="b">
        <v>1</v>
      </c>
    </row>
    <row r="1067">
      <c r="A1067" t="inlineStr">
        <is>
          <t>stick people clipart</t>
        </is>
      </c>
      <c r="B1067" t="inlineStr"/>
      <c r="C1067" t="n">
        <v>1485531507</v>
      </c>
      <c r="D1067">
        <f>HYPERLINK("https://www.etsy.com/listing/1485531507", "link")</f>
        <v/>
      </c>
      <c r="E1067">
        <f>HYPERLINK("https://atlas.etsycorp.com/listing/1485531507/lookup", "link")</f>
        <v/>
      </c>
      <c r="F1067" t="inlineStr">
        <is>
          <t>The Love of A Family PNG, Family Sublimation, Instant Download, Floral Family Sign, Mother&amp;#39;s Day Gift, Clipart</t>
        </is>
      </c>
      <c r="G1067" t="inlineStr">
        <is>
          <t>EuhN1rRGOuaVTHELjHiusoJyKj44</t>
        </is>
      </c>
      <c r="H1067" t="inlineStr">
        <is>
          <t>web</t>
        </is>
      </c>
      <c r="I1067" t="inlineStr">
        <is>
          <t>en-US</t>
        </is>
      </c>
      <c r="J1067" t="inlineStr">
        <is>
          <t>us_v2-direct_specified</t>
        </is>
      </c>
      <c r="K1067" t="b">
        <v>1</v>
      </c>
      <c r="L1067" t="inlineStr">
        <is>
          <t>partial</t>
        </is>
      </c>
      <c r="M1067" t="inlineStr">
        <is>
          <t>partial</t>
        </is>
      </c>
      <c r="N1067" t="inlineStr">
        <is>
          <t>partial</t>
        </is>
      </c>
      <c r="O1067" t="inlineStr">
        <is>
          <t>not_relevant</t>
        </is>
      </c>
      <c r="P1067" t="b">
        <v>1</v>
      </c>
    </row>
    <row r="1068">
      <c r="A1068" t="inlineStr">
        <is>
          <t>ledapol</t>
        </is>
      </c>
      <c r="B1068" t="inlineStr">
        <is>
          <t>ledapol</t>
        </is>
      </c>
      <c r="C1068" t="n">
        <v>1222470909</v>
      </c>
      <c r="D1068">
        <f>HYPERLINK("https://www.etsy.com/listing/1222470909", "link")</f>
        <v/>
      </c>
      <c r="E1068">
        <f>HYPERLINK("https://atlas.etsycorp.com/listing/1222470909/lookup", "link")</f>
        <v/>
      </c>
      <c r="F1068" t="inlineStr">
        <is>
          <t>XS-3XL Latex v-neck mini skater dress</t>
        </is>
      </c>
      <c r="G1068" t="inlineStr">
        <is>
          <t>EurjraMhQ5hR5EZx1wjER5PZ3p92</t>
        </is>
      </c>
      <c r="H1068" t="inlineStr">
        <is>
          <t>web</t>
        </is>
      </c>
      <c r="I1068" t="inlineStr">
        <is>
          <t>de</t>
        </is>
      </c>
      <c r="J1068" t="inlineStr">
        <is>
          <t>intl-de</t>
        </is>
      </c>
      <c r="K1068" t="b">
        <v>1</v>
      </c>
      <c r="L1068" t="inlineStr">
        <is>
          <t>not_relevant</t>
        </is>
      </c>
      <c r="M1068" t="inlineStr">
        <is>
          <t>relevant</t>
        </is>
      </c>
      <c r="N1068" t="inlineStr">
        <is>
          <t>not_relevant</t>
        </is>
      </c>
      <c r="O1068" t="inlineStr">
        <is>
          <t>not_relevant</t>
        </is>
      </c>
      <c r="P1068" t="b">
        <v>1</v>
      </c>
    </row>
    <row r="1069">
      <c r="A1069" t="inlineStr">
        <is>
          <t>swedish candy</t>
        </is>
      </c>
      <c r="B1069" t="inlineStr"/>
      <c r="C1069" t="n">
        <v>1388277855</v>
      </c>
      <c r="D1069">
        <f>HYPERLINK("https://www.etsy.com/listing/1388277855", "link")</f>
        <v/>
      </c>
      <c r="E1069">
        <f>HYPERLINK("https://atlas.etsycorp.com/listing/1388277855/lookup", "link")</f>
        <v/>
      </c>
      <c r="F1069" t="inlineStr">
        <is>
          <t>Sweet Heart Mix</t>
        </is>
      </c>
      <c r="G1069" t="inlineStr">
        <is>
          <t>Eucz-f7Zwz8FMZmWa8OiXwRQBOa3</t>
        </is>
      </c>
      <c r="H1069" t="inlineStr">
        <is>
          <t>web</t>
        </is>
      </c>
      <c r="I1069" t="inlineStr">
        <is>
          <t>en-US</t>
        </is>
      </c>
      <c r="J1069" t="inlineStr">
        <is>
          <t>us_v2-broad</t>
        </is>
      </c>
      <c r="K1069" t="b">
        <v>1</v>
      </c>
      <c r="L1069" t="inlineStr">
        <is>
          <t>partial</t>
        </is>
      </c>
      <c r="M1069" t="inlineStr">
        <is>
          <t>partial</t>
        </is>
      </c>
      <c r="N1069" t="inlineStr">
        <is>
          <t>partial</t>
        </is>
      </c>
      <c r="O1069" t="inlineStr">
        <is>
          <t>relevant</t>
        </is>
      </c>
      <c r="P1069" t="b">
        <v>1</v>
      </c>
    </row>
    <row r="1070">
      <c r="A1070" t="inlineStr">
        <is>
          <t>cigar bar</t>
        </is>
      </c>
      <c r="B1070" t="inlineStr"/>
      <c r="C1070" t="n">
        <v>713342554</v>
      </c>
      <c r="D1070">
        <f>HYPERLINK("https://www.etsy.com/listing/713342554", "link")</f>
        <v/>
      </c>
      <c r="E1070">
        <f>HYPERLINK("https://atlas.etsycorp.com/listing/713342554/lookup", "link")</f>
        <v/>
      </c>
      <c r="F1070" t="inlineStr">
        <is>
          <t>Circular Brass Ashtray with imprint of Scotsman</t>
        </is>
      </c>
      <c r="G1070" t="inlineStr">
        <is>
          <t>EuumV_B4MgTXnx08D0TDaEo1wo5b</t>
        </is>
      </c>
      <c r="H1070" t="inlineStr">
        <is>
          <t>web</t>
        </is>
      </c>
      <c r="I1070" t="inlineStr">
        <is>
          <t>en-GB</t>
        </is>
      </c>
      <c r="J1070" t="inlineStr">
        <is>
          <t>us_v2-direct_unspecified</t>
        </is>
      </c>
      <c r="K1070" t="b">
        <v>1</v>
      </c>
      <c r="L1070" t="inlineStr">
        <is>
          <t>not_relevant</t>
        </is>
      </c>
      <c r="M1070" t="inlineStr">
        <is>
          <t>not_relevant</t>
        </is>
      </c>
      <c r="N1070" t="inlineStr">
        <is>
          <t>not_relevant</t>
        </is>
      </c>
      <c r="O1070" t="inlineStr">
        <is>
          <t>partial</t>
        </is>
      </c>
      <c r="P1070" t="b">
        <v>1</v>
      </c>
    </row>
    <row r="1071">
      <c r="A1071" t="inlineStr">
        <is>
          <t>tavolo giardino ferro</t>
        </is>
      </c>
      <c r="B1071" t="inlineStr">
        <is>
          <t>iron garden table</t>
        </is>
      </c>
      <c r="C1071" t="n">
        <v>1529361990</v>
      </c>
      <c r="D1071">
        <f>HYPERLINK("https://www.etsy.com/listing/1529361990", "link")</f>
        <v/>
      </c>
      <c r="E1071">
        <f>HYPERLINK("https://atlas.etsycorp.com/listing/1529361990/lookup", "link")</f>
        <v/>
      </c>
      <c r="F1071" t="inlineStr">
        <is>
          <t>4-seater metal set, a sofa, an armchair, two tables and a terrace and garden bench made of handmade wrought iron Sevilla Model</t>
        </is>
      </c>
      <c r="G1071" t="inlineStr">
        <is>
          <t>Eu6nZ5W6Aqn23hOkwdGmZRWevhfc</t>
        </is>
      </c>
      <c r="H1071" t="inlineStr">
        <is>
          <t>web</t>
        </is>
      </c>
      <c r="I1071" t="inlineStr">
        <is>
          <t>it</t>
        </is>
      </c>
      <c r="J1071" t="inlineStr">
        <is>
          <t>intl-it</t>
        </is>
      </c>
      <c r="K1071" t="b">
        <v>1</v>
      </c>
      <c r="L1071" t="inlineStr">
        <is>
          <t>relevant</t>
        </is>
      </c>
      <c r="M1071" t="inlineStr">
        <is>
          <t>relevant</t>
        </is>
      </c>
      <c r="N1071" t="inlineStr">
        <is>
          <t>relevant</t>
        </is>
      </c>
      <c r="O1071" t="inlineStr">
        <is>
          <t>relevant</t>
        </is>
      </c>
      <c r="P1071" t="b">
        <v>1</v>
      </c>
    </row>
    <row r="1072">
      <c r="A1072" t="inlineStr">
        <is>
          <t>apple candle</t>
        </is>
      </c>
      <c r="B1072" t="inlineStr"/>
      <c r="C1072" t="n">
        <v>932540144</v>
      </c>
      <c r="D1072">
        <f>HYPERLINK("https://www.etsy.com/listing/932540144", "link")</f>
        <v/>
      </c>
      <c r="E1072">
        <f>HYPERLINK("https://atlas.etsycorp.com/listing/932540144/lookup", "link")</f>
        <v/>
      </c>
      <c r="F1072" t="inlineStr">
        <is>
          <t>Customisable Bunny Rabbit Scented Vegan and cruelty Free, Free Standing Candle</t>
        </is>
      </c>
      <c r="G1072" t="inlineStr">
        <is>
          <t>EuT6f91w9LQcG7ITBjOmT6G8Lpa9</t>
        </is>
      </c>
      <c r="H1072" t="inlineStr">
        <is>
          <t>web</t>
        </is>
      </c>
      <c r="I1072" t="inlineStr">
        <is>
          <t>en-GB</t>
        </is>
      </c>
      <c r="J1072" t="inlineStr">
        <is>
          <t>us_v2-direct_specified</t>
        </is>
      </c>
      <c r="K1072" t="b">
        <v>1</v>
      </c>
      <c r="L1072" t="inlineStr">
        <is>
          <t>relevant</t>
        </is>
      </c>
      <c r="M1072" t="inlineStr">
        <is>
          <t>relevant</t>
        </is>
      </c>
      <c r="N1072" t="inlineStr">
        <is>
          <t>relevant</t>
        </is>
      </c>
      <c r="O1072" t="inlineStr">
        <is>
          <t>partial</t>
        </is>
      </c>
      <c r="P1072" t="b">
        <v>1</v>
      </c>
    </row>
    <row r="1073">
      <c r="A1073" t="inlineStr">
        <is>
          <t>hard woods</t>
        </is>
      </c>
      <c r="B1073" t="inlineStr"/>
      <c r="C1073" t="n">
        <v>1439721242</v>
      </c>
      <c r="D1073">
        <f>HYPERLINK("https://www.etsy.com/listing/1439721242", "link")</f>
        <v/>
      </c>
      <c r="E1073">
        <f>HYPERLINK("https://atlas.etsycorp.com/listing/1439721242/lookup", "link")</f>
        <v/>
      </c>
      <c r="F1073" t="inlineStr">
        <is>
          <t>Imported Exotic Hardwood Variety Pack - Padauk, Zebrawood, Purpleheart, and Merbau (3/4&amp;quot; x 2&amp;quot; x 12&amp;quot; (8 Pcs))</t>
        </is>
      </c>
      <c r="G1073" t="inlineStr">
        <is>
          <t>Eu-EbgeV8My0S2b4Uodw3FNbpj54</t>
        </is>
      </c>
      <c r="H1073" t="inlineStr">
        <is>
          <t>boe</t>
        </is>
      </c>
      <c r="I1073" t="inlineStr">
        <is>
          <t>en-US</t>
        </is>
      </c>
      <c r="J1073" t="inlineStr">
        <is>
          <t>us_v2-broad</t>
        </is>
      </c>
      <c r="K1073" t="b">
        <v>1</v>
      </c>
      <c r="L1073" t="inlineStr">
        <is>
          <t>relevant</t>
        </is>
      </c>
      <c r="M1073" t="inlineStr">
        <is>
          <t>relevant</t>
        </is>
      </c>
      <c r="N1073" t="inlineStr">
        <is>
          <t>relevant</t>
        </is>
      </c>
      <c r="O1073" t="inlineStr">
        <is>
          <t>relevant</t>
        </is>
      </c>
      <c r="P1073" t="b">
        <v>1</v>
      </c>
    </row>
    <row r="1074">
      <c r="A1074" t="inlineStr">
        <is>
          <t>led sticks for wedding reception</t>
        </is>
      </c>
      <c r="B1074" t="inlineStr"/>
      <c r="C1074" t="n">
        <v>1462066549</v>
      </c>
      <c r="D1074">
        <f>HYPERLINK("https://www.etsy.com/listing/1462066549", "link")</f>
        <v/>
      </c>
      <c r="E1074">
        <f>HYPERLINK("https://atlas.etsycorp.com/listing/1462066549/lookup", "link")</f>
        <v/>
      </c>
      <c r="F1074" t="inlineStr">
        <is>
          <t>Personalized Wedding Jumbling Tower | Wedding Guest Book | Custom Alternative Guestbook | Wedding Party Games | 5th Anniversary Gifts</t>
        </is>
      </c>
      <c r="G1074" t="inlineStr">
        <is>
          <t>EuBOrU2pxjuIVAwig_KBgSryrrf9</t>
        </is>
      </c>
      <c r="H1074" t="inlineStr">
        <is>
          <t>boe</t>
        </is>
      </c>
      <c r="I1074" t="inlineStr">
        <is>
          <t>en-US</t>
        </is>
      </c>
      <c r="J1074" t="inlineStr">
        <is>
          <t>us_v2-direct_unspecified</t>
        </is>
      </c>
      <c r="K1074" t="b">
        <v>1</v>
      </c>
      <c r="L1074" t="inlineStr">
        <is>
          <t>partial</t>
        </is>
      </c>
      <c r="M1074" t="inlineStr">
        <is>
          <t>partial</t>
        </is>
      </c>
      <c r="N1074" t="inlineStr">
        <is>
          <t>partial</t>
        </is>
      </c>
      <c r="O1074" t="inlineStr">
        <is>
          <t>partial</t>
        </is>
      </c>
      <c r="P1074" t="b">
        <v>1</v>
      </c>
    </row>
    <row r="1075">
      <c r="A1075" t="inlineStr">
        <is>
          <t>kersmik kugel wand</t>
        </is>
      </c>
      <c r="B1075" t="inlineStr">
        <is>
          <t>ceramic ball wall</t>
        </is>
      </c>
      <c r="C1075" t="n">
        <v>987423007</v>
      </c>
      <c r="D1075">
        <f>HYPERLINK("https://www.etsy.com/listing/987423007", "link")</f>
        <v/>
      </c>
      <c r="E1075">
        <f>HYPERLINK("https://atlas.etsycorp.com/listing/987423007/lookup", "link")</f>
        <v/>
      </c>
      <c r="F1075" t="inlineStr">
        <is>
          <t>cork for rose ball | 5 pack | Cork attachment for rose ball stick | Replacement cork for garden balls | conical cork for decorative balls in the garden</t>
        </is>
      </c>
      <c r="G1075" t="inlineStr">
        <is>
          <t>Euy_GUcU5QTjXAm4gRUJhm8YMz48</t>
        </is>
      </c>
      <c r="H1075" t="inlineStr">
        <is>
          <t>web</t>
        </is>
      </c>
      <c r="I1075" t="inlineStr">
        <is>
          <t>de</t>
        </is>
      </c>
      <c r="J1075" t="inlineStr">
        <is>
          <t>intl-de</t>
        </is>
      </c>
      <c r="K1075" t="b">
        <v>1</v>
      </c>
      <c r="L1075" t="inlineStr">
        <is>
          <t>not_relevant</t>
        </is>
      </c>
      <c r="M1075" t="inlineStr">
        <is>
          <t>not_relevant</t>
        </is>
      </c>
      <c r="N1075" t="inlineStr">
        <is>
          <t>partial</t>
        </is>
      </c>
      <c r="O1075" t="inlineStr">
        <is>
          <t>not_relevant</t>
        </is>
      </c>
      <c r="P1075" t="b">
        <v>1</v>
      </c>
    </row>
    <row r="1076">
      <c r="A1076" t="inlineStr">
        <is>
          <t>mollettoni per capelli</t>
        </is>
      </c>
      <c r="B1076" t="inlineStr">
        <is>
          <t>hair barrettes</t>
        </is>
      </c>
      <c r="C1076" t="n">
        <v>1472103071</v>
      </c>
      <c r="D1076">
        <f>HYPERLINK("https://www.etsy.com/listing/1472103071", "link")</f>
        <v/>
      </c>
      <c r="E1076">
        <f>HYPERLINK("https://atlas.etsycorp.com/listing/1472103071/lookup", "link")</f>
        <v/>
      </c>
      <c r="F1076" t="inlineStr">
        <is>
          <t>Hair Barrette, Crystal Barrette, Barrettes Clips, Hair Accessories, Hair Pin, Hair Clips, Gem Hair Clip, Gem Hair Accessories, Hair Gift</t>
        </is>
      </c>
      <c r="G1076" t="inlineStr">
        <is>
          <t>EuXkCki2XzSFbxufLrosKDS3P_77</t>
        </is>
      </c>
      <c r="H1076" t="inlineStr">
        <is>
          <t>boe</t>
        </is>
      </c>
      <c r="I1076" t="inlineStr">
        <is>
          <t>it</t>
        </is>
      </c>
      <c r="J1076" t="inlineStr">
        <is>
          <t>intl-it</t>
        </is>
      </c>
      <c r="K1076" t="b">
        <v>1</v>
      </c>
      <c r="L1076" t="inlineStr">
        <is>
          <t>relevant</t>
        </is>
      </c>
      <c r="M1076" t="inlineStr">
        <is>
          <t>relevant</t>
        </is>
      </c>
      <c r="N1076" t="inlineStr">
        <is>
          <t>relevant</t>
        </is>
      </c>
      <c r="O1076" t="inlineStr">
        <is>
          <t>relevant</t>
        </is>
      </c>
      <c r="P1076" t="b">
        <v>1</v>
      </c>
    </row>
    <row r="1077">
      <c r="A1077" t="inlineStr">
        <is>
          <t>taschen damen</t>
        </is>
      </c>
      <c r="B1077" t="inlineStr">
        <is>
          <t>bags ladies</t>
        </is>
      </c>
      <c r="C1077" t="n">
        <v>1333907132</v>
      </c>
      <c r="D1077">
        <f>HYPERLINK("https://www.etsy.com/listing/1333907132", "link")</f>
        <v/>
      </c>
      <c r="E1077">
        <f>HYPERLINK("https://atlas.etsycorp.com/listing/1333907132/lookup", "link")</f>
        <v/>
      </c>
      <c r="F1077" t="inlineStr">
        <is>
          <t>Bum bag leather, bum bag with bag strap, shoulder bag, bum bag women black genuine leather</t>
        </is>
      </c>
      <c r="G1077" t="inlineStr">
        <is>
          <t>EurF1_siCrlP_wCxNlc030ULIqb2</t>
        </is>
      </c>
      <c r="H1077" t="inlineStr">
        <is>
          <t>web</t>
        </is>
      </c>
      <c r="I1077" t="inlineStr">
        <is>
          <t>de</t>
        </is>
      </c>
      <c r="J1077" t="inlineStr">
        <is>
          <t>intl-de</t>
        </is>
      </c>
      <c r="K1077" t="b">
        <v>1</v>
      </c>
      <c r="L1077" t="inlineStr">
        <is>
          <t>relevant</t>
        </is>
      </c>
      <c r="M1077" t="inlineStr">
        <is>
          <t>relevant</t>
        </is>
      </c>
      <c r="N1077" t="inlineStr">
        <is>
          <t>relevant</t>
        </is>
      </c>
      <c r="O1077" t="inlineStr">
        <is>
          <t>relevant</t>
        </is>
      </c>
      <c r="P1077" t="b">
        <v>1</v>
      </c>
    </row>
    <row r="1078">
      <c r="A1078" t="inlineStr">
        <is>
          <t>tatuajes de cristo</t>
        </is>
      </c>
      <c r="B1078" t="inlineStr">
        <is>
          <t>christ tattoos</t>
        </is>
      </c>
      <c r="C1078" t="n">
        <v>1443306182</v>
      </c>
      <c r="D1078">
        <f>HYPERLINK("https://www.etsy.com/listing/1443306182", "link")</f>
        <v/>
      </c>
      <c r="E1078">
        <f>HYPERLINK("https://atlas.etsycorp.com/listing/1443306182/lookup", "link")</f>
        <v/>
      </c>
      <c r="F1078" t="inlineStr">
        <is>
          <t>Lord Jesus SVG | Christian SVG | Religious Religion Faith Worship God Savior | Cricut Cutting Cuttable Clipart Vector Digital Dxf Png Eps Ai</t>
        </is>
      </c>
      <c r="G1078" t="inlineStr">
        <is>
          <t>EuZQiGVxGby3lisrUnz-E-IoO896</t>
        </is>
      </c>
      <c r="H1078" t="inlineStr">
        <is>
          <t>web</t>
        </is>
      </c>
      <c r="I1078" t="inlineStr">
        <is>
          <t>es</t>
        </is>
      </c>
      <c r="J1078" t="inlineStr">
        <is>
          <t>intl-es</t>
        </is>
      </c>
      <c r="K1078" t="b">
        <v>1</v>
      </c>
      <c r="L1078" t="inlineStr">
        <is>
          <t>partial</t>
        </is>
      </c>
      <c r="M1078" t="inlineStr">
        <is>
          <t>not_relevant</t>
        </is>
      </c>
      <c r="N1078" t="inlineStr">
        <is>
          <t>partial</t>
        </is>
      </c>
      <c r="O1078" t="inlineStr">
        <is>
          <t>partial</t>
        </is>
      </c>
      <c r="P1078" t="b">
        <v>1</v>
      </c>
    </row>
    <row r="1079">
      <c r="A1079" t="inlineStr">
        <is>
          <t>easter outfit baby boy</t>
        </is>
      </c>
      <c r="B1079" t="inlineStr"/>
      <c r="C1079" t="n">
        <v>1185684364</v>
      </c>
      <c r="D1079">
        <f>HYPERLINK("https://www.etsy.com/listing/1185684364", "link")</f>
        <v/>
      </c>
      <c r="E1079">
        <f>HYPERLINK("https://atlas.etsycorp.com/listing/1185684364/lookup", "link")</f>
        <v/>
      </c>
      <c r="F1079" t="inlineStr">
        <is>
          <t>Easter Shirt, He is Risen Shirt, Vintage Easter Shirt, Shirt for Easter, Good Friday T-Shirt, A Lot Can Happen in 3 Days Shirt, Easter Gift</t>
        </is>
      </c>
      <c r="G1079" t="inlineStr">
        <is>
          <t>EuWU2I_ZYFqFb5hUXZJRb4vx1w11</t>
        </is>
      </c>
      <c r="H1079" t="inlineStr">
        <is>
          <t>boe</t>
        </is>
      </c>
      <c r="I1079" t="inlineStr">
        <is>
          <t>en-US</t>
        </is>
      </c>
      <c r="J1079" t="inlineStr">
        <is>
          <t>us_v2-direct_unspecified</t>
        </is>
      </c>
      <c r="K1079" t="b">
        <v>1</v>
      </c>
      <c r="L1079" t="inlineStr">
        <is>
          <t>partial</t>
        </is>
      </c>
      <c r="M1079" t="inlineStr">
        <is>
          <t>partial</t>
        </is>
      </c>
      <c r="N1079" t="inlineStr">
        <is>
          <t>relevant</t>
        </is>
      </c>
      <c r="O1079" t="inlineStr">
        <is>
          <t>partial</t>
        </is>
      </c>
      <c r="P1079" t="b">
        <v>1</v>
      </c>
    </row>
    <row r="1080">
      <c r="A1080" t="inlineStr">
        <is>
          <t>beaded bag</t>
        </is>
      </c>
      <c r="B1080" t="inlineStr">
        <is>
          <t>beaded bag</t>
        </is>
      </c>
      <c r="C1080" t="n">
        <v>1696680221</v>
      </c>
      <c r="D1080">
        <f>HYPERLINK("https://www.etsy.com/listing/1696680221", "link")</f>
        <v/>
      </c>
      <c r="E1080">
        <f>HYPERLINK("https://atlas.etsycorp.com/listing/1696680221/lookup", "link")</f>
        <v/>
      </c>
      <c r="F1080" t="inlineStr">
        <is>
          <t>Red beaded bag, elegant evening beaded bag, handmade gift for women, crystal bag, beaded purse, shiny beads bag for phone, red crossbody bag</t>
        </is>
      </c>
      <c r="G1080" t="inlineStr">
        <is>
          <t>Eu3HAVZv2WwdCKWfXLN8AcPKRqa2</t>
        </is>
      </c>
      <c r="H1080" t="inlineStr">
        <is>
          <t>web</t>
        </is>
      </c>
      <c r="I1080" t="inlineStr">
        <is>
          <t>nl</t>
        </is>
      </c>
      <c r="J1080" t="inlineStr">
        <is>
          <t>intl-nl</t>
        </is>
      </c>
      <c r="K1080" t="b">
        <v>1</v>
      </c>
      <c r="L1080" t="inlineStr">
        <is>
          <t>relevant</t>
        </is>
      </c>
      <c r="M1080" t="inlineStr">
        <is>
          <t>relevant</t>
        </is>
      </c>
      <c r="N1080" t="inlineStr">
        <is>
          <t>relevant</t>
        </is>
      </c>
      <c r="O1080" t="inlineStr">
        <is>
          <t>relevant</t>
        </is>
      </c>
      <c r="P1080" t="b">
        <v>1</v>
      </c>
    </row>
    <row r="1081">
      <c r="A1081" t="inlineStr">
        <is>
          <t>swimsuit slut</t>
        </is>
      </c>
      <c r="B1081" t="inlineStr">
        <is>
          <t>swimsuit slut</t>
        </is>
      </c>
      <c r="C1081" t="n">
        <v>992064291</v>
      </c>
      <c r="D1081">
        <f>HYPERLINK("https://www.etsy.com/listing/992064291", "link")</f>
        <v/>
      </c>
      <c r="E1081">
        <f>HYPERLINK("https://atlas.etsycorp.com/listing/992064291/lookup", "link")</f>
        <v/>
      </c>
      <c r="F1081" t="inlineStr">
        <is>
          <t>Criss Cross Thong Bikini</t>
        </is>
      </c>
      <c r="G1081" t="inlineStr">
        <is>
          <t>EuKmi-hUFX6h62zQ8KJb_Ej59M17</t>
        </is>
      </c>
      <c r="H1081" t="inlineStr">
        <is>
          <t>web</t>
        </is>
      </c>
      <c r="I1081" t="inlineStr">
        <is>
          <t>nl</t>
        </is>
      </c>
      <c r="J1081" t="inlineStr">
        <is>
          <t>intl-nl</t>
        </is>
      </c>
      <c r="K1081" t="b">
        <v>1</v>
      </c>
      <c r="L1081" t="inlineStr">
        <is>
          <t>relevant</t>
        </is>
      </c>
      <c r="M1081" t="inlineStr">
        <is>
          <t>partial</t>
        </is>
      </c>
      <c r="N1081" t="inlineStr">
        <is>
          <t>relevant</t>
        </is>
      </c>
      <c r="O1081" t="inlineStr">
        <is>
          <t>relevant</t>
        </is>
      </c>
      <c r="P1081" t="b">
        <v>1</v>
      </c>
    </row>
    <row r="1082">
      <c r="A1082" t="inlineStr">
        <is>
          <t>plantable menu cards</t>
        </is>
      </c>
      <c r="B1082" t="inlineStr"/>
      <c r="C1082" t="n">
        <v>1209918328</v>
      </c>
      <c r="D1082">
        <f>HYPERLINK("https://www.etsy.com/listing/1209918328", "link")</f>
        <v/>
      </c>
      <c r="E1082">
        <f>HYPERLINK("https://atlas.etsycorp.com/listing/1209918328/lookup", "link")</f>
        <v/>
      </c>
      <c r="F1082" t="inlineStr">
        <is>
          <t>Pink Recycled Petal Flower Seed Paper 17s Folding Card Table Card - Place Card - Name Card - Gift Card - Set of 12 with instructions</t>
        </is>
      </c>
      <c r="G1082" t="inlineStr">
        <is>
          <t>EuoIswB-niO1e3T_GQfrnVRFSwc6</t>
        </is>
      </c>
      <c r="H1082" t="inlineStr">
        <is>
          <t>web</t>
        </is>
      </c>
      <c r="I1082" t="inlineStr">
        <is>
          <t>en-US</t>
        </is>
      </c>
      <c r="J1082" t="inlineStr">
        <is>
          <t>us_v2-direct_unspecified</t>
        </is>
      </c>
      <c r="K1082" t="b">
        <v>1</v>
      </c>
      <c r="L1082" t="inlineStr">
        <is>
          <t>partial</t>
        </is>
      </c>
      <c r="M1082" t="inlineStr">
        <is>
          <t>partial</t>
        </is>
      </c>
      <c r="N1082" t="inlineStr">
        <is>
          <t>partial</t>
        </is>
      </c>
      <c r="O1082" t="inlineStr">
        <is>
          <t>relevant</t>
        </is>
      </c>
      <c r="P1082" t="b">
        <v>1</v>
      </c>
    </row>
    <row r="1083">
      <c r="A1083" t="inlineStr">
        <is>
          <t>book of mormon cover</t>
        </is>
      </c>
      <c r="B1083" t="inlineStr"/>
      <c r="C1083" t="n">
        <v>594116135</v>
      </c>
      <c r="D1083">
        <f>HYPERLINK("https://www.etsy.com/listing/594116135", "link")</f>
        <v/>
      </c>
      <c r="E1083">
        <f>HYPERLINK("https://atlas.etsycorp.com/listing/594116135/lookup", "link")</f>
        <v/>
      </c>
      <c r="F1083" t="inlineStr">
        <is>
          <t>Gray and Light Pink Standard Scripture Case</t>
        </is>
      </c>
      <c r="G1083" t="inlineStr">
        <is>
          <t>EuLhpSikItld7Z6pIGQ8H4Y5p9f0</t>
        </is>
      </c>
      <c r="H1083" t="inlineStr">
        <is>
          <t>boe</t>
        </is>
      </c>
      <c r="I1083" t="inlineStr">
        <is>
          <t>en-US</t>
        </is>
      </c>
      <c r="J1083" t="inlineStr">
        <is>
          <t>us_v2-direct_specified</t>
        </is>
      </c>
      <c r="K1083" t="b">
        <v>1</v>
      </c>
      <c r="L1083" t="inlineStr">
        <is>
          <t>not_relevant</t>
        </is>
      </c>
      <c r="M1083" t="inlineStr">
        <is>
          <t>not_relevant</t>
        </is>
      </c>
      <c r="N1083" t="inlineStr">
        <is>
          <t>not_relevant</t>
        </is>
      </c>
      <c r="O1083" t="inlineStr">
        <is>
          <t>not_relevant</t>
        </is>
      </c>
      <c r="P1083" t="b">
        <v>1</v>
      </c>
    </row>
    <row r="1084">
      <c r="A1084" t="inlineStr">
        <is>
          <t>monedas de fantasia</t>
        </is>
      </c>
      <c r="B1084" t="inlineStr">
        <is>
          <t>fantasy coins</t>
        </is>
      </c>
      <c r="C1084" t="n">
        <v>1734243607</v>
      </c>
      <c r="D1084">
        <f>HYPERLINK("https://www.etsy.com/listing/1734243607", "link")</f>
        <v/>
      </c>
      <c r="E1084">
        <f>HYPERLINK("https://atlas.etsycorp.com/listing/1734243607/lookup", "link")</f>
        <v/>
      </c>
      <c r="F1084" t="inlineStr">
        <is>
          <t>Fantasy Metal Coins Clipart, DND Metal Coin PNG Fantasy Currency Art, Ideal for Fantasy Card Game Design,  Antique Coin Collectors Gifts</t>
        </is>
      </c>
      <c r="G1084" t="inlineStr">
        <is>
          <t>EuYMO9aILfGgDleJPStQ3pab3x1b</t>
        </is>
      </c>
      <c r="H1084" t="inlineStr">
        <is>
          <t>web</t>
        </is>
      </c>
      <c r="I1084" t="inlineStr">
        <is>
          <t>es</t>
        </is>
      </c>
      <c r="J1084" t="inlineStr">
        <is>
          <t>intl-es</t>
        </is>
      </c>
      <c r="K1084" t="b">
        <v>1</v>
      </c>
      <c r="L1084" t="inlineStr">
        <is>
          <t>relevant</t>
        </is>
      </c>
      <c r="M1084" t="inlineStr">
        <is>
          <t>relevant</t>
        </is>
      </c>
      <c r="N1084" t="inlineStr">
        <is>
          <t>relevant</t>
        </is>
      </c>
      <c r="O1084" t="inlineStr">
        <is>
          <t>relevant</t>
        </is>
      </c>
      <c r="P1084" t="b">
        <v>1</v>
      </c>
    </row>
    <row r="1085">
      <c r="A1085" t="inlineStr">
        <is>
          <t>cheese slicer</t>
        </is>
      </c>
      <c r="B1085" t="inlineStr"/>
      <c r="C1085" t="n">
        <v>1622188731</v>
      </c>
      <c r="D1085">
        <f>HYPERLINK("https://www.etsy.com/listing/1622188731", "link")</f>
        <v/>
      </c>
      <c r="E1085">
        <f>HYPERLINK("https://atlas.etsycorp.com/listing/1622188731/lookup", "link")</f>
        <v/>
      </c>
      <c r="F1085" t="inlineStr">
        <is>
          <t>Vintage Staved Teak Cheese Slicer Cheese Cloche Danish Modern Cheese Board with Lid</t>
        </is>
      </c>
      <c r="G1085" t="inlineStr">
        <is>
          <t>EuzbNcEIp1Z5OgTbNdxi--zaiV27</t>
        </is>
      </c>
      <c r="H1085" t="inlineStr">
        <is>
          <t>web</t>
        </is>
      </c>
      <c r="I1085" t="inlineStr">
        <is>
          <t>en-US</t>
        </is>
      </c>
      <c r="J1085" t="inlineStr">
        <is>
          <t>us_v2-direct_unspecified</t>
        </is>
      </c>
      <c r="K1085" t="b">
        <v>1</v>
      </c>
      <c r="L1085" t="inlineStr">
        <is>
          <t>relevant</t>
        </is>
      </c>
      <c r="M1085" t="inlineStr">
        <is>
          <t>relevant</t>
        </is>
      </c>
      <c r="N1085" t="inlineStr">
        <is>
          <t>relevant</t>
        </is>
      </c>
      <c r="O1085" t="inlineStr">
        <is>
          <t>relevant</t>
        </is>
      </c>
      <c r="P1085" t="b">
        <v>1</v>
      </c>
    </row>
    <row r="1086">
      <c r="A1086" t="inlineStr">
        <is>
          <t>targhetta non toccare passeggino</t>
        </is>
      </c>
      <c r="B1086" t="inlineStr">
        <is>
          <t>do not touch stroller label</t>
        </is>
      </c>
      <c r="C1086" t="n">
        <v>1265128767</v>
      </c>
      <c r="D1086">
        <f>HYPERLINK("https://www.etsy.com/listing/1265128767", "link")</f>
        <v/>
      </c>
      <c r="E1086">
        <f>HYPERLINK("https://atlas.etsycorp.com/listing/1265128767/lookup", "link")</f>
        <v/>
      </c>
      <c r="F1086" t="inlineStr">
        <is>
          <t>Baby Yoda ‘The Child on Board’ Sticker / Star Wars Car Window Bumper Funny Decal / Baby Stroller Gift</t>
        </is>
      </c>
      <c r="G1086" t="inlineStr">
        <is>
          <t>Eu2PJbwTTOAR7PlIZLSwbWh2OJa8</t>
        </is>
      </c>
      <c r="H1086" t="inlineStr">
        <is>
          <t>boe</t>
        </is>
      </c>
      <c r="I1086" t="inlineStr">
        <is>
          <t>it</t>
        </is>
      </c>
      <c r="J1086" t="inlineStr">
        <is>
          <t>intl-it</t>
        </is>
      </c>
      <c r="K1086" t="b">
        <v>1</v>
      </c>
      <c r="L1086" t="inlineStr">
        <is>
          <t>partial</t>
        </is>
      </c>
      <c r="M1086" t="inlineStr">
        <is>
          <t>partial</t>
        </is>
      </c>
      <c r="N1086" t="inlineStr">
        <is>
          <t>partial</t>
        </is>
      </c>
      <c r="O1086" t="inlineStr">
        <is>
          <t>partial</t>
        </is>
      </c>
      <c r="P1086" t="b">
        <v>1</v>
      </c>
    </row>
    <row r="1087">
      <c r="A1087" t="inlineStr">
        <is>
          <t>드레스 allpa back</t>
        </is>
      </c>
      <c r="B1087" t="inlineStr"/>
      <c r="C1087" t="n">
        <v>870619504</v>
      </c>
      <c r="D1087">
        <f>HYPERLINK("https://www.etsy.com/listing/870619504", "link")</f>
        <v/>
      </c>
      <c r="E1087">
        <f>HYPERLINK("https://atlas.etsycorp.com/listing/870619504/lookup", "link")</f>
        <v/>
      </c>
      <c r="F1087" t="inlineStr">
        <is>
          <t>Sleeveless sweater knitting pattern for women | Vest sweater knit pattern</t>
        </is>
      </c>
      <c r="G1087" t="inlineStr">
        <is>
          <t>EuavWbK6BKFsBbQ4BRI2e65-rM11</t>
        </is>
      </c>
      <c r="H1087" t="inlineStr">
        <is>
          <t>web</t>
        </is>
      </c>
      <c r="I1087" t="inlineStr">
        <is>
          <t>en-US</t>
        </is>
      </c>
      <c r="J1087" t="inlineStr">
        <is>
          <t>us_v2-broad</t>
        </is>
      </c>
      <c r="K1087" t="b">
        <v>1</v>
      </c>
      <c r="L1087" t="inlineStr">
        <is>
          <t>not_relevant</t>
        </is>
      </c>
      <c r="M1087" t="inlineStr">
        <is>
          <t>not_relevant</t>
        </is>
      </c>
      <c r="N1087" t="inlineStr">
        <is>
          <t>not_relevant</t>
        </is>
      </c>
      <c r="O1087" t="inlineStr">
        <is>
          <t>not_sure</t>
        </is>
      </c>
      <c r="P1087" t="b">
        <v>1</v>
      </c>
    </row>
    <row r="1088">
      <c r="A1088" t="inlineStr">
        <is>
          <t>poppers sniffer cap</t>
        </is>
      </c>
      <c r="B1088" t="inlineStr"/>
      <c r="C1088" t="n">
        <v>1635726394</v>
      </c>
      <c r="D1088">
        <f>HYPERLINK("https://www.etsy.com/listing/1635726394", "link")</f>
        <v/>
      </c>
      <c r="E1088">
        <f>HYPERLINK("https://atlas.etsycorp.com/listing/1635726394/lookup", "link")</f>
        <v/>
      </c>
      <c r="F1088" t="inlineStr">
        <is>
          <t>Snuff Wallet black: intact in 360degrees when opened</t>
        </is>
      </c>
      <c r="G1088" t="inlineStr">
        <is>
          <t>Eu-HCjw1Da5B2VOIqId2M7U3y7e8</t>
        </is>
      </c>
      <c r="H1088" t="inlineStr">
        <is>
          <t>boe</t>
        </is>
      </c>
      <c r="I1088" t="inlineStr">
        <is>
          <t>en-US</t>
        </is>
      </c>
      <c r="J1088" t="inlineStr">
        <is>
          <t>us_v2-direct_unspecified</t>
        </is>
      </c>
      <c r="K1088" t="b">
        <v>1</v>
      </c>
      <c r="L1088" t="inlineStr">
        <is>
          <t>not_relevant</t>
        </is>
      </c>
      <c r="M1088" t="inlineStr">
        <is>
          <t>not_relevant</t>
        </is>
      </c>
      <c r="N1088" t="inlineStr">
        <is>
          <t>not_relevant</t>
        </is>
      </c>
      <c r="O1088" t="inlineStr">
        <is>
          <t>not_relevant</t>
        </is>
      </c>
      <c r="P1088" t="b">
        <v>1</v>
      </c>
    </row>
    <row r="1089">
      <c r="A1089" t="inlineStr">
        <is>
          <t>wash your hands ya filthy animal</t>
        </is>
      </c>
      <c r="B1089" t="inlineStr">
        <is>
          <t>wash your hands ya filthy animal</t>
        </is>
      </c>
      <c r="C1089" t="n">
        <v>1585380363</v>
      </c>
      <c r="D1089">
        <f>HYPERLINK("https://www.etsy.com/listing/1585380363", "link")</f>
        <v/>
      </c>
      <c r="E1089">
        <f>HYPERLINK("https://atlas.etsycorp.com/listing/1585380363/lookup", "link")</f>
        <v/>
      </c>
      <c r="F1089" t="inlineStr">
        <is>
          <t>Funny Toilet Print Trendy Bathroom Wall Art Minimalist Heart Poster Cute Quote Decor Funny Bathroom Wall Art Print Digital Download 1 Print</t>
        </is>
      </c>
      <c r="G1089" t="inlineStr">
        <is>
          <t>EuloCT7bL7VeG2MoP9_8viVU1X81</t>
        </is>
      </c>
      <c r="H1089" t="inlineStr">
        <is>
          <t>web</t>
        </is>
      </c>
      <c r="I1089" t="inlineStr">
        <is>
          <t>pt</t>
        </is>
      </c>
      <c r="J1089" t="inlineStr">
        <is>
          <t>intl-pt</t>
        </is>
      </c>
      <c r="K1089" t="b">
        <v>1</v>
      </c>
      <c r="L1089" t="inlineStr">
        <is>
          <t>not_relevant</t>
        </is>
      </c>
      <c r="M1089" t="inlineStr">
        <is>
          <t>not_relevant</t>
        </is>
      </c>
      <c r="N1089" t="inlineStr">
        <is>
          <t>not_relevant</t>
        </is>
      </c>
      <c r="O1089" t="inlineStr">
        <is>
          <t>relevant</t>
        </is>
      </c>
      <c r="P1089" t="b">
        <v>1</v>
      </c>
    </row>
    <row r="1090">
      <c r="A1090" t="inlineStr">
        <is>
          <t>wedding favors for guests</t>
        </is>
      </c>
      <c r="B1090" t="inlineStr"/>
      <c r="C1090" t="n">
        <v>1416663134</v>
      </c>
      <c r="D1090">
        <f>HYPERLINK("https://www.etsy.com/listing/1416663134", "link")</f>
        <v/>
      </c>
      <c r="E1090">
        <f>HYPERLINK("https://atlas.etsycorp.com/listing/1416663134/lookup", "link")</f>
        <v/>
      </c>
      <c r="F1090" t="inlineStr">
        <is>
          <t>30 Pcs Customizable Wedding Favor For Guests, Personalized Wedding Gift,Magnetic Bottle Opener,Save The Date,Custom Cap Opener,Wedding Gift</t>
        </is>
      </c>
      <c r="G1090" t="inlineStr">
        <is>
          <t>EudUVlY_2c5M_NR-dHyfEmSEsif2</t>
        </is>
      </c>
      <c r="H1090" t="inlineStr">
        <is>
          <t>web</t>
        </is>
      </c>
      <c r="I1090" t="inlineStr">
        <is>
          <t>en-US</t>
        </is>
      </c>
      <c r="J1090" t="inlineStr">
        <is>
          <t>us_v2-broad</t>
        </is>
      </c>
      <c r="K1090" t="b">
        <v>1</v>
      </c>
      <c r="L1090" t="inlineStr">
        <is>
          <t>relevant</t>
        </is>
      </c>
      <c r="M1090" t="inlineStr">
        <is>
          <t>relevant</t>
        </is>
      </c>
      <c r="N1090" t="inlineStr">
        <is>
          <t>relevant</t>
        </is>
      </c>
      <c r="O1090" t="inlineStr">
        <is>
          <t>relevant</t>
        </is>
      </c>
      <c r="P1090" t="b">
        <v>1</v>
      </c>
    </row>
    <row r="1091">
      <c r="A1091" t="inlineStr">
        <is>
          <t>sangle appareil photo</t>
        </is>
      </c>
      <c r="B1091" t="inlineStr">
        <is>
          <t>camera strap</t>
        </is>
      </c>
      <c r="C1091" t="n">
        <v>1213480899</v>
      </c>
      <c r="D1091">
        <f>HYPERLINK("https://www.etsy.com/listing/1213480899", "link")</f>
        <v/>
      </c>
      <c r="E1091">
        <f>HYPERLINK("https://atlas.etsycorp.com/listing/1213480899/lookup", "link")</f>
        <v/>
      </c>
      <c r="F1091" t="inlineStr">
        <is>
          <t>Weles BROWN  with anchors  camera  strap</t>
        </is>
      </c>
      <c r="G1091" t="inlineStr">
        <is>
          <t>Eut0URB_TbtxTge80XNitJtJfAdf</t>
        </is>
      </c>
      <c r="H1091" t="inlineStr">
        <is>
          <t>boe</t>
        </is>
      </c>
      <c r="I1091" t="inlineStr">
        <is>
          <t>fr</t>
        </is>
      </c>
      <c r="J1091" t="inlineStr">
        <is>
          <t>intl-fr</t>
        </is>
      </c>
      <c r="K1091" t="b">
        <v>1</v>
      </c>
      <c r="L1091" t="inlineStr">
        <is>
          <t>relevant</t>
        </is>
      </c>
      <c r="M1091" t="inlineStr">
        <is>
          <t>relevant</t>
        </is>
      </c>
      <c r="N1091" t="inlineStr">
        <is>
          <t>relevant</t>
        </is>
      </c>
      <c r="O1091" t="inlineStr">
        <is>
          <t>partial</t>
        </is>
      </c>
      <c r="P1091" t="b">
        <v>1</v>
      </c>
    </row>
    <row r="1092">
      <c r="A1092" t="inlineStr">
        <is>
          <t>caftan</t>
        </is>
      </c>
      <c r="B1092" t="inlineStr">
        <is>
          <t>caftan</t>
        </is>
      </c>
      <c r="C1092" t="n">
        <v>601909352</v>
      </c>
      <c r="D1092">
        <f>HYPERLINK("https://www.etsy.com/listing/601909352", "link")</f>
        <v/>
      </c>
      <c r="E1092">
        <f>HYPERLINK("https://atlas.etsycorp.com/listing/601909352/lookup", "link")</f>
        <v/>
      </c>
      <c r="F1092" t="inlineStr">
        <is>
          <t>A-1 Black Tie Dye Kaftan Dress, Beautiful Caftan For Women, African Dress, Summer Style, Resort Wear, Cruise, Lounge Wear,Plus Size Clothing</t>
        </is>
      </c>
      <c r="G1092" t="inlineStr">
        <is>
          <t>Eu2Ojuumgx7a1f_9ZRWkz59lW73f</t>
        </is>
      </c>
      <c r="H1092" t="inlineStr">
        <is>
          <t>web</t>
        </is>
      </c>
      <c r="I1092" t="inlineStr">
        <is>
          <t>fr</t>
        </is>
      </c>
      <c r="J1092" t="inlineStr">
        <is>
          <t>intl-fr</t>
        </is>
      </c>
      <c r="K1092" t="b">
        <v>1</v>
      </c>
      <c r="L1092" t="inlineStr">
        <is>
          <t>relevant</t>
        </is>
      </c>
      <c r="M1092" t="inlineStr">
        <is>
          <t>relevant</t>
        </is>
      </c>
      <c r="N1092" t="inlineStr">
        <is>
          <t>relevant</t>
        </is>
      </c>
      <c r="O1092" t="inlineStr">
        <is>
          <t>relevant</t>
        </is>
      </c>
      <c r="P1092" t="b">
        <v>1</v>
      </c>
    </row>
    <row r="1093">
      <c r="A1093" t="inlineStr">
        <is>
          <t>iphone 15 max pro case anime</t>
        </is>
      </c>
      <c r="B1093" t="inlineStr"/>
      <c r="C1093" t="n">
        <v>1641356758</v>
      </c>
      <c r="D1093">
        <f>HYPERLINK("https://www.etsy.com/listing/1641356758", "link")</f>
        <v/>
      </c>
      <c r="E1093">
        <f>HYPERLINK("https://atlas.etsycorp.com/listing/1641356758/lookup", "link")</f>
        <v/>
      </c>
      <c r="F1093" t="inlineStr">
        <is>
          <t>Soft Leather Like Y2K Phone Case For iPhone 15 14 13 12 11 XS Pro Mini Promax, Anti Fingerprint Phone Case, Non Slip Phone Case</t>
        </is>
      </c>
      <c r="G1093" t="inlineStr">
        <is>
          <t>EuUZXRks_mu8aiUvOQwXBpGtI_e1</t>
        </is>
      </c>
      <c r="H1093" t="inlineStr">
        <is>
          <t>boe</t>
        </is>
      </c>
      <c r="I1093" t="inlineStr">
        <is>
          <t>en-US</t>
        </is>
      </c>
      <c r="J1093" t="inlineStr">
        <is>
          <t>us_v2-direct_specified</t>
        </is>
      </c>
      <c r="K1093" t="b">
        <v>1</v>
      </c>
      <c r="L1093" t="inlineStr">
        <is>
          <t>relevant</t>
        </is>
      </c>
      <c r="M1093" t="inlineStr">
        <is>
          <t>relevant</t>
        </is>
      </c>
      <c r="N1093" t="inlineStr">
        <is>
          <t>relevant</t>
        </is>
      </c>
      <c r="O1093" t="inlineStr">
        <is>
          <t>partial</t>
        </is>
      </c>
      <c r="P1093" t="b">
        <v>1</v>
      </c>
    </row>
    <row r="1094">
      <c r="A1094" t="inlineStr">
        <is>
          <t>outdoor hosting</t>
        </is>
      </c>
      <c r="B1094" t="inlineStr">
        <is>
          <t>outdoorhosting</t>
        </is>
      </c>
      <c r="C1094" t="n">
        <v>855584567</v>
      </c>
      <c r="D1094">
        <f>HYPERLINK("https://www.etsy.com/listing/855584567", "link")</f>
        <v/>
      </c>
      <c r="E1094">
        <f>HYPERLINK("https://atlas.etsycorp.com/listing/855584567/lookup", "link")</f>
        <v/>
      </c>
      <c r="F1094" t="inlineStr">
        <is>
          <t>Dart stand with optional name print - gift idea for him &amp; her - personalized gift</t>
        </is>
      </c>
      <c r="G1094" t="inlineStr">
        <is>
          <t>EuNb0pBdKGZ_MJ7YvzoTp86oREec</t>
        </is>
      </c>
      <c r="H1094" t="inlineStr">
        <is>
          <t>web</t>
        </is>
      </c>
      <c r="I1094" t="inlineStr">
        <is>
          <t>de</t>
        </is>
      </c>
      <c r="J1094" t="inlineStr">
        <is>
          <t>intl-de</t>
        </is>
      </c>
      <c r="K1094" t="b">
        <v>1</v>
      </c>
      <c r="L1094" t="inlineStr">
        <is>
          <t>not_relevant</t>
        </is>
      </c>
      <c r="M1094" t="inlineStr">
        <is>
          <t>not_relevant</t>
        </is>
      </c>
      <c r="N1094" t="inlineStr">
        <is>
          <t>not_relevant</t>
        </is>
      </c>
      <c r="O1094" t="inlineStr">
        <is>
          <t>not_relevant</t>
        </is>
      </c>
      <c r="P1094" t="b">
        <v>1</v>
      </c>
    </row>
    <row r="1095">
      <c r="A1095" t="inlineStr">
        <is>
          <t>draculaura dance</t>
        </is>
      </c>
      <c r="B1095" t="inlineStr">
        <is>
          <t>draculaura dance</t>
        </is>
      </c>
      <c r="C1095" t="n">
        <v>1522676362</v>
      </c>
      <c r="D1095">
        <f>HYPERLINK("https://www.etsy.com/listing/1522676362", "link")</f>
        <v/>
      </c>
      <c r="E1095">
        <f>HYPERLINK("https://atlas.etsycorp.com/listing/1522676362/lookup", "link")</f>
        <v/>
      </c>
      <c r="F1095" t="inlineStr">
        <is>
          <t>Draculaura</t>
        </is>
      </c>
      <c r="G1095" t="inlineStr">
        <is>
          <t>EuYL2RBw1D931LAVktgOvrISDq4a</t>
        </is>
      </c>
      <c r="H1095" t="inlineStr">
        <is>
          <t>web</t>
        </is>
      </c>
      <c r="I1095" t="inlineStr">
        <is>
          <t>es</t>
        </is>
      </c>
      <c r="J1095" t="inlineStr">
        <is>
          <t>intl-es</t>
        </is>
      </c>
      <c r="K1095" t="b">
        <v>1</v>
      </c>
      <c r="L1095" t="inlineStr">
        <is>
          <t>partial</t>
        </is>
      </c>
      <c r="M1095" t="inlineStr">
        <is>
          <t>partial</t>
        </is>
      </c>
      <c r="N1095" t="inlineStr">
        <is>
          <t>partial</t>
        </is>
      </c>
      <c r="O1095" t="inlineStr">
        <is>
          <t>partial</t>
        </is>
      </c>
      <c r="P1095" t="b">
        <v>1</v>
      </c>
    </row>
    <row r="1096">
      <c r="A1096" t="inlineStr">
        <is>
          <t>cow embroidery file</t>
        </is>
      </c>
      <c r="B1096" t="inlineStr"/>
      <c r="C1096" t="n">
        <v>989478672</v>
      </c>
      <c r="D1096">
        <f>HYPERLINK("https://www.etsy.com/listing/989478672", "link")</f>
        <v/>
      </c>
      <c r="E1096">
        <f>HYPERLINK("https://atlas.etsycorp.com/listing/989478672/lookup", "link")</f>
        <v/>
      </c>
      <c r="F1096" t="inlineStr">
        <is>
          <t>Cow lick With leopard bandana | Heifer PNG, Cute cow| Sublimation PNG file</t>
        </is>
      </c>
      <c r="G1096" t="inlineStr">
        <is>
          <t>Eur16LBo1YQnCmWx6L5drQEXIbbd</t>
        </is>
      </c>
      <c r="H1096" t="inlineStr">
        <is>
          <t>web</t>
        </is>
      </c>
      <c r="I1096" t="inlineStr">
        <is>
          <t>en-US</t>
        </is>
      </c>
      <c r="J1096" t="inlineStr">
        <is>
          <t>us_v2-direct_specified</t>
        </is>
      </c>
      <c r="K1096" t="b">
        <v>1</v>
      </c>
      <c r="L1096" t="inlineStr">
        <is>
          <t>partial</t>
        </is>
      </c>
      <c r="M1096" t="inlineStr">
        <is>
          <t>partial</t>
        </is>
      </c>
      <c r="N1096" t="inlineStr">
        <is>
          <t>relevant</t>
        </is>
      </c>
      <c r="O1096" t="inlineStr">
        <is>
          <t>partial</t>
        </is>
      </c>
      <c r="P1096" t="b">
        <v>1</v>
      </c>
    </row>
    <row r="1097">
      <c r="A1097" t="inlineStr">
        <is>
          <t>marble book ends</t>
        </is>
      </c>
      <c r="B1097" t="inlineStr"/>
      <c r="C1097" t="n">
        <v>928262381</v>
      </c>
      <c r="D1097">
        <f>HYPERLINK("https://www.etsy.com/listing/928262381", "link")</f>
        <v/>
      </c>
      <c r="E1097">
        <f>HYPERLINK("https://atlas.etsycorp.com/listing/928262381/lookup", "link")</f>
        <v/>
      </c>
      <c r="F1097" t="inlineStr">
        <is>
          <t>Vintage Hand Carved Bookends - Lotus flower and Stork - Home Decor - Film Photo Prop - Shabby Chic</t>
        </is>
      </c>
      <c r="G1097" t="inlineStr">
        <is>
          <t>EufFYsGxa7g2wXm62ZRB2NW7iJd6</t>
        </is>
      </c>
      <c r="H1097" t="inlineStr">
        <is>
          <t>web</t>
        </is>
      </c>
      <c r="I1097" t="inlineStr">
        <is>
          <t>en-GB</t>
        </is>
      </c>
      <c r="J1097" t="inlineStr">
        <is>
          <t>us_v2-direct_specified</t>
        </is>
      </c>
      <c r="K1097" t="b">
        <v>1</v>
      </c>
      <c r="L1097" t="inlineStr">
        <is>
          <t>relevant</t>
        </is>
      </c>
      <c r="M1097" t="inlineStr">
        <is>
          <t>partial</t>
        </is>
      </c>
      <c r="N1097" t="inlineStr">
        <is>
          <t>relevant</t>
        </is>
      </c>
      <c r="O1097" t="inlineStr">
        <is>
          <t>relevant</t>
        </is>
      </c>
      <c r="P1097" t="b">
        <v>1</v>
      </c>
    </row>
    <row r="1098">
      <c r="A1098" t="inlineStr">
        <is>
          <t>bitebrush procreate</t>
        </is>
      </c>
      <c r="B1098" t="inlineStr"/>
      <c r="C1098" t="n">
        <v>1597877068</v>
      </c>
      <c r="D1098">
        <f>HYPERLINK("https://www.etsy.com/listing/1597877068", "link")</f>
        <v/>
      </c>
      <c r="E1098">
        <f>HYPERLINK("https://atlas.etsycorp.com/listing/1597877068/lookup", "link")</f>
        <v/>
      </c>
      <c r="F1098" t="inlineStr">
        <is>
          <t>120 Procreate Vegetable Garden Stamps, Vegetable Field stamps for procreate, Farming Procreate Stamps, Gardening Procreate Stamp</t>
        </is>
      </c>
      <c r="G1098" t="inlineStr">
        <is>
          <t>Eu696vy0xoQOLlX-9mAq7H1FxJ59</t>
        </is>
      </c>
      <c r="H1098" t="inlineStr">
        <is>
          <t>web</t>
        </is>
      </c>
      <c r="I1098" t="inlineStr">
        <is>
          <t>en-GB</t>
        </is>
      </c>
      <c r="J1098" t="inlineStr">
        <is>
          <t>us_v2-direct_unspecified</t>
        </is>
      </c>
      <c r="K1098" t="b">
        <v>1</v>
      </c>
      <c r="L1098" t="inlineStr">
        <is>
          <t>not_relevant</t>
        </is>
      </c>
      <c r="M1098" t="inlineStr">
        <is>
          <t>partial</t>
        </is>
      </c>
      <c r="N1098" t="inlineStr">
        <is>
          <t>not_relevant</t>
        </is>
      </c>
      <c r="O1098" t="inlineStr">
        <is>
          <t>not_relevant</t>
        </is>
      </c>
      <c r="P1098" t="b">
        <v>1</v>
      </c>
    </row>
    <row r="1099">
      <c r="A1099" t="inlineStr">
        <is>
          <t>shirt for outdoors lover</t>
        </is>
      </c>
      <c r="B1099" t="inlineStr"/>
      <c r="C1099" t="n">
        <v>1680304231</v>
      </c>
      <c r="D1099">
        <f>HYPERLINK("https://www.etsy.com/listing/1680304231", "link")</f>
        <v/>
      </c>
      <c r="E1099">
        <f>HYPERLINK("https://atlas.etsycorp.com/listing/1680304231/lookup", "link")</f>
        <v/>
      </c>
      <c r="F1099" t="inlineStr">
        <is>
          <t>Cabin and Chill Crewneck, Cabin Sweatshirt, Cabin Life, Weekend Shirt, Nature Lover Gift, Camp Lover Gift, Cabin Vacation, Outdoors Sweater</t>
        </is>
      </c>
      <c r="G1099" t="inlineStr">
        <is>
          <t>Eu1aqDJSU9xbQvbID8sucLkw3i1a</t>
        </is>
      </c>
      <c r="H1099" t="inlineStr">
        <is>
          <t>web</t>
        </is>
      </c>
      <c r="I1099" t="inlineStr">
        <is>
          <t>en-US</t>
        </is>
      </c>
      <c r="J1099" t="inlineStr">
        <is>
          <t>us_v2-direct_unspecified</t>
        </is>
      </c>
      <c r="K1099" t="b">
        <v>1</v>
      </c>
      <c r="L1099" t="inlineStr">
        <is>
          <t>relevant</t>
        </is>
      </c>
      <c r="M1099" t="inlineStr">
        <is>
          <t>relevant</t>
        </is>
      </c>
      <c r="N1099" t="inlineStr">
        <is>
          <t>relevant</t>
        </is>
      </c>
      <c r="O1099" t="inlineStr">
        <is>
          <t>relevant</t>
        </is>
      </c>
      <c r="P1099" t="b">
        <v>1</v>
      </c>
    </row>
    <row r="1100">
      <c r="A1100" t="inlineStr">
        <is>
          <t>magic</t>
        </is>
      </c>
      <c r="B1100" t="inlineStr">
        <is>
          <t>magic</t>
        </is>
      </c>
      <c r="C1100" t="n">
        <v>1635720876</v>
      </c>
      <c r="D1100">
        <f>HYPERLINK("https://www.etsy.com/listing/1635720876", "link")</f>
        <v/>
      </c>
      <c r="E1100">
        <f>HYPERLINK("https://atlas.etsycorp.com/listing/1635720876/lookup", "link")</f>
        <v/>
      </c>
      <c r="F1100" t="inlineStr">
        <is>
          <t>Orlando Magic</t>
        </is>
      </c>
      <c r="G1100" t="inlineStr">
        <is>
          <t>EuhvkN94sx_VuSUKMWiqO3geGQbf</t>
        </is>
      </c>
      <c r="H1100" t="inlineStr">
        <is>
          <t>boe</t>
        </is>
      </c>
      <c r="I1100" t="inlineStr">
        <is>
          <t>nl</t>
        </is>
      </c>
      <c r="J1100" t="inlineStr">
        <is>
          <t>intl-nl</t>
        </is>
      </c>
      <c r="K1100" t="b">
        <v>1</v>
      </c>
      <c r="L1100" t="inlineStr">
        <is>
          <t>relevant</t>
        </is>
      </c>
      <c r="M1100" t="inlineStr">
        <is>
          <t>relevant</t>
        </is>
      </c>
      <c r="N1100" t="inlineStr">
        <is>
          <t>relevant</t>
        </is>
      </c>
      <c r="O1100" t="inlineStr">
        <is>
          <t>relevant</t>
        </is>
      </c>
      <c r="P1100" t="b">
        <v>1</v>
      </c>
    </row>
    <row r="1101">
      <c r="A1101" t="inlineStr">
        <is>
          <t>emballage tablette  papa</t>
        </is>
      </c>
      <c r="B1101" t="inlineStr">
        <is>
          <t>dad tablet packaging</t>
        </is>
      </c>
      <c r="C1101" t="n">
        <v>1262049954</v>
      </c>
      <c r="D1101">
        <f>HYPERLINK("https://www.etsy.com/listing/1262049954", "link")</f>
        <v/>
      </c>
      <c r="E1101">
        <f>HYPERLINK("https://atlas.etsycorp.com/listing/1262049954/lookup", "link")</f>
        <v/>
      </c>
      <c r="F1101" t="inlineStr">
        <is>
          <t>50 self-adhesive labels, 25 mm adhesive labels message in English, gift packaging, order packaging, Baked with love</t>
        </is>
      </c>
      <c r="G1101" t="inlineStr">
        <is>
          <t>EugwnQO8QM_PaMYXPO-hcI1P--05</t>
        </is>
      </c>
      <c r="H1101" t="inlineStr">
        <is>
          <t>boe</t>
        </is>
      </c>
      <c r="I1101" t="inlineStr">
        <is>
          <t>fr</t>
        </is>
      </c>
      <c r="J1101" t="inlineStr">
        <is>
          <t>intl-fr</t>
        </is>
      </c>
      <c r="K1101" t="b">
        <v>1</v>
      </c>
      <c r="L1101" t="inlineStr">
        <is>
          <t>partial</t>
        </is>
      </c>
      <c r="M1101" t="inlineStr">
        <is>
          <t>not_relevant</t>
        </is>
      </c>
      <c r="N1101" t="inlineStr">
        <is>
          <t>partial</t>
        </is>
      </c>
      <c r="O1101" t="inlineStr">
        <is>
          <t>partial</t>
        </is>
      </c>
      <c r="P1101" t="b">
        <v>1</v>
      </c>
    </row>
    <row r="1102">
      <c r="A1102" t="inlineStr">
        <is>
          <t>patron tequila</t>
        </is>
      </c>
      <c r="B1102" t="inlineStr"/>
      <c r="C1102" t="n">
        <v>1638071692</v>
      </c>
      <c r="D1102">
        <f>HYPERLINK("https://www.etsy.com/listing/1638071692", "link")</f>
        <v/>
      </c>
      <c r="E1102">
        <f>HYPERLINK("https://atlas.etsycorp.com/listing/1638071692/lookup", "link")</f>
        <v/>
      </c>
      <c r="F1102" t="inlineStr">
        <is>
          <t>Custom Tequila 375ml Bottle Label Template Printable | Customize for Any Occasion | Instant Download</t>
        </is>
      </c>
      <c r="G1102" t="inlineStr">
        <is>
          <t>Eu5PqHot6HCCk4G8BXWJP7Lf1y52</t>
        </is>
      </c>
      <c r="H1102" t="inlineStr">
        <is>
          <t>web</t>
        </is>
      </c>
      <c r="I1102" t="inlineStr">
        <is>
          <t>en-US</t>
        </is>
      </c>
      <c r="J1102" t="inlineStr">
        <is>
          <t>us_v2-broad</t>
        </is>
      </c>
      <c r="K1102" t="b">
        <v>1</v>
      </c>
      <c r="L1102" t="inlineStr">
        <is>
          <t>relevant</t>
        </is>
      </c>
      <c r="M1102" t="inlineStr">
        <is>
          <t>relevant</t>
        </is>
      </c>
      <c r="N1102" t="inlineStr">
        <is>
          <t>relevant</t>
        </is>
      </c>
      <c r="O1102" t="inlineStr">
        <is>
          <t>relevant</t>
        </is>
      </c>
      <c r="P1102" t="b">
        <v>1</v>
      </c>
    </row>
    <row r="1103">
      <c r="A1103" t="inlineStr">
        <is>
          <t>fashionable gifts</t>
        </is>
      </c>
      <c r="B1103" t="inlineStr"/>
      <c r="C1103" t="n">
        <v>1361323567</v>
      </c>
      <c r="D1103">
        <f>HYPERLINK("https://www.etsy.com/listing/1361323567", "link")</f>
        <v/>
      </c>
      <c r="E1103">
        <f>HYPERLINK("https://atlas.etsycorp.com/listing/1361323567/lookup", "link")</f>
        <v/>
      </c>
      <c r="F1103" t="inlineStr">
        <is>
          <t>Personalized Hand Embroidered Corner Bookmark, Felt Triangle Page Stitched Corner Handmade Bookmark</t>
        </is>
      </c>
      <c r="G1103" t="inlineStr">
        <is>
          <t>EuF3bs5-f6xbVgSZx2CACyLTjm3e</t>
        </is>
      </c>
      <c r="H1103" t="inlineStr">
        <is>
          <t>boe</t>
        </is>
      </c>
      <c r="I1103" t="inlineStr">
        <is>
          <t>en-US</t>
        </is>
      </c>
      <c r="J1103" t="inlineStr">
        <is>
          <t>us_v2-gift</t>
        </is>
      </c>
      <c r="K1103" t="b">
        <v>1</v>
      </c>
      <c r="L1103" t="inlineStr">
        <is>
          <t>not_relevant</t>
        </is>
      </c>
      <c r="M1103" t="inlineStr">
        <is>
          <t>partial</t>
        </is>
      </c>
      <c r="N1103" t="inlineStr">
        <is>
          <t>not_relevant</t>
        </is>
      </c>
      <c r="O1103" t="inlineStr">
        <is>
          <t>not_relevant</t>
        </is>
      </c>
      <c r="P1103" t="b">
        <v>1</v>
      </c>
    </row>
    <row r="1104">
      <c r="A1104" t="inlineStr">
        <is>
          <t>the witcher</t>
        </is>
      </c>
      <c r="B1104" t="inlineStr">
        <is>
          <t>the witcher</t>
        </is>
      </c>
      <c r="C1104" t="n">
        <v>1168818944</v>
      </c>
      <c r="D1104">
        <f>HYPERLINK("https://www.etsy.com/listing/1168818944", "link")</f>
        <v/>
      </c>
      <c r="E1104">
        <f>HYPERLINK("https://atlas.etsycorp.com/listing/1168818944/lookup", "link")</f>
        <v/>
      </c>
      <c r="F1104" t="inlineStr">
        <is>
          <t>Witcher belt, waist narrow corset.</t>
        </is>
      </c>
      <c r="G1104" t="inlineStr">
        <is>
          <t>EusU14j77Bj77ouFU9cLaRfeJ399</t>
        </is>
      </c>
      <c r="H1104" t="inlineStr">
        <is>
          <t>web</t>
        </is>
      </c>
      <c r="I1104" t="inlineStr">
        <is>
          <t>pl</t>
        </is>
      </c>
      <c r="J1104" t="inlineStr">
        <is>
          <t>intl-pl</t>
        </is>
      </c>
      <c r="K1104" t="b">
        <v>1</v>
      </c>
      <c r="L1104" t="inlineStr">
        <is>
          <t>relevant</t>
        </is>
      </c>
      <c r="M1104" t="inlineStr">
        <is>
          <t>partial</t>
        </is>
      </c>
      <c r="N1104" t="inlineStr">
        <is>
          <t>relevant</t>
        </is>
      </c>
      <c r="O1104" t="inlineStr">
        <is>
          <t>relevant</t>
        </is>
      </c>
      <c r="P1104" t="b">
        <v>1</v>
      </c>
    </row>
    <row r="1105">
      <c r="A1105" t="inlineStr">
        <is>
          <t>final fantasy cookie</t>
        </is>
      </c>
      <c r="B1105" t="inlineStr">
        <is>
          <t>final fantasy cookie</t>
        </is>
      </c>
      <c r="C1105" t="n">
        <v>1573315537</v>
      </c>
      <c r="D1105">
        <f>HYPERLINK("https://www.etsy.com/listing/1573315537", "link")</f>
        <v/>
      </c>
      <c r="E1105">
        <f>HYPERLINK("https://atlas.etsycorp.com/listing/1573315537/lookup", "link")</f>
        <v/>
      </c>
      <c r="F1105" t="inlineStr">
        <is>
          <t>FFXIV Scholar Job Stone Cookie Cutter 4inch Size</t>
        </is>
      </c>
      <c r="G1105" t="inlineStr">
        <is>
          <t>Euss7Q4KSsME3_qASdg9XG2z2B5c</t>
        </is>
      </c>
      <c r="H1105" t="inlineStr">
        <is>
          <t>web</t>
        </is>
      </c>
      <c r="I1105" t="inlineStr">
        <is>
          <t>fr</t>
        </is>
      </c>
      <c r="J1105" t="inlineStr">
        <is>
          <t>intl-fr</t>
        </is>
      </c>
      <c r="K1105" t="b">
        <v>1</v>
      </c>
      <c r="L1105" t="inlineStr">
        <is>
          <t>not_relevant</t>
        </is>
      </c>
      <c r="M1105" t="inlineStr">
        <is>
          <t>not_relevant</t>
        </is>
      </c>
      <c r="N1105" t="inlineStr">
        <is>
          <t>not_relevant</t>
        </is>
      </c>
      <c r="O1105" t="inlineStr">
        <is>
          <t>not_relevant</t>
        </is>
      </c>
      <c r="P1105" t="b">
        <v>1</v>
      </c>
    </row>
    <row r="1106">
      <c r="A1106" t="inlineStr">
        <is>
          <t>vintage style</t>
        </is>
      </c>
      <c r="B1106" t="inlineStr"/>
      <c r="C1106" t="n">
        <v>1599479274</v>
      </c>
      <c r="D1106">
        <f>HYPERLINK("https://www.etsy.com/listing/1599479274", "link")</f>
        <v/>
      </c>
      <c r="E1106">
        <f>HYPERLINK("https://atlas.etsycorp.com/listing/1599479274/lookup", "link")</f>
        <v/>
      </c>
      <c r="F1106" t="inlineStr">
        <is>
          <t>Haeger Glossy Black Swirl Amphora Style Handled Vase, Large Vintage Urn Shape Ceramic Vase</t>
        </is>
      </c>
      <c r="G1106" t="inlineStr">
        <is>
          <t>Eu2-1CuI_13D2dlC8AuqUPizCY75</t>
        </is>
      </c>
      <c r="H1106" t="inlineStr">
        <is>
          <t>web</t>
        </is>
      </c>
      <c r="I1106" t="inlineStr">
        <is>
          <t>en-US</t>
        </is>
      </c>
      <c r="J1106" t="inlineStr">
        <is>
          <t>us_v2-broad</t>
        </is>
      </c>
      <c r="K1106" t="b">
        <v>1</v>
      </c>
      <c r="L1106" t="inlineStr">
        <is>
          <t>relevant</t>
        </is>
      </c>
      <c r="M1106" t="inlineStr">
        <is>
          <t>relevant</t>
        </is>
      </c>
      <c r="N1106" t="inlineStr">
        <is>
          <t>relevant</t>
        </is>
      </c>
      <c r="O1106" t="inlineStr">
        <is>
          <t>relevant</t>
        </is>
      </c>
      <c r="P1106" t="b">
        <v>1</v>
      </c>
    </row>
    <row r="1107">
      <c r="A1107" t="inlineStr">
        <is>
          <t>gifts for women</t>
        </is>
      </c>
      <c r="B1107" t="inlineStr">
        <is>
          <t>gifts for women</t>
        </is>
      </c>
      <c r="C1107" t="n">
        <v>792145505</v>
      </c>
      <c r="D1107">
        <f>HYPERLINK("https://www.etsy.com/listing/792145505", "link")</f>
        <v/>
      </c>
      <c r="E1107">
        <f>HYPERLINK("https://atlas.etsycorp.com/listing/792145505/lookup", "link")</f>
        <v/>
      </c>
      <c r="F1107" t="inlineStr">
        <is>
          <t>DO YOUR WHISKY | Whiskey Infusion Set | 10 Spices | Whiskey Making Kit | Diy Kit | Gift for Men &amp; Women | Father&amp;#39;s Day Gift | Unique Gift</t>
        </is>
      </c>
      <c r="G1107" t="inlineStr">
        <is>
          <t>Eu1E1sMPQzpMzJEW-dXGX6ZuIzf1</t>
        </is>
      </c>
      <c r="H1107" t="inlineStr">
        <is>
          <t>boe</t>
        </is>
      </c>
      <c r="I1107" t="inlineStr">
        <is>
          <t>fr</t>
        </is>
      </c>
      <c r="J1107" t="inlineStr">
        <is>
          <t>intl-fr</t>
        </is>
      </c>
      <c r="K1107" t="b">
        <v>1</v>
      </c>
      <c r="L1107" t="inlineStr">
        <is>
          <t>partial</t>
        </is>
      </c>
      <c r="M1107" t="inlineStr">
        <is>
          <t>relevant</t>
        </is>
      </c>
      <c r="N1107" t="inlineStr">
        <is>
          <t>partial</t>
        </is>
      </c>
      <c r="O1107" t="inlineStr">
        <is>
          <t>partial</t>
        </is>
      </c>
      <c r="P1107" t="b">
        <v>1</v>
      </c>
    </row>
    <row r="1108">
      <c r="A1108" t="inlineStr">
        <is>
          <t>wedding flower confetti</t>
        </is>
      </c>
      <c r="B1108" t="inlineStr"/>
      <c r="C1108" t="n">
        <v>1387092135</v>
      </c>
      <c r="D1108">
        <f>HYPERLINK("https://www.etsy.com/listing/1387092135", "link")</f>
        <v/>
      </c>
      <c r="E1108">
        <f>HYPERLINK("https://atlas.etsycorp.com/listing/1387092135/lookup", "link")</f>
        <v/>
      </c>
      <c r="F1108" t="inlineStr">
        <is>
          <t>1 Litre Flower Confetti | Biodegradable Confetti | Dried Flower Wedding Confetti | Eco Friendly Wedding Confetti Bulk | Rice Paper Confetti</t>
        </is>
      </c>
      <c r="G1108" t="inlineStr">
        <is>
          <t>Euoco1dHf8cm3brCzfQw7fcMF99f</t>
        </is>
      </c>
      <c r="H1108" t="inlineStr">
        <is>
          <t>web</t>
        </is>
      </c>
      <c r="I1108" t="inlineStr">
        <is>
          <t>en-IN</t>
        </is>
      </c>
      <c r="J1108" t="inlineStr">
        <is>
          <t>us_v2-direct_unspecified</t>
        </is>
      </c>
      <c r="K1108" t="b">
        <v>1</v>
      </c>
      <c r="L1108" t="inlineStr">
        <is>
          <t>relevant</t>
        </is>
      </c>
      <c r="M1108" t="inlineStr">
        <is>
          <t>relevant</t>
        </is>
      </c>
      <c r="N1108" t="inlineStr">
        <is>
          <t>relevant</t>
        </is>
      </c>
      <c r="O1108" t="inlineStr">
        <is>
          <t>relevant</t>
        </is>
      </c>
      <c r="P1108" t="b">
        <v>1</v>
      </c>
    </row>
    <row r="1109">
      <c r="A1109" t="inlineStr">
        <is>
          <t>home</t>
        </is>
      </c>
      <c r="B1109" t="inlineStr"/>
      <c r="C1109" t="n">
        <v>515780786</v>
      </c>
      <c r="D1109">
        <f>HYPERLINK("https://www.etsy.com/listing/515780786", "link")</f>
        <v/>
      </c>
      <c r="E1109">
        <f>HYPERLINK("https://atlas.etsycorp.com/listing/515780786/lookup", "link")</f>
        <v/>
      </c>
      <c r="F1109" t="inlineStr">
        <is>
          <t>Weaving Loom Kit. Large lap loom. Learn to frame weave, tapestry. Beginners learn to weave.</t>
        </is>
      </c>
      <c r="G1109" t="inlineStr">
        <is>
          <t>Euj7HgDR5rq23ayZDaj3vT23n478</t>
        </is>
      </c>
      <c r="H1109" t="inlineStr">
        <is>
          <t>web</t>
        </is>
      </c>
      <c r="I1109" t="inlineStr">
        <is>
          <t>en-US</t>
        </is>
      </c>
      <c r="J1109" t="inlineStr">
        <is>
          <t>us_v2-broad</t>
        </is>
      </c>
      <c r="K1109" t="b">
        <v>1</v>
      </c>
      <c r="L1109" t="inlineStr">
        <is>
          <t>not_relevant</t>
        </is>
      </c>
      <c r="M1109" t="inlineStr">
        <is>
          <t>relevant</t>
        </is>
      </c>
      <c r="N1109" t="inlineStr">
        <is>
          <t>not_relevant</t>
        </is>
      </c>
      <c r="O1109" t="inlineStr">
        <is>
          <t>not_relevant</t>
        </is>
      </c>
      <c r="P1109" t="b">
        <v>1</v>
      </c>
    </row>
    <row r="1110">
      <c r="A1110" t="inlineStr">
        <is>
          <t>Rosalina hot</t>
        </is>
      </c>
      <c r="B1110" t="inlineStr">
        <is>
          <t>Rosalina hot</t>
        </is>
      </c>
      <c r="C1110" t="n">
        <v>1644790508</v>
      </c>
      <c r="D1110">
        <f>HYPERLINK("https://www.etsy.com/listing/1644790508", "link")</f>
        <v/>
      </c>
      <c r="E1110">
        <f>HYPERLINK("https://atlas.etsycorp.com/listing/1644790508/lookup", "link")</f>
        <v/>
      </c>
      <c r="F1110" t="inlineStr">
        <is>
          <t>Bowsette 3D STL File - 3D Design 3D Printer Bowsette STL</t>
        </is>
      </c>
      <c r="G1110" t="inlineStr">
        <is>
          <t>EuRk-iADqUiYNJZ3FRqxjPKLuy64</t>
        </is>
      </c>
      <c r="H1110" t="inlineStr">
        <is>
          <t>web</t>
        </is>
      </c>
      <c r="I1110" t="inlineStr">
        <is>
          <t>es</t>
        </is>
      </c>
      <c r="J1110" t="inlineStr">
        <is>
          <t>intl-es</t>
        </is>
      </c>
      <c r="K1110" t="b">
        <v>1</v>
      </c>
      <c r="L1110" t="inlineStr">
        <is>
          <t>partial</t>
        </is>
      </c>
      <c r="M1110" t="inlineStr">
        <is>
          <t>partial</t>
        </is>
      </c>
      <c r="N1110" t="inlineStr">
        <is>
          <t>partial</t>
        </is>
      </c>
      <c r="O1110" t="inlineStr">
        <is>
          <t>not_relevant</t>
        </is>
      </c>
      <c r="P1110" t="b">
        <v>1</v>
      </c>
    </row>
    <row r="1111">
      <c r="A1111" t="inlineStr">
        <is>
          <t>watercolor terracota flower</t>
        </is>
      </c>
      <c r="B1111" t="inlineStr">
        <is>
          <t>watercolor terracotta flower</t>
        </is>
      </c>
      <c r="C1111" t="n">
        <v>1720885491</v>
      </c>
      <c r="D1111">
        <f>HYPERLINK("https://www.etsy.com/listing/1720885491", "link")</f>
        <v/>
      </c>
      <c r="E1111">
        <f>HYPERLINK("https://atlas.etsycorp.com/listing/1720885491/lookup", "link")</f>
        <v/>
      </c>
      <c r="F1111" t="inlineStr">
        <is>
          <t>Boho Mini Dry Flower,Dried Rose Bouquets,Rustic Boho Wild Flowers,Letterbox Bouquet,Housewarming Gifts,Boho Home Decor Gift,Birthday Gift</t>
        </is>
      </c>
      <c r="G1111" t="inlineStr">
        <is>
          <t>EuVg2_EkWq0UB6b9_yBLs4iW3Uc8</t>
        </is>
      </c>
      <c r="H1111" t="inlineStr">
        <is>
          <t>web</t>
        </is>
      </c>
      <c r="I1111" t="inlineStr">
        <is>
          <t>pt</t>
        </is>
      </c>
      <c r="J1111" t="inlineStr">
        <is>
          <t>intl-pt</t>
        </is>
      </c>
      <c r="K1111" t="b">
        <v>1</v>
      </c>
      <c r="L1111" t="inlineStr">
        <is>
          <t>not_relevant</t>
        </is>
      </c>
      <c r="M1111" t="inlineStr">
        <is>
          <t>not_relevant</t>
        </is>
      </c>
      <c r="N1111" t="inlineStr">
        <is>
          <t>not_relevant</t>
        </is>
      </c>
      <c r="O1111" t="inlineStr">
        <is>
          <t>not_relevant</t>
        </is>
      </c>
      <c r="P1111" t="b">
        <v>1</v>
      </c>
    </row>
    <row r="1112">
      <c r="A1112" t="inlineStr">
        <is>
          <t>vitage fischer</t>
        </is>
      </c>
      <c r="B1112" t="inlineStr">
        <is>
          <t>vitage fischer</t>
        </is>
      </c>
      <c r="C1112" t="n">
        <v>1641194826</v>
      </c>
      <c r="D1112">
        <f>HYPERLINK("https://www.etsy.com/listing/1641194826", "link")</f>
        <v/>
      </c>
      <c r="E1112">
        <f>HYPERLINK("https://atlas.etsycorp.com/listing/1641194826/lookup", "link")</f>
        <v/>
      </c>
      <c r="F1112" t="inlineStr">
        <is>
          <t>Illuminated angler/fisherman</t>
        </is>
      </c>
      <c r="G1112" t="inlineStr">
        <is>
          <t>EuiZIMfcG1WdgY45iGZikrMmrAa7</t>
        </is>
      </c>
      <c r="H1112" t="inlineStr">
        <is>
          <t>web</t>
        </is>
      </c>
      <c r="I1112" t="inlineStr">
        <is>
          <t>de</t>
        </is>
      </c>
      <c r="J1112" t="inlineStr">
        <is>
          <t>intl-de</t>
        </is>
      </c>
      <c r="K1112" t="b">
        <v>1</v>
      </c>
      <c r="L1112" t="inlineStr">
        <is>
          <t>not_relevant</t>
        </is>
      </c>
      <c r="M1112" t="inlineStr">
        <is>
          <t>relevant</t>
        </is>
      </c>
      <c r="N1112" t="inlineStr">
        <is>
          <t>not_relevant</t>
        </is>
      </c>
      <c r="O1112" t="inlineStr">
        <is>
          <t>not_relevant</t>
        </is>
      </c>
      <c r="P1112" t="b">
        <v>1</v>
      </c>
    </row>
    <row r="1113">
      <c r="A1113" t="inlineStr">
        <is>
          <t>segment ring chirugenstahm</t>
        </is>
      </c>
      <c r="B1113" t="inlineStr">
        <is>
          <t>segment ring surgical stem</t>
        </is>
      </c>
      <c r="C1113" t="n">
        <v>1639182188</v>
      </c>
      <c r="D1113">
        <f>HYPERLINK("https://www.etsy.com/listing/1639182188", "link")</f>
        <v/>
      </c>
      <c r="E1113">
        <f>HYPERLINK("https://atlas.etsycorp.com/listing/1639182188/lookup", "link")</f>
        <v/>
      </c>
      <c r="F1113" t="inlineStr">
        <is>
          <t>Oval clicker ring, Titanium hinged segment piercing ring 1.2mm/16g, minimal septum clicker, cartilage jewellery</t>
        </is>
      </c>
      <c r="G1113" t="inlineStr">
        <is>
          <t>EuVp7tzLjANE5_qCJlBdDrVF8R7b</t>
        </is>
      </c>
      <c r="H1113" t="inlineStr">
        <is>
          <t>web</t>
        </is>
      </c>
      <c r="I1113" t="inlineStr">
        <is>
          <t>de</t>
        </is>
      </c>
      <c r="J1113" t="inlineStr">
        <is>
          <t>intl-de</t>
        </is>
      </c>
      <c r="K1113" t="b">
        <v>1</v>
      </c>
      <c r="L1113" t="inlineStr">
        <is>
          <t>relevant</t>
        </is>
      </c>
      <c r="M1113" t="inlineStr">
        <is>
          <t>partial</t>
        </is>
      </c>
      <c r="N1113" t="inlineStr">
        <is>
          <t>relevant</t>
        </is>
      </c>
      <c r="O1113" t="inlineStr">
        <is>
          <t>relevant</t>
        </is>
      </c>
      <c r="P1113" t="b">
        <v>1</v>
      </c>
    </row>
    <row r="1114">
      <c r="A1114" t="inlineStr">
        <is>
          <t>rouge à levres sans titane</t>
        </is>
      </c>
      <c r="B1114" t="inlineStr">
        <is>
          <t>lipstick without titanium</t>
        </is>
      </c>
      <c r="C1114" t="n">
        <v>1720511290</v>
      </c>
      <c r="D1114">
        <f>HYPERLINK("https://www.etsy.com/listing/1720511290", "link")</f>
        <v/>
      </c>
      <c r="E1114">
        <f>HYPERLINK("https://atlas.etsycorp.com/listing/1720511290/lookup", "link")</f>
        <v/>
      </c>
      <c r="F1114" t="inlineStr">
        <is>
          <t>Titanium Gold PVD ASTM F136 Red Marquise CZ Threadless Top Threadless Piercing Conch Flat Cartilage Helix Labret Monroe</t>
        </is>
      </c>
      <c r="G1114" t="inlineStr">
        <is>
          <t>EuzBD9_lcW02dTyqZUguflcwPmf3</t>
        </is>
      </c>
      <c r="H1114" t="inlineStr">
        <is>
          <t>web</t>
        </is>
      </c>
      <c r="I1114" t="inlineStr">
        <is>
          <t>fr</t>
        </is>
      </c>
      <c r="J1114" t="inlineStr">
        <is>
          <t>intl-fr</t>
        </is>
      </c>
      <c r="K1114" t="b">
        <v>1</v>
      </c>
      <c r="L1114" t="inlineStr">
        <is>
          <t>not_relevant</t>
        </is>
      </c>
      <c r="M1114" t="inlineStr">
        <is>
          <t>not_relevant</t>
        </is>
      </c>
      <c r="N1114" t="inlineStr">
        <is>
          <t>not_relevant</t>
        </is>
      </c>
      <c r="O1114" t="inlineStr">
        <is>
          <t>not_relevant</t>
        </is>
      </c>
      <c r="P1114" t="b">
        <v>1</v>
      </c>
    </row>
    <row r="1115">
      <c r="A1115" t="inlineStr">
        <is>
          <t>disco cowgirl birthday invitation</t>
        </is>
      </c>
      <c r="B1115" t="inlineStr"/>
      <c r="C1115" t="n">
        <v>1610000395</v>
      </c>
      <c r="D1115">
        <f>HYPERLINK("https://www.etsy.com/listing/1610000395", "link")</f>
        <v/>
      </c>
      <c r="E1115">
        <f>HYPERLINK("https://atlas.etsycorp.com/listing/1610000395/lookup", "link")</f>
        <v/>
      </c>
      <c r="F1115" t="inlineStr">
        <is>
          <t>Rodeo Cowgirl - Pink Western Gift Favor Bags - Party Goodie Boxes - Set of 12</t>
        </is>
      </c>
      <c r="G1115" t="inlineStr">
        <is>
          <t>Euz01bKMZET3I3xZTV5ZzZJVqx44</t>
        </is>
      </c>
      <c r="H1115" t="inlineStr">
        <is>
          <t>web</t>
        </is>
      </c>
      <c r="I1115" t="inlineStr">
        <is>
          <t>en-US</t>
        </is>
      </c>
      <c r="J1115" t="inlineStr">
        <is>
          <t>us_v2-direct_specified</t>
        </is>
      </c>
      <c r="K1115" t="b">
        <v>1</v>
      </c>
      <c r="L1115" t="inlineStr">
        <is>
          <t>not_relevant</t>
        </is>
      </c>
      <c r="M1115" t="inlineStr">
        <is>
          <t>not_relevant</t>
        </is>
      </c>
      <c r="N1115" t="inlineStr">
        <is>
          <t>not_relevant</t>
        </is>
      </c>
      <c r="O1115" t="inlineStr">
        <is>
          <t>partial</t>
        </is>
      </c>
      <c r="P1115" t="b">
        <v>1</v>
      </c>
    </row>
    <row r="1116">
      <c r="A1116" t="inlineStr">
        <is>
          <t>tatuajes de cristo</t>
        </is>
      </c>
      <c r="B1116" t="inlineStr">
        <is>
          <t>christ tattoos</t>
        </is>
      </c>
      <c r="C1116" t="n">
        <v>1746673622</v>
      </c>
      <c r="D1116">
        <f>HYPERLINK("https://www.etsy.com/listing/1746673622", "link")</f>
        <v/>
      </c>
      <c r="E1116">
        <f>HYPERLINK("https://atlas.etsycorp.com/listing/1746673622/lookup", "link")</f>
        <v/>
      </c>
      <c r="F1116" t="inlineStr">
        <is>
          <t>CRUCIFIXION OF JESUS, Svg, T-Shirt Design, Sticker, Mug Wrap, Vector, Tattoo, Silhouette, Digital Download, Svg-Png-Eps-Dxf-Jpg-Pdf</t>
        </is>
      </c>
      <c r="G1116" t="inlineStr">
        <is>
          <t>EuZQiGVxGby3lisrUnz-E-IoO896</t>
        </is>
      </c>
      <c r="H1116" t="inlineStr">
        <is>
          <t>web</t>
        </is>
      </c>
      <c r="I1116" t="inlineStr">
        <is>
          <t>es</t>
        </is>
      </c>
      <c r="J1116" t="inlineStr">
        <is>
          <t>intl-es</t>
        </is>
      </c>
      <c r="K1116" t="b">
        <v>1</v>
      </c>
      <c r="L1116" t="inlineStr">
        <is>
          <t>relevant</t>
        </is>
      </c>
      <c r="M1116" t="inlineStr">
        <is>
          <t>relevant</t>
        </is>
      </c>
      <c r="N1116" t="inlineStr">
        <is>
          <t>relevant</t>
        </is>
      </c>
      <c r="O1116" t="inlineStr">
        <is>
          <t>relevant</t>
        </is>
      </c>
      <c r="P1116" t="b">
        <v>1</v>
      </c>
    </row>
    <row r="1117">
      <c r="A1117" t="inlineStr">
        <is>
          <t>saree</t>
        </is>
      </c>
      <c r="B1117" t="inlineStr"/>
      <c r="C1117" t="n">
        <v>1219186779</v>
      </c>
      <c r="D1117">
        <f>HYPERLINK("https://www.etsy.com/listing/1219186779", "link")</f>
        <v/>
      </c>
      <c r="E1117">
        <f>HYPERLINK("https://atlas.etsycorp.com/listing/1219186779/lookup", "link")</f>
        <v/>
      </c>
      <c r="F1117" t="inlineStr">
        <is>
          <t>Georgette saree 1534</t>
        </is>
      </c>
      <c r="G1117" t="inlineStr">
        <is>
          <t>EudXDCyk7LG94oluiHAnolpyr032</t>
        </is>
      </c>
      <c r="H1117" t="inlineStr">
        <is>
          <t>web</t>
        </is>
      </c>
      <c r="I1117" t="inlineStr">
        <is>
          <t>en-GB</t>
        </is>
      </c>
      <c r="J1117" t="inlineStr">
        <is>
          <t>us_v2-direct_unspecified</t>
        </is>
      </c>
      <c r="K1117" t="b">
        <v>1</v>
      </c>
      <c r="L1117" t="inlineStr">
        <is>
          <t>relevant</t>
        </is>
      </c>
      <c r="M1117" t="inlineStr">
        <is>
          <t>relevant</t>
        </is>
      </c>
      <c r="N1117" t="inlineStr">
        <is>
          <t>relevant</t>
        </is>
      </c>
      <c r="O1117" t="inlineStr">
        <is>
          <t>relevant</t>
        </is>
      </c>
      <c r="P1117" t="b">
        <v>1</v>
      </c>
    </row>
    <row r="1118">
      <c r="A1118" t="inlineStr">
        <is>
          <t>hotairballoonnursery tavolo sedie bambini</t>
        </is>
      </c>
      <c r="B1118" t="inlineStr">
        <is>
          <t>hotairballoonnursery tavolo sedie bambini</t>
        </is>
      </c>
      <c r="C1118" t="n">
        <v>1702829474</v>
      </c>
      <c r="D1118">
        <f>HYPERLINK("https://www.etsy.com/listing/1702829474", "link")</f>
        <v/>
      </c>
      <c r="E1118">
        <f>HYPERLINK("https://atlas.etsycorp.com/listing/1702829474/lookup", "link")</f>
        <v/>
      </c>
      <c r="F1118" t="inlineStr">
        <is>
          <t>Kids Furniture Set - Kids Table Chairs - Children Table Set - Wooden Sensory Baby Table- Small Kids Table With Chairs - Chair for Children</t>
        </is>
      </c>
      <c r="G1118" t="inlineStr">
        <is>
          <t>EurSQ1Q-XoICg6VAnvZmgkkndq0e</t>
        </is>
      </c>
      <c r="H1118" t="inlineStr">
        <is>
          <t>web</t>
        </is>
      </c>
      <c r="I1118" t="inlineStr">
        <is>
          <t>it</t>
        </is>
      </c>
      <c r="J1118" t="inlineStr">
        <is>
          <t>intl-it</t>
        </is>
      </c>
      <c r="K1118" t="b">
        <v>1</v>
      </c>
      <c r="L1118" t="inlineStr">
        <is>
          <t>partial</t>
        </is>
      </c>
      <c r="M1118" t="inlineStr">
        <is>
          <t>partial</t>
        </is>
      </c>
      <c r="N1118" t="inlineStr">
        <is>
          <t>partial</t>
        </is>
      </c>
      <c r="O1118" t="inlineStr">
        <is>
          <t>partial</t>
        </is>
      </c>
      <c r="P1118" t="b">
        <v>1</v>
      </c>
    </row>
    <row r="1119">
      <c r="A1119" t="inlineStr">
        <is>
          <t>fashionbrandsale</t>
        </is>
      </c>
      <c r="B1119" t="inlineStr"/>
      <c r="C1119" t="n">
        <v>1483031644</v>
      </c>
      <c r="D1119">
        <f>HYPERLINK("https://www.etsy.com/listing/1483031644", "link")</f>
        <v/>
      </c>
      <c r="E1119">
        <f>HYPERLINK("https://atlas.etsycorp.com/listing/1483031644/lookup", "link")</f>
        <v/>
      </c>
      <c r="F1119" t="inlineStr">
        <is>
          <t>Affliction Women&amp;#39;s Zip Up Hoodie Jacket Michell Size SMALL</t>
        </is>
      </c>
      <c r="G1119" t="inlineStr">
        <is>
          <t>EuN_RMOiKh4EE8Sf4DkytGolG694</t>
        </is>
      </c>
      <c r="H1119" t="inlineStr">
        <is>
          <t>web</t>
        </is>
      </c>
      <c r="I1119" t="inlineStr">
        <is>
          <t>en-US</t>
        </is>
      </c>
      <c r="J1119" t="inlineStr">
        <is>
          <t>us_v2-broad</t>
        </is>
      </c>
      <c r="K1119" t="b">
        <v>1</v>
      </c>
      <c r="L1119" t="inlineStr">
        <is>
          <t>partial</t>
        </is>
      </c>
      <c r="M1119" t="inlineStr">
        <is>
          <t>not_relevant</t>
        </is>
      </c>
      <c r="N1119" t="inlineStr">
        <is>
          <t>partial</t>
        </is>
      </c>
      <c r="O1119" t="inlineStr">
        <is>
          <t>partial</t>
        </is>
      </c>
      <c r="P1119" t="b">
        <v>1</v>
      </c>
    </row>
    <row r="1120">
      <c r="A1120" t="inlineStr">
        <is>
          <t>i solemnly swear that i am up to no good svg</t>
        </is>
      </c>
      <c r="B1120" t="inlineStr">
        <is>
          <t>i solemnly swear that i am up to no good svg</t>
        </is>
      </c>
      <c r="C1120" t="n">
        <v>1455115317</v>
      </c>
      <c r="D1120">
        <f>HYPERLINK("https://www.etsy.com/listing/1455115317", "link")</f>
        <v/>
      </c>
      <c r="E1120">
        <f>HYPERLINK("https://atlas.etsycorp.com/listing/1455115317/lookup", "link")</f>
        <v/>
      </c>
      <c r="F1120" t="inlineStr">
        <is>
          <t>Bride&amp;#39;s Army We are up to no good SVG, Bride&amp;#39;s Army  PNG Files, Bachelorette Party Svg, Bridal Party SVG, Mischief Svg,</t>
        </is>
      </c>
      <c r="G1120" t="inlineStr">
        <is>
          <t>EujhUjGbByxlXkdzSqJ0dlZJiq8d</t>
        </is>
      </c>
      <c r="H1120" t="inlineStr">
        <is>
          <t>boe</t>
        </is>
      </c>
      <c r="I1120" t="inlineStr">
        <is>
          <t>de</t>
        </is>
      </c>
      <c r="J1120" t="inlineStr">
        <is>
          <t>intl-de</t>
        </is>
      </c>
      <c r="K1120" t="b">
        <v>1</v>
      </c>
      <c r="L1120" t="inlineStr">
        <is>
          <t>not_relevant</t>
        </is>
      </c>
      <c r="M1120" t="inlineStr">
        <is>
          <t>not_relevant</t>
        </is>
      </c>
      <c r="N1120" t="inlineStr">
        <is>
          <t>not_relevant</t>
        </is>
      </c>
      <c r="O1120" t="inlineStr">
        <is>
          <t>partial</t>
        </is>
      </c>
      <c r="P1120" t="b">
        <v>1</v>
      </c>
    </row>
    <row r="1121">
      <c r="A1121" t="inlineStr">
        <is>
          <t>shinee tote</t>
        </is>
      </c>
      <c r="B1121" t="inlineStr"/>
      <c r="C1121" t="n">
        <v>1366650365</v>
      </c>
      <c r="D1121">
        <f>HYPERLINK("https://www.etsy.com/listing/1366650365", "link")</f>
        <v/>
      </c>
      <c r="E1121">
        <f>HYPERLINK("https://atlas.etsycorp.com/listing/1366650365/lookup", "link")</f>
        <v/>
      </c>
      <c r="F1121" t="inlineStr">
        <is>
          <t>SHINee / Taemin  Albums [Sealed / New/ Full Content] Guilty, Don’t Call Me, Advice, Atlantis Photobook version</t>
        </is>
      </c>
      <c r="G1121" t="inlineStr">
        <is>
          <t>EuzzNoYYNGip2Hsfe0K2VRA1tna7</t>
        </is>
      </c>
      <c r="H1121" t="inlineStr">
        <is>
          <t>web</t>
        </is>
      </c>
      <c r="I1121" t="inlineStr">
        <is>
          <t>en-US</t>
        </is>
      </c>
      <c r="J1121" t="inlineStr">
        <is>
          <t>us_v2-broad</t>
        </is>
      </c>
      <c r="K1121" t="b">
        <v>1</v>
      </c>
      <c r="L1121" t="inlineStr">
        <is>
          <t>not_relevant</t>
        </is>
      </c>
      <c r="M1121" t="inlineStr">
        <is>
          <t>partial</t>
        </is>
      </c>
      <c r="N1121" t="inlineStr">
        <is>
          <t>not_relevant</t>
        </is>
      </c>
      <c r="O1121" t="inlineStr">
        <is>
          <t>not_relevant</t>
        </is>
      </c>
      <c r="P1121" t="b">
        <v>1</v>
      </c>
    </row>
    <row r="1122">
      <c r="A1122" t="inlineStr">
        <is>
          <t>yungblud  plush</t>
        </is>
      </c>
      <c r="B1122" t="inlineStr"/>
      <c r="C1122" t="n">
        <v>1537579932</v>
      </c>
      <c r="D1122">
        <f>HYPERLINK("https://www.etsy.com/listing/1537579932", "link")</f>
        <v/>
      </c>
      <c r="E1122">
        <f>HYPERLINK("https://atlas.etsycorp.com/listing/1537579932/lookup", "link")</f>
        <v/>
      </c>
      <c r="F1122" t="inlineStr">
        <is>
          <t>Yungblud Album Cover Poster - Wall Art - Home Decor - Digital Download - Music</t>
        </is>
      </c>
      <c r="G1122" t="inlineStr">
        <is>
          <t>Eu4xH_9LzEdikB04pCehFvAKzNac</t>
        </is>
      </c>
      <c r="H1122" t="inlineStr">
        <is>
          <t>boe</t>
        </is>
      </c>
      <c r="I1122" t="inlineStr">
        <is>
          <t>en-US</t>
        </is>
      </c>
      <c r="J1122" t="inlineStr">
        <is>
          <t>us_v2-direct_specified</t>
        </is>
      </c>
      <c r="K1122" t="b">
        <v>1</v>
      </c>
      <c r="L1122" t="inlineStr">
        <is>
          <t>partial</t>
        </is>
      </c>
      <c r="M1122" t="inlineStr">
        <is>
          <t>partial</t>
        </is>
      </c>
      <c r="N1122" t="inlineStr">
        <is>
          <t>partial</t>
        </is>
      </c>
      <c r="O1122" t="inlineStr">
        <is>
          <t>partial</t>
        </is>
      </c>
      <c r="P1122" t="b">
        <v>1</v>
      </c>
    </row>
    <row r="1123">
      <c r="A1123" t="inlineStr">
        <is>
          <t>let em run png</t>
        </is>
      </c>
      <c r="B1123" t="inlineStr"/>
      <c r="C1123" t="n">
        <v>1173717625</v>
      </c>
      <c r="D1123">
        <f>HYPERLINK("https://www.etsy.com/listing/1173717625", "link")</f>
        <v/>
      </c>
      <c r="E1123">
        <f>HYPERLINK("https://atlas.etsycorp.com/listing/1173717625/lookup", "link")</f>
        <v/>
      </c>
      <c r="F1123" t="inlineStr">
        <is>
          <t>Brick Floral Cutting Board Design, Kitchen Sublimation, Rectangle Sublimation Designs, Cutting Board Designs , Farmhouse PNG, Cake Pan png</t>
        </is>
      </c>
      <c r="G1123" t="inlineStr">
        <is>
          <t>EutEexAmeZuQg-UlivMZBvytAQ57</t>
        </is>
      </c>
      <c r="H1123" t="inlineStr">
        <is>
          <t>web</t>
        </is>
      </c>
      <c r="I1123" t="inlineStr">
        <is>
          <t>en-US</t>
        </is>
      </c>
      <c r="J1123" t="inlineStr">
        <is>
          <t>us_v2-direct_specified</t>
        </is>
      </c>
      <c r="K1123" t="b">
        <v>1</v>
      </c>
      <c r="L1123" t="inlineStr">
        <is>
          <t>partial</t>
        </is>
      </c>
      <c r="M1123" t="inlineStr">
        <is>
          <t>partial</t>
        </is>
      </c>
      <c r="N1123" t="inlineStr">
        <is>
          <t>not_relevant</t>
        </is>
      </c>
      <c r="O1123" t="inlineStr">
        <is>
          <t>partial</t>
        </is>
      </c>
      <c r="P1123" t="b">
        <v>1</v>
      </c>
    </row>
    <row r="1124">
      <c r="A1124" t="inlineStr">
        <is>
          <t>pink striped scarf</t>
        </is>
      </c>
      <c r="B1124" t="inlineStr"/>
      <c r="C1124" t="n">
        <v>1284240324</v>
      </c>
      <c r="D1124">
        <f>HYPERLINK("https://www.etsy.com/listing/1284240324", "link")</f>
        <v/>
      </c>
      <c r="E1124">
        <f>HYPERLINK("https://atlas.etsycorp.com/listing/1284240324/lookup", "link")</f>
        <v/>
      </c>
      <c r="F1124" t="inlineStr">
        <is>
          <t>Linen skinny scarf crochet Hand knit long thin scarf Knit narrow scarf for woman</t>
        </is>
      </c>
      <c r="G1124" t="inlineStr">
        <is>
          <t>EuG1TlcwuiX46HYHmxGxdjUhhnde</t>
        </is>
      </c>
      <c r="H1124" t="inlineStr">
        <is>
          <t>boe</t>
        </is>
      </c>
      <c r="I1124" t="inlineStr">
        <is>
          <t>en-US</t>
        </is>
      </c>
      <c r="J1124" t="inlineStr">
        <is>
          <t>us_v2-direct_specified</t>
        </is>
      </c>
      <c r="K1124" t="b">
        <v>1</v>
      </c>
      <c r="L1124" t="inlineStr">
        <is>
          <t>partial</t>
        </is>
      </c>
      <c r="M1124" t="inlineStr">
        <is>
          <t>partial</t>
        </is>
      </c>
      <c r="N1124" t="inlineStr">
        <is>
          <t>partial</t>
        </is>
      </c>
      <c r="O1124" t="inlineStr">
        <is>
          <t>partial</t>
        </is>
      </c>
      <c r="P1124" t="b">
        <v>1</v>
      </c>
    </row>
    <row r="1125">
      <c r="A1125" t="inlineStr">
        <is>
          <t>womens  godsmack tank</t>
        </is>
      </c>
      <c r="B1125" t="inlineStr"/>
      <c r="C1125" t="n">
        <v>854214294</v>
      </c>
      <c r="D1125">
        <f>HYPERLINK("https://www.etsy.com/listing/854214294", "link")</f>
        <v/>
      </c>
      <c r="E1125">
        <f>HYPERLINK("https://atlas.etsycorp.com/listing/854214294/lookup", "link")</f>
        <v/>
      </c>
      <c r="F1125" t="inlineStr">
        <is>
          <t>Cocteau Twins crop tank top goth</t>
        </is>
      </c>
      <c r="G1125" t="inlineStr">
        <is>
          <t>EuJQJLapwgYUfapm4MvsKSB7046b</t>
        </is>
      </c>
      <c r="H1125" t="inlineStr">
        <is>
          <t>boe</t>
        </is>
      </c>
      <c r="I1125" t="inlineStr">
        <is>
          <t>en-US</t>
        </is>
      </c>
      <c r="J1125" t="inlineStr">
        <is>
          <t>us_v2-direct_unspecified</t>
        </is>
      </c>
      <c r="K1125" t="b">
        <v>1</v>
      </c>
      <c r="L1125" t="inlineStr">
        <is>
          <t>partial</t>
        </is>
      </c>
      <c r="M1125" t="inlineStr">
        <is>
          <t>partial</t>
        </is>
      </c>
      <c r="N1125" t="inlineStr">
        <is>
          <t>partial</t>
        </is>
      </c>
      <c r="O1125" t="inlineStr">
        <is>
          <t>partial</t>
        </is>
      </c>
      <c r="P1125" t="b">
        <v>1</v>
      </c>
    </row>
    <row r="1126">
      <c r="A1126" t="inlineStr">
        <is>
          <t>one groovy baby png</t>
        </is>
      </c>
      <c r="B1126" t="inlineStr"/>
      <c r="C1126" t="n">
        <v>1263575775</v>
      </c>
      <c r="D1126">
        <f>HYPERLINK("https://www.etsy.com/listing/1263575775", "link")</f>
        <v/>
      </c>
      <c r="E1126">
        <f>HYPERLINK("https://atlas.etsycorp.com/listing/1263575775/lookup", "link")</f>
        <v/>
      </c>
      <c r="F1126" t="inlineStr">
        <is>
          <t>Editable Girl&amp;#39;s 1st Birthday One Groovy Baby Daisy Party Invitation, Boho 70s theme, INSTANT DOWNLOAD, Edit, Download, Print/Email! 0888</t>
        </is>
      </c>
      <c r="G1126" t="inlineStr">
        <is>
          <t>Eur5iDqi7rdDxx0m2pLN3HJLvM76</t>
        </is>
      </c>
      <c r="H1126" t="inlineStr">
        <is>
          <t>web</t>
        </is>
      </c>
      <c r="I1126" t="inlineStr">
        <is>
          <t>en-US</t>
        </is>
      </c>
      <c r="J1126" t="inlineStr">
        <is>
          <t>us_v2-direct_specified</t>
        </is>
      </c>
      <c r="K1126" t="b">
        <v>1</v>
      </c>
      <c r="L1126" t="inlineStr">
        <is>
          <t>partial</t>
        </is>
      </c>
      <c r="M1126" t="inlineStr">
        <is>
          <t>partial</t>
        </is>
      </c>
      <c r="N1126" t="inlineStr">
        <is>
          <t>partial</t>
        </is>
      </c>
      <c r="O1126" t="inlineStr">
        <is>
          <t>partial</t>
        </is>
      </c>
      <c r="P1126" t="b">
        <v>1</v>
      </c>
    </row>
    <row r="1127">
      <c r="A1127" t="inlineStr">
        <is>
          <t>five nights at freddys</t>
        </is>
      </c>
      <c r="B1127" t="inlineStr"/>
      <c r="C1127" t="n">
        <v>1643673144</v>
      </c>
      <c r="D1127">
        <f>HYPERLINK("https://www.etsy.com/listing/1643673144", "link")</f>
        <v/>
      </c>
      <c r="E1127">
        <f>HYPERLINK("https://atlas.etsycorp.com/listing/1643673144/lookup", "link")</f>
        <v/>
      </c>
      <c r="F1127" t="inlineStr">
        <is>
          <t>FNAF valentines, fnaf vday cards, five nights at freddys valentines, fnaf invites, fnf class cards, fnaf birthday,, fnf plushies, fnaf party</t>
        </is>
      </c>
      <c r="G1127" t="inlineStr">
        <is>
          <t>EufypSqjXZ3U_GOaj3OWhPXC_nc9</t>
        </is>
      </c>
      <c r="H1127" t="inlineStr">
        <is>
          <t>boe</t>
        </is>
      </c>
      <c r="I1127" t="inlineStr">
        <is>
          <t>en-US</t>
        </is>
      </c>
      <c r="J1127" t="inlineStr">
        <is>
          <t>us_v2-broad</t>
        </is>
      </c>
      <c r="K1127" t="b">
        <v>1</v>
      </c>
      <c r="L1127" t="inlineStr">
        <is>
          <t>relevant</t>
        </is>
      </c>
      <c r="M1127" t="inlineStr">
        <is>
          <t>relevant</t>
        </is>
      </c>
      <c r="N1127" t="inlineStr">
        <is>
          <t>relevant</t>
        </is>
      </c>
      <c r="O1127" t="inlineStr">
        <is>
          <t>relevant</t>
        </is>
      </c>
      <c r="P1127" t="b">
        <v>1</v>
      </c>
    </row>
    <row r="1128">
      <c r="A1128" t="inlineStr">
        <is>
          <t>Hilos de 3 hebra para tener</t>
        </is>
      </c>
      <c r="B1128" t="inlineStr">
        <is>
          <t>3 strand threads to have</t>
        </is>
      </c>
      <c r="C1128" t="n">
        <v>1681777248</v>
      </c>
      <c r="D1128">
        <f>HYPERLINK("https://www.etsy.com/listing/1681777248", "link")</f>
        <v/>
      </c>
      <c r="E1128">
        <f>HYPERLINK("https://atlas.etsycorp.com/listing/1681777248/lookup", "link")</f>
        <v/>
      </c>
      <c r="F1128" t="inlineStr">
        <is>
          <t>Arnica Gel</t>
        </is>
      </c>
      <c r="G1128" t="inlineStr">
        <is>
          <t>EuzjM83pVDRmraccnFw97jkbMPad</t>
        </is>
      </c>
      <c r="H1128" t="inlineStr">
        <is>
          <t>boe</t>
        </is>
      </c>
      <c r="I1128" t="inlineStr">
        <is>
          <t>es</t>
        </is>
      </c>
      <c r="J1128" t="inlineStr">
        <is>
          <t>intl-es</t>
        </is>
      </c>
      <c r="K1128" t="b">
        <v>1</v>
      </c>
      <c r="L1128" t="inlineStr">
        <is>
          <t>not_relevant</t>
        </is>
      </c>
      <c r="M1128" t="inlineStr">
        <is>
          <t>not_relevant</t>
        </is>
      </c>
      <c r="N1128" t="inlineStr">
        <is>
          <t>not_relevant</t>
        </is>
      </c>
      <c r="O1128" t="inlineStr">
        <is>
          <t>not_relevant</t>
        </is>
      </c>
      <c r="P1128" t="b">
        <v>1</v>
      </c>
    </row>
    <row r="1129">
      <c r="A1129" t="inlineStr">
        <is>
          <t>wish disney</t>
        </is>
      </c>
      <c r="B1129" t="inlineStr">
        <is>
          <t>wish disney</t>
        </is>
      </c>
      <c r="C1129" t="n">
        <v>1647566110</v>
      </c>
      <c r="D1129">
        <f>HYPERLINK("https://www.etsy.com/listing/1647566110", "link")</f>
        <v/>
      </c>
      <c r="E1129">
        <f>HYPERLINK("https://atlas.etsycorp.com/listing/1647566110/lookup", "link")</f>
        <v/>
      </c>
      <c r="F1129" t="inlineStr">
        <is>
          <t>Simon Long Sleeve Shirt, Wish 2023 Costume, Member of the Seven Teens Cosplay, Disney World Event Running Outfits, Characters Sweater</t>
        </is>
      </c>
      <c r="G1129" t="inlineStr">
        <is>
          <t>EueZdFaDT2z_J0ApfsLmE3y-Qh2d</t>
        </is>
      </c>
      <c r="H1129" t="inlineStr">
        <is>
          <t>boe</t>
        </is>
      </c>
      <c r="I1129" t="inlineStr">
        <is>
          <t>fr</t>
        </is>
      </c>
      <c r="J1129" t="inlineStr">
        <is>
          <t>intl-fr</t>
        </is>
      </c>
      <c r="K1129" t="b">
        <v>1</v>
      </c>
      <c r="L1129" t="inlineStr">
        <is>
          <t>relevant</t>
        </is>
      </c>
      <c r="M1129" t="inlineStr">
        <is>
          <t>relevant</t>
        </is>
      </c>
      <c r="N1129" t="inlineStr">
        <is>
          <t>relevant</t>
        </is>
      </c>
      <c r="O1129" t="inlineStr">
        <is>
          <t>not_relevant</t>
        </is>
      </c>
      <c r="P1129" t="b">
        <v>1</v>
      </c>
    </row>
    <row r="1130">
      <c r="A1130" t="inlineStr">
        <is>
          <t>flowers felt necklace</t>
        </is>
      </c>
      <c r="B1130" t="inlineStr"/>
      <c r="C1130" t="n">
        <v>957899417</v>
      </c>
      <c r="D1130">
        <f>HYPERLINK("https://www.etsy.com/listing/957899417", "link")</f>
        <v/>
      </c>
      <c r="E1130">
        <f>HYPERLINK("https://atlas.etsycorp.com/listing/957899417/lookup", "link")</f>
        <v/>
      </c>
      <c r="F1130" t="inlineStr">
        <is>
          <t>Felted wool jewelry to neck, Felt necklace with burgundy flowers, Woolen lariat with tulips</t>
        </is>
      </c>
      <c r="G1130" t="inlineStr">
        <is>
          <t>EupF9igE5EjuboUm-YMvevbZe1b0</t>
        </is>
      </c>
      <c r="H1130" t="inlineStr">
        <is>
          <t>web</t>
        </is>
      </c>
      <c r="I1130" t="inlineStr">
        <is>
          <t>en-US</t>
        </is>
      </c>
      <c r="J1130" t="inlineStr">
        <is>
          <t>us_v2-direct_specified</t>
        </is>
      </c>
      <c r="K1130" t="b">
        <v>1</v>
      </c>
      <c r="L1130" t="inlineStr">
        <is>
          <t>relevant</t>
        </is>
      </c>
      <c r="M1130" t="inlineStr">
        <is>
          <t>relevant</t>
        </is>
      </c>
      <c r="N1130" t="inlineStr">
        <is>
          <t>relevant</t>
        </is>
      </c>
      <c r="O1130" t="inlineStr">
        <is>
          <t>relevant</t>
        </is>
      </c>
      <c r="P1130" t="b">
        <v>1</v>
      </c>
    </row>
    <row r="1131">
      <c r="A1131" t="inlineStr">
        <is>
          <t>caitlyn clark</t>
        </is>
      </c>
      <c r="B1131" t="inlineStr"/>
      <c r="C1131" t="n">
        <v>1664047531</v>
      </c>
      <c r="D1131">
        <f>HYPERLINK("https://www.etsy.com/listing/1664047531", "link")</f>
        <v/>
      </c>
      <c r="E1131">
        <f>HYPERLINK("https://atlas.etsycorp.com/listing/1664047531/lookup", "link")</f>
        <v/>
      </c>
      <c r="F1131" t="inlineStr">
        <is>
          <t>Caitlin Clark Iowa Women&amp;#39;s Basketball Crewneck Sweatshirt</t>
        </is>
      </c>
      <c r="G1131" t="inlineStr">
        <is>
          <t>EuD0J-gBXluLPS2PiXSvWSxlbp98</t>
        </is>
      </c>
      <c r="H1131" t="inlineStr">
        <is>
          <t>boe</t>
        </is>
      </c>
      <c r="I1131" t="inlineStr">
        <is>
          <t>en-US</t>
        </is>
      </c>
      <c r="J1131" t="inlineStr">
        <is>
          <t>us_v2-broad</t>
        </is>
      </c>
      <c r="K1131" t="b">
        <v>1</v>
      </c>
      <c r="L1131" t="inlineStr">
        <is>
          <t>relevant</t>
        </is>
      </c>
      <c r="M1131" t="inlineStr">
        <is>
          <t>relevant</t>
        </is>
      </c>
      <c r="N1131" t="inlineStr">
        <is>
          <t>relevant</t>
        </is>
      </c>
      <c r="O1131" t="inlineStr">
        <is>
          <t>relevant</t>
        </is>
      </c>
      <c r="P1131" t="b">
        <v>1</v>
      </c>
    </row>
    <row r="1132">
      <c r="A1132" t="inlineStr">
        <is>
          <t>denim decor</t>
        </is>
      </c>
      <c r="B1132" t="inlineStr"/>
      <c r="C1132" t="n">
        <v>1458935366</v>
      </c>
      <c r="D1132">
        <f>HYPERLINK("https://www.etsy.com/listing/1458935366", "link")</f>
        <v/>
      </c>
      <c r="E1132">
        <f>HYPERLINK("https://atlas.etsycorp.com/listing/1458935366/lookup", "link")</f>
        <v/>
      </c>
      <c r="F1132" t="inlineStr">
        <is>
          <t>Printable, Download, Digital, Blue, Denim, Junk Journal, Supplies, Tags, Pockets, Labels, Ephemera, Collage, Vintage, Papers, Scrapbook</t>
        </is>
      </c>
      <c r="G1132" t="inlineStr">
        <is>
          <t>Eu42F6MfqB7ZS4MxBBKN6Ue7xs41</t>
        </is>
      </c>
      <c r="H1132" t="inlineStr">
        <is>
          <t>web</t>
        </is>
      </c>
      <c r="I1132" t="inlineStr">
        <is>
          <t>en-US</t>
        </is>
      </c>
      <c r="J1132" t="inlineStr">
        <is>
          <t>us_v2-broad</t>
        </is>
      </c>
      <c r="K1132" t="b">
        <v>1</v>
      </c>
      <c r="L1132" t="inlineStr">
        <is>
          <t>partial</t>
        </is>
      </c>
      <c r="M1132" t="inlineStr">
        <is>
          <t>partial</t>
        </is>
      </c>
      <c r="N1132" t="inlineStr">
        <is>
          <t>partial</t>
        </is>
      </c>
      <c r="O1132" t="inlineStr">
        <is>
          <t>partial</t>
        </is>
      </c>
      <c r="P1132" t="b">
        <v>1</v>
      </c>
    </row>
    <row r="1133">
      <c r="A1133" t="inlineStr">
        <is>
          <t>easter bulletin board</t>
        </is>
      </c>
      <c r="B1133" t="inlineStr"/>
      <c r="C1133" t="n">
        <v>1408162365</v>
      </c>
      <c r="D1133">
        <f>HYPERLINK("https://www.etsy.com/listing/1408162365", "link")</f>
        <v/>
      </c>
      <c r="E1133">
        <f>HYPERLINK("https://atlas.etsycorp.com/listing/1408162365/lookup", "link")</f>
        <v/>
      </c>
      <c r="F1133" t="inlineStr">
        <is>
          <t>Rainy Day Gnomes- Spring Flowers  - April/May Bulletin Board Kit</t>
        </is>
      </c>
      <c r="G1133" t="inlineStr">
        <is>
          <t>EuU_YgUkFlPUIbf5EMztuWjNa0ca</t>
        </is>
      </c>
      <c r="H1133" t="inlineStr">
        <is>
          <t>boe</t>
        </is>
      </c>
      <c r="I1133" t="inlineStr">
        <is>
          <t>en-US</t>
        </is>
      </c>
      <c r="J1133" t="inlineStr">
        <is>
          <t>us_v2-direct_unspecified</t>
        </is>
      </c>
      <c r="K1133" t="b">
        <v>1</v>
      </c>
      <c r="L1133" t="inlineStr">
        <is>
          <t>partial</t>
        </is>
      </c>
      <c r="M1133" t="inlineStr">
        <is>
          <t>partial</t>
        </is>
      </c>
      <c r="N1133" t="inlineStr">
        <is>
          <t>partial</t>
        </is>
      </c>
      <c r="O1133" t="inlineStr">
        <is>
          <t>partial</t>
        </is>
      </c>
      <c r="P1133" t="b">
        <v>1</v>
      </c>
    </row>
    <row r="1134">
      <c r="A1134" t="inlineStr">
        <is>
          <t>easter gifts for adults</t>
        </is>
      </c>
      <c r="B1134" t="inlineStr"/>
      <c r="C1134" t="n">
        <v>1422083371</v>
      </c>
      <c r="D1134">
        <f>HYPERLINK("https://www.etsy.com/listing/1422083371", "link")</f>
        <v/>
      </c>
      <c r="E1134">
        <f>HYPERLINK("https://atlas.etsycorp.com/listing/1422083371/lookup", "link")</f>
        <v/>
      </c>
      <c r="F1134" t="inlineStr">
        <is>
          <t>Set of 2, Easter Gift Card Holder - Easter Gift Tags - Easter Gift Card Holders, Spring Giftcard - Money Gift Holder -  Easter Gift Basket</t>
        </is>
      </c>
      <c r="G1134" t="inlineStr">
        <is>
          <t>EueAfr7vFjehzR4jO67sEIHQtz2c</t>
        </is>
      </c>
      <c r="H1134" t="inlineStr">
        <is>
          <t>web</t>
        </is>
      </c>
      <c r="I1134" t="inlineStr">
        <is>
          <t>en-US</t>
        </is>
      </c>
      <c r="J1134" t="inlineStr">
        <is>
          <t>us_v2-gift</t>
        </is>
      </c>
      <c r="K1134" t="b">
        <v>1</v>
      </c>
      <c r="L1134" t="inlineStr">
        <is>
          <t>partial</t>
        </is>
      </c>
      <c r="M1134" t="inlineStr">
        <is>
          <t>relevant</t>
        </is>
      </c>
      <c r="N1134" t="inlineStr">
        <is>
          <t>partial</t>
        </is>
      </c>
      <c r="O1134" t="inlineStr">
        <is>
          <t>partial</t>
        </is>
      </c>
      <c r="P1134" t="b">
        <v>1</v>
      </c>
    </row>
    <row r="1135">
      <c r="A1135" t="inlineStr">
        <is>
          <t>buxus eetstokje</t>
        </is>
      </c>
      <c r="B1135" t="inlineStr">
        <is>
          <t>boxwood chopstick</t>
        </is>
      </c>
      <c r="C1135" t="n">
        <v>1306522153</v>
      </c>
      <c r="D1135">
        <f>HYPERLINK("https://www.etsy.com/listing/1306522153", "link")</f>
        <v/>
      </c>
      <c r="E1135">
        <f>HYPERLINK("https://atlas.etsycorp.com/listing/1306522153/lookup", "link")</f>
        <v/>
      </c>
      <c r="F1135" t="inlineStr">
        <is>
          <t>Wooden leaf chopstick rest - Wooden Chopstick Rest - Japanese chopstick rest -  Wood Handcrafted</t>
        </is>
      </c>
      <c r="G1135" t="inlineStr">
        <is>
          <t>EudAPxBoYHpAtg8sEnU_x-t2kEa7</t>
        </is>
      </c>
      <c r="H1135" t="inlineStr">
        <is>
          <t>web</t>
        </is>
      </c>
      <c r="I1135" t="inlineStr">
        <is>
          <t>nl</t>
        </is>
      </c>
      <c r="J1135" t="inlineStr">
        <is>
          <t>intl-nl</t>
        </is>
      </c>
      <c r="K1135" t="b">
        <v>1</v>
      </c>
      <c r="L1135" t="inlineStr">
        <is>
          <t>not_relevant</t>
        </is>
      </c>
      <c r="M1135" t="inlineStr">
        <is>
          <t>relevant</t>
        </is>
      </c>
      <c r="N1135" t="inlineStr">
        <is>
          <t>not_relevant</t>
        </is>
      </c>
      <c r="O1135" t="inlineStr">
        <is>
          <t>not_relevant</t>
        </is>
      </c>
      <c r="P1135" t="b">
        <v>1</v>
      </c>
    </row>
    <row r="1136">
      <c r="A1136" t="inlineStr">
        <is>
          <t>chinoiserie foot bath</t>
        </is>
      </c>
      <c r="B1136" t="inlineStr"/>
      <c r="C1136" t="n">
        <v>1631494775</v>
      </c>
      <c r="D1136">
        <f>HYPERLINK("https://www.etsy.com/listing/1631494775", "link")</f>
        <v/>
      </c>
      <c r="E1136">
        <f>HYPERLINK("https://atlas.etsycorp.com/listing/1631494775/lookup", "link")</f>
        <v/>
      </c>
      <c r="F1136" t="inlineStr">
        <is>
          <t>Set of 6 Vintage Adams Blue Chinoiserie Floral Bird Cages Khayyam Pattern Made in England</t>
        </is>
      </c>
      <c r="G1136" t="inlineStr">
        <is>
          <t>Euxjdv4AO9yXgbNfS1kVTNWW-w8c</t>
        </is>
      </c>
      <c r="H1136" t="inlineStr">
        <is>
          <t>web</t>
        </is>
      </c>
      <c r="I1136" t="inlineStr">
        <is>
          <t>en-US</t>
        </is>
      </c>
      <c r="J1136" t="inlineStr">
        <is>
          <t>us_v2-direct_unspecified</t>
        </is>
      </c>
      <c r="K1136" t="b">
        <v>1</v>
      </c>
      <c r="L1136" t="inlineStr">
        <is>
          <t>partial</t>
        </is>
      </c>
      <c r="M1136" t="inlineStr">
        <is>
          <t>partial</t>
        </is>
      </c>
      <c r="N1136" t="inlineStr">
        <is>
          <t>partial</t>
        </is>
      </c>
      <c r="O1136" t="inlineStr">
        <is>
          <t>partial</t>
        </is>
      </c>
      <c r="P1136" t="b">
        <v>1</v>
      </c>
    </row>
    <row r="1137">
      <c r="A1137" t="inlineStr">
        <is>
          <t>beaded necklace</t>
        </is>
      </c>
      <c r="B1137" t="inlineStr"/>
      <c r="C1137" t="n">
        <v>1152002240</v>
      </c>
      <c r="D1137">
        <f>HYPERLINK("https://www.etsy.com/listing/1152002240", "link")</f>
        <v/>
      </c>
      <c r="E1137">
        <f>HYPERLINK("https://atlas.etsycorp.com/listing/1152002240/lookup", "link")</f>
        <v/>
      </c>
      <c r="F1137" t="inlineStr">
        <is>
          <t>silver crystal beaded necklace / pearl / iridescent / stars / fairy / dainty / butterfly / quartz / opal / valentines</t>
        </is>
      </c>
      <c r="G1137" t="inlineStr">
        <is>
          <t>Eu2H-GjQ-fRKxCyKXnfCt7u3ig15</t>
        </is>
      </c>
      <c r="H1137" t="inlineStr">
        <is>
          <t>web</t>
        </is>
      </c>
      <c r="I1137" t="inlineStr">
        <is>
          <t>en-US</t>
        </is>
      </c>
      <c r="J1137" t="inlineStr">
        <is>
          <t>us_v2-direct_specified</t>
        </is>
      </c>
      <c r="K1137" t="b">
        <v>1</v>
      </c>
      <c r="L1137" t="inlineStr">
        <is>
          <t>relevant</t>
        </is>
      </c>
      <c r="M1137" t="inlineStr">
        <is>
          <t>relevant</t>
        </is>
      </c>
      <c r="N1137" t="inlineStr">
        <is>
          <t>relevant</t>
        </is>
      </c>
      <c r="O1137" t="inlineStr">
        <is>
          <t>relevant</t>
        </is>
      </c>
      <c r="P1137" t="b">
        <v>1</v>
      </c>
    </row>
    <row r="1138">
      <c r="A1138" t="inlineStr">
        <is>
          <t>spiderman amigurumi</t>
        </is>
      </c>
      <c r="B1138" t="inlineStr">
        <is>
          <t>spiderman amigurumi</t>
        </is>
      </c>
      <c r="C1138" t="n">
        <v>1736008224</v>
      </c>
      <c r="D1138">
        <f>HYPERLINK("https://www.etsy.com/listing/1736008224", "link")</f>
        <v/>
      </c>
      <c r="E1138">
        <f>HYPERLINK("https://atlas.etsycorp.com/listing/1736008224/lookup", "link")</f>
        <v/>
      </c>
      <c r="F1138" t="inlineStr">
        <is>
          <t>Crochet Hanging Spider-Man Handmade Plushie Mini Amigurumi Cute Stuffed Plushie Car Hanger Car Decor Christmas Ornament Gift Birthday Gift</t>
        </is>
      </c>
      <c r="G1138" t="inlineStr">
        <is>
          <t>EuPJS6VlIosJevaF5qQBj5oF1se1</t>
        </is>
      </c>
      <c r="H1138" t="inlineStr">
        <is>
          <t>boe</t>
        </is>
      </c>
      <c r="I1138" t="inlineStr">
        <is>
          <t>it</t>
        </is>
      </c>
      <c r="J1138" t="inlineStr">
        <is>
          <t>intl-it</t>
        </is>
      </c>
      <c r="K1138" t="b">
        <v>1</v>
      </c>
      <c r="L1138" t="inlineStr">
        <is>
          <t>relevant</t>
        </is>
      </c>
      <c r="M1138" t="inlineStr">
        <is>
          <t>relevant</t>
        </is>
      </c>
      <c r="N1138" t="inlineStr">
        <is>
          <t>relevant</t>
        </is>
      </c>
      <c r="O1138" t="inlineStr">
        <is>
          <t>relevant</t>
        </is>
      </c>
      <c r="P1138" t="b">
        <v>1</v>
      </c>
    </row>
    <row r="1139">
      <c r="A1139" t="inlineStr">
        <is>
          <t>metal camisetas</t>
        </is>
      </c>
      <c r="B1139" t="inlineStr">
        <is>
          <t>metal t-shirts</t>
        </is>
      </c>
      <c r="C1139" t="n">
        <v>1677411568</v>
      </c>
      <c r="D1139">
        <f>HYPERLINK("https://www.etsy.com/listing/1677411568", "link")</f>
        <v/>
      </c>
      <c r="E1139">
        <f>HYPERLINK("https://atlas.etsycorp.com/listing/1677411568/lookup", "link")</f>
        <v/>
      </c>
      <c r="F1139" t="inlineStr">
        <is>
          <t>Heavy Metal Skull PNG, Skull T-shirt Design, Digital Download for sublimation, Skull and Axe Png, Transparent Background</t>
        </is>
      </c>
      <c r="G1139" t="inlineStr">
        <is>
          <t>EuUNX9CQcESbav0EuqmZFAtWiD09</t>
        </is>
      </c>
      <c r="H1139" t="inlineStr">
        <is>
          <t>web</t>
        </is>
      </c>
      <c r="I1139" t="inlineStr">
        <is>
          <t>es</t>
        </is>
      </c>
      <c r="J1139" t="inlineStr">
        <is>
          <t>intl-es</t>
        </is>
      </c>
      <c r="K1139" t="b">
        <v>1</v>
      </c>
      <c r="L1139" t="inlineStr">
        <is>
          <t>partial</t>
        </is>
      </c>
      <c r="M1139" t="inlineStr">
        <is>
          <t>partial</t>
        </is>
      </c>
      <c r="N1139" t="inlineStr">
        <is>
          <t>partial</t>
        </is>
      </c>
      <c r="O1139" t="inlineStr">
        <is>
          <t>partial</t>
        </is>
      </c>
      <c r="P1139" t="b">
        <v>1</v>
      </c>
    </row>
    <row r="1140">
      <c r="A1140" t="inlineStr">
        <is>
          <t>ring keeper necklace</t>
        </is>
      </c>
      <c r="B1140" t="inlineStr"/>
      <c r="C1140" t="n">
        <v>638134903</v>
      </c>
      <c r="D1140">
        <f>HYPERLINK("https://www.etsy.com/listing/638134903", "link")</f>
        <v/>
      </c>
      <c r="E1140">
        <f>HYPERLINK("https://atlas.etsycorp.com/listing/638134903/lookup", "link")</f>
        <v/>
      </c>
      <c r="F1140" t="inlineStr">
        <is>
          <t>Gold Wishbone Necklace Dainty Simple Layering Chain Gift For Self Sister Daughter Mother Wife Birthday Gift For Daughter Good Luck Charm</t>
        </is>
      </c>
      <c r="G1140" t="inlineStr">
        <is>
          <t>EuMbVihHqbCHJQT680e-UjtXVGd8</t>
        </is>
      </c>
      <c r="H1140" t="inlineStr">
        <is>
          <t>web</t>
        </is>
      </c>
      <c r="I1140" t="inlineStr">
        <is>
          <t>en-US</t>
        </is>
      </c>
      <c r="J1140" t="inlineStr">
        <is>
          <t>us_v2-direct_unspecified</t>
        </is>
      </c>
      <c r="K1140" t="b">
        <v>1</v>
      </c>
      <c r="L1140" t="inlineStr">
        <is>
          <t>partial</t>
        </is>
      </c>
      <c r="M1140" t="inlineStr">
        <is>
          <t>partial</t>
        </is>
      </c>
      <c r="N1140" t="inlineStr">
        <is>
          <t>partial</t>
        </is>
      </c>
      <c r="O1140" t="inlineStr">
        <is>
          <t>partial</t>
        </is>
      </c>
      <c r="P1140" t="b">
        <v>1</v>
      </c>
    </row>
    <row r="1141">
      <c r="A1141" t="inlineStr">
        <is>
          <t>louis vuitton bracelet</t>
        </is>
      </c>
      <c r="B1141" t="inlineStr"/>
      <c r="C1141" t="n">
        <v>1567230945</v>
      </c>
      <c r="D1141">
        <f>HYPERLINK("https://www.etsy.com/listing/1567230945", "link")</f>
        <v/>
      </c>
      <c r="E1141">
        <f>HYPERLINK("https://atlas.etsycorp.com/listing/1567230945/lookup", "link")</f>
        <v/>
      </c>
      <c r="F1141" t="inlineStr">
        <is>
          <t>CH Eternal Heart Adjustable Bracelet - Vintage Cross for Couples Krohn Eternal Heart Adjustable Bracelet with Sanskrit Vintage Cross</t>
        </is>
      </c>
      <c r="G1141" t="inlineStr">
        <is>
          <t>EuC6XGAZM0TQMEPHuA6TL3rpQb07</t>
        </is>
      </c>
      <c r="H1141" t="inlineStr">
        <is>
          <t>boe</t>
        </is>
      </c>
      <c r="I1141" t="inlineStr">
        <is>
          <t>en-US</t>
        </is>
      </c>
      <c r="J1141" t="inlineStr">
        <is>
          <t>us_v2-direct_specified</t>
        </is>
      </c>
      <c r="K1141" t="b">
        <v>1</v>
      </c>
      <c r="L1141" t="inlineStr">
        <is>
          <t>partial</t>
        </is>
      </c>
      <c r="M1141" t="inlineStr">
        <is>
          <t>partial</t>
        </is>
      </c>
      <c r="N1141" t="inlineStr">
        <is>
          <t>partial</t>
        </is>
      </c>
      <c r="O1141" t="inlineStr">
        <is>
          <t>partial</t>
        </is>
      </c>
      <c r="P1141" t="b">
        <v>1</v>
      </c>
    </row>
    <row r="1142">
      <c r="A1142" t="inlineStr">
        <is>
          <t>sleep inspired gift boxes</t>
        </is>
      </c>
      <c r="B1142" t="inlineStr"/>
      <c r="C1142" t="n">
        <v>1327189763</v>
      </c>
      <c r="D1142">
        <f>HYPERLINK("https://www.etsy.com/listing/1327189763", "link")</f>
        <v/>
      </c>
      <c r="E1142">
        <f>HYPERLINK("https://atlas.etsycorp.com/listing/1327189763/lookup", "link")</f>
        <v/>
      </c>
      <c r="F1142" t="inlineStr">
        <is>
          <t>Red Dragon Sweater. Dragon Hoarding a D20. Dnd Sweatshirt. Sleeping Dice Hoarding Dragon. DnD Inspired Jumper.</t>
        </is>
      </c>
      <c r="G1142" t="inlineStr">
        <is>
          <t>EuV3Wu8qDyxtYIC7tcp2W0GUk51b</t>
        </is>
      </c>
      <c r="H1142" t="inlineStr">
        <is>
          <t>web</t>
        </is>
      </c>
      <c r="I1142" t="inlineStr">
        <is>
          <t>en-US</t>
        </is>
      </c>
      <c r="J1142" t="inlineStr">
        <is>
          <t>us_v2-gift</t>
        </is>
      </c>
      <c r="K1142" t="b">
        <v>1</v>
      </c>
      <c r="L1142" t="inlineStr">
        <is>
          <t>not_relevant</t>
        </is>
      </c>
      <c r="M1142" t="inlineStr">
        <is>
          <t>not_relevant</t>
        </is>
      </c>
      <c r="N1142" t="inlineStr">
        <is>
          <t>not_relevant</t>
        </is>
      </c>
      <c r="O1142" t="inlineStr">
        <is>
          <t>not_relevant</t>
        </is>
      </c>
      <c r="P1142" t="b">
        <v>1</v>
      </c>
    </row>
    <row r="1143">
      <c r="A1143" t="inlineStr">
        <is>
          <t>autocollant mural personnalisé</t>
        </is>
      </c>
      <c r="B1143" t="inlineStr">
        <is>
          <t>personalized wall sticker</t>
        </is>
      </c>
      <c r="C1143" t="n">
        <v>847514194</v>
      </c>
      <c r="D1143">
        <f>HYPERLINK("https://www.etsy.com/listing/847514194", "link")</f>
        <v/>
      </c>
      <c r="E1143">
        <f>HYPERLINK("https://atlas.etsycorp.com/listing/847514194/lookup", "link")</f>
        <v/>
      </c>
      <c r="F1143" t="inlineStr">
        <is>
          <t>Name Wall Sticker - Personalised Signature Script Style</t>
        </is>
      </c>
      <c r="G1143" t="inlineStr">
        <is>
          <t>Eubc0--wBBrgojf8w1RSE7jlQ679</t>
        </is>
      </c>
      <c r="H1143" t="inlineStr">
        <is>
          <t>boe</t>
        </is>
      </c>
      <c r="I1143" t="inlineStr">
        <is>
          <t>fr</t>
        </is>
      </c>
      <c r="J1143" t="inlineStr">
        <is>
          <t>intl-fr</t>
        </is>
      </c>
      <c r="K1143" t="b">
        <v>1</v>
      </c>
      <c r="L1143" t="inlineStr">
        <is>
          <t>relevant</t>
        </is>
      </c>
      <c r="M1143" t="inlineStr">
        <is>
          <t>relevant</t>
        </is>
      </c>
      <c r="N1143" t="inlineStr">
        <is>
          <t>relevant</t>
        </is>
      </c>
      <c r="O1143" t="inlineStr">
        <is>
          <t>relevant</t>
        </is>
      </c>
      <c r="P1143" t="b">
        <v>1</v>
      </c>
    </row>
    <row r="1144">
      <c r="A1144" t="inlineStr">
        <is>
          <t>funny candle</t>
        </is>
      </c>
      <c r="B1144" t="inlineStr"/>
      <c r="C1144" t="n">
        <v>844442444</v>
      </c>
      <c r="D1144">
        <f>HYPERLINK("https://www.etsy.com/listing/844442444", "link")</f>
        <v/>
      </c>
      <c r="E1144">
        <f>HYPERLINK("https://atlas.etsycorp.com/listing/844442444/lookup", "link")</f>
        <v/>
      </c>
      <c r="F1144" t="inlineStr">
        <is>
          <t>Condolences Gift Memorial Gift Sympathy Gift Bereavement Gift Condolence Gift Thinking of You Gift Sympathy Gifts Personalized Candles</t>
        </is>
      </c>
      <c r="G1144" t="inlineStr">
        <is>
          <t>EuiOLnZYFtj8HYl6E77KFSIkLwf8</t>
        </is>
      </c>
      <c r="H1144" t="inlineStr">
        <is>
          <t>web</t>
        </is>
      </c>
      <c r="I1144" t="inlineStr">
        <is>
          <t>en-US</t>
        </is>
      </c>
      <c r="J1144" t="inlineStr">
        <is>
          <t>us_v2-direct_specified</t>
        </is>
      </c>
      <c r="K1144" t="b">
        <v>1</v>
      </c>
      <c r="L1144" t="inlineStr">
        <is>
          <t>partial</t>
        </is>
      </c>
      <c r="M1144" t="inlineStr">
        <is>
          <t>partial</t>
        </is>
      </c>
      <c r="N1144" t="inlineStr">
        <is>
          <t>partial</t>
        </is>
      </c>
      <c r="O1144" t="inlineStr">
        <is>
          <t>not_relevant</t>
        </is>
      </c>
      <c r="P1144" t="b">
        <v>1</v>
      </c>
    </row>
    <row r="1145">
      <c r="A1145" t="inlineStr">
        <is>
          <t>george russell</t>
        </is>
      </c>
      <c r="B1145" t="inlineStr">
        <is>
          <t>george russell</t>
        </is>
      </c>
      <c r="C1145" t="n">
        <v>1662714041</v>
      </c>
      <c r="D1145">
        <f>HYPERLINK("https://www.etsy.com/listing/1662714041", "link")</f>
        <v/>
      </c>
      <c r="E1145">
        <f>HYPERLINK("https://atlas.etsycorp.com/listing/1662714041/lookup", "link")</f>
        <v/>
      </c>
      <c r="F1145" t="inlineStr">
        <is>
          <t>Mercedes AMG Season 2023 T-shirt</t>
        </is>
      </c>
      <c r="G1145" t="inlineStr">
        <is>
          <t>Eu3FOBq94mTg1q7_99TJi7YydMa0</t>
        </is>
      </c>
      <c r="H1145" t="inlineStr">
        <is>
          <t>boe</t>
        </is>
      </c>
      <c r="I1145" t="inlineStr">
        <is>
          <t>it</t>
        </is>
      </c>
      <c r="J1145" t="inlineStr">
        <is>
          <t>intl-it</t>
        </is>
      </c>
      <c r="K1145" t="b">
        <v>1</v>
      </c>
      <c r="L1145" t="inlineStr">
        <is>
          <t>not_relevant</t>
        </is>
      </c>
      <c r="M1145" t="inlineStr">
        <is>
          <t>not_relevant</t>
        </is>
      </c>
      <c r="N1145" t="inlineStr">
        <is>
          <t>not_relevant</t>
        </is>
      </c>
      <c r="O1145" t="inlineStr">
        <is>
          <t>not_relevant</t>
        </is>
      </c>
      <c r="P1145" t="b">
        <v>1</v>
      </c>
    </row>
    <row r="1146">
      <c r="A1146" t="inlineStr">
        <is>
          <t>minnie urn</t>
        </is>
      </c>
      <c r="B1146" t="inlineStr"/>
      <c r="C1146" t="n">
        <v>1037062462</v>
      </c>
      <c r="D1146">
        <f>HYPERLINK("https://www.etsy.com/listing/1037062462", "link")</f>
        <v/>
      </c>
      <c r="E1146">
        <f>HYPERLINK("https://atlas.etsycorp.com/listing/1037062462/lookup", "link")</f>
        <v/>
      </c>
      <c r="F1146" t="inlineStr">
        <is>
          <t>New  PERSONALIZED Natural Rosewood Cremation Urn / Scattering Tube - Fits Pocket/Purse, Perfect for Travel, TSA Compliant, Custom Engraved</t>
        </is>
      </c>
      <c r="G1146" t="inlineStr">
        <is>
          <t>EuSkIJyD3Z9hdvunHAna0V5r9k7d</t>
        </is>
      </c>
      <c r="H1146" t="inlineStr">
        <is>
          <t>boe</t>
        </is>
      </c>
      <c r="I1146" t="inlineStr">
        <is>
          <t>en-US</t>
        </is>
      </c>
      <c r="J1146" t="inlineStr">
        <is>
          <t>us_v2-direct_specified</t>
        </is>
      </c>
      <c r="K1146" t="b">
        <v>1</v>
      </c>
      <c r="L1146" t="inlineStr">
        <is>
          <t>not_relevant</t>
        </is>
      </c>
      <c r="M1146" t="inlineStr">
        <is>
          <t>not_relevant</t>
        </is>
      </c>
      <c r="N1146" t="inlineStr">
        <is>
          <t>not_relevant</t>
        </is>
      </c>
      <c r="O1146" t="inlineStr">
        <is>
          <t>partial</t>
        </is>
      </c>
      <c r="P1146" t="b">
        <v>1</v>
      </c>
    </row>
    <row r="1147">
      <c r="A1147" t="inlineStr">
        <is>
          <t>caftan</t>
        </is>
      </c>
      <c r="B1147" t="inlineStr">
        <is>
          <t>caftan</t>
        </is>
      </c>
      <c r="C1147" t="n">
        <v>1705860167</v>
      </c>
      <c r="D1147">
        <f>HYPERLINK("https://www.etsy.com/listing/1705860167", "link")</f>
        <v/>
      </c>
      <c r="E1147">
        <f>HYPERLINK("https://atlas.etsycorp.com/listing/1705860167/lookup", "link")</f>
        <v/>
      </c>
      <c r="F1147" t="inlineStr">
        <is>
          <t>Moroccan Traditonal Caftan (Jawhara) handmade</t>
        </is>
      </c>
      <c r="G1147" t="inlineStr">
        <is>
          <t>EuvucDizZ5NY9dlPVStmsigXh624</t>
        </is>
      </c>
      <c r="H1147" t="inlineStr">
        <is>
          <t>web</t>
        </is>
      </c>
      <c r="I1147" t="inlineStr">
        <is>
          <t>fr</t>
        </is>
      </c>
      <c r="J1147" t="inlineStr">
        <is>
          <t>intl-fr</t>
        </is>
      </c>
      <c r="K1147" t="b">
        <v>1</v>
      </c>
      <c r="L1147" t="inlineStr">
        <is>
          <t>relevant</t>
        </is>
      </c>
      <c r="M1147" t="inlineStr">
        <is>
          <t>relevant</t>
        </is>
      </c>
      <c r="N1147" t="inlineStr">
        <is>
          <t>relevant</t>
        </is>
      </c>
      <c r="O1147" t="inlineStr">
        <is>
          <t>partial</t>
        </is>
      </c>
      <c r="P1147" t="b">
        <v>1</v>
      </c>
    </row>
    <row r="1148">
      <c r="A1148" t="inlineStr">
        <is>
          <t>miraculous ladybug stickers</t>
        </is>
      </c>
      <c r="B1148" t="inlineStr">
        <is>
          <t>miraculous ladybug stickers</t>
        </is>
      </c>
      <c r="C1148" t="n">
        <v>1458644847</v>
      </c>
      <c r="D1148">
        <f>HYPERLINK("https://www.etsy.com/listing/1458644847", "link")</f>
        <v/>
      </c>
      <c r="E1148">
        <f>HYPERLINK("https://atlas.etsycorp.com/listing/1458644847/lookup", "link")</f>
        <v/>
      </c>
      <c r="F1148" t="inlineStr">
        <is>
          <t>Miraculous &amp;quot;Ladybug&amp;quot; ceramic mug</t>
        </is>
      </c>
      <c r="G1148" t="inlineStr">
        <is>
          <t>Eu6ynwnTsbTWehGAqPCXRmsiX_56</t>
        </is>
      </c>
      <c r="H1148" t="inlineStr">
        <is>
          <t>boe</t>
        </is>
      </c>
      <c r="I1148" t="inlineStr">
        <is>
          <t>de</t>
        </is>
      </c>
      <c r="J1148" t="inlineStr">
        <is>
          <t>intl-de</t>
        </is>
      </c>
      <c r="K1148" t="b">
        <v>1</v>
      </c>
      <c r="L1148" t="inlineStr">
        <is>
          <t>not_relevant</t>
        </is>
      </c>
      <c r="M1148" t="inlineStr">
        <is>
          <t>partial</t>
        </is>
      </c>
      <c r="N1148" t="inlineStr">
        <is>
          <t>not_relevant</t>
        </is>
      </c>
      <c r="O1148" t="inlineStr">
        <is>
          <t>not_relevant</t>
        </is>
      </c>
      <c r="P1148" t="b">
        <v>1</v>
      </c>
    </row>
    <row r="1149">
      <c r="A1149" t="inlineStr">
        <is>
          <t>travel accessories</t>
        </is>
      </c>
      <c r="B1149" t="inlineStr">
        <is>
          <t>travel accessories</t>
        </is>
      </c>
      <c r="C1149" t="n">
        <v>559923334</v>
      </c>
      <c r="D1149">
        <f>HYPERLINK("https://www.etsy.com/listing/559923334", "link")</f>
        <v/>
      </c>
      <c r="E1149">
        <f>HYPERLINK("https://atlas.etsycorp.com/listing/559923334/lookup", "link")</f>
        <v/>
      </c>
      <c r="F1149" t="inlineStr">
        <is>
          <t>LEATHER HIP BAG -Black Hip Bag - Genuine Leather Pouch Bag Gift For Women - Small Pooch Hip Belt Bag - Traveling Women Tefia Hip Bag</t>
        </is>
      </c>
      <c r="G1149" t="inlineStr">
        <is>
          <t>EuNexK8NQQKuaNClfYivtzm9l2f7</t>
        </is>
      </c>
      <c r="H1149" t="inlineStr">
        <is>
          <t>boe</t>
        </is>
      </c>
      <c r="I1149" t="inlineStr">
        <is>
          <t>it</t>
        </is>
      </c>
      <c r="J1149" t="inlineStr">
        <is>
          <t>intl-it</t>
        </is>
      </c>
      <c r="K1149" t="b">
        <v>1</v>
      </c>
      <c r="L1149" t="inlineStr">
        <is>
          <t>relevant</t>
        </is>
      </c>
      <c r="M1149" t="inlineStr">
        <is>
          <t>relevant</t>
        </is>
      </c>
      <c r="N1149" t="inlineStr">
        <is>
          <t>relevant</t>
        </is>
      </c>
      <c r="O1149" t="inlineStr">
        <is>
          <t>relevant</t>
        </is>
      </c>
      <c r="P1149" t="b">
        <v>1</v>
      </c>
    </row>
    <row r="1150">
      <c r="A1150" t="inlineStr">
        <is>
          <t>green escape</t>
        </is>
      </c>
      <c r="B1150" t="inlineStr"/>
      <c r="C1150" t="n">
        <v>1623686188</v>
      </c>
      <c r="D1150">
        <f>HYPERLINK("https://www.etsy.com/listing/1623686188", "link")</f>
        <v/>
      </c>
      <c r="E1150">
        <f>HYPERLINK("https://atlas.etsycorp.com/listing/1623686188/lookup", "link")</f>
        <v/>
      </c>
      <c r="F1150" t="inlineStr">
        <is>
          <t>Philodendron Snowdrift 4” plant **(ALL starter plants require you to purchase any 2 plants!)**</t>
        </is>
      </c>
      <c r="G1150" t="inlineStr">
        <is>
          <t>EuwX2eSFHqTt9PA34iKaL6wiR7d7</t>
        </is>
      </c>
      <c r="H1150" t="inlineStr">
        <is>
          <t>web</t>
        </is>
      </c>
      <c r="I1150" t="inlineStr">
        <is>
          <t>en-US</t>
        </is>
      </c>
      <c r="J1150" t="inlineStr">
        <is>
          <t>us_v2-broad</t>
        </is>
      </c>
      <c r="K1150" t="b">
        <v>1</v>
      </c>
      <c r="L1150" t="inlineStr">
        <is>
          <t>not_relevant</t>
        </is>
      </c>
      <c r="M1150" t="inlineStr">
        <is>
          <t>not_relevant</t>
        </is>
      </c>
      <c r="N1150" t="inlineStr">
        <is>
          <t>not_relevant</t>
        </is>
      </c>
      <c r="O1150" t="inlineStr">
        <is>
          <t>not_relevant</t>
        </is>
      </c>
      <c r="P1150" t="b">
        <v>1</v>
      </c>
    </row>
    <row r="1151">
      <c r="A1151" t="inlineStr">
        <is>
          <t>silver rings crystal</t>
        </is>
      </c>
      <c r="B1151" t="inlineStr"/>
      <c r="C1151" t="n">
        <v>1215263592</v>
      </c>
      <c r="D1151">
        <f>HYPERLINK("https://www.etsy.com/listing/1215263592", "link")</f>
        <v/>
      </c>
      <c r="E1151">
        <f>HYPERLINK("https://atlas.etsycorp.com/listing/1215263592/lookup", "link")</f>
        <v/>
      </c>
      <c r="F1151" t="inlineStr">
        <is>
          <t>Carnelian ring, gold filled gemstone ring or sterling silver ring, small oval stone ring band, minimalist stacking ring, solitaire ring.</t>
        </is>
      </c>
      <c r="G1151" t="inlineStr">
        <is>
          <t>Eu4JaidJDCETq8p_gREwKcTw7B2c</t>
        </is>
      </c>
      <c r="H1151" t="inlineStr">
        <is>
          <t>web</t>
        </is>
      </c>
      <c r="I1151" t="inlineStr">
        <is>
          <t>en-US</t>
        </is>
      </c>
      <c r="J1151" t="inlineStr">
        <is>
          <t>us_v2-direct_specified</t>
        </is>
      </c>
      <c r="K1151" t="b">
        <v>1</v>
      </c>
      <c r="L1151" t="inlineStr">
        <is>
          <t>partial</t>
        </is>
      </c>
      <c r="M1151" t="inlineStr">
        <is>
          <t>partial</t>
        </is>
      </c>
      <c r="N1151" t="inlineStr">
        <is>
          <t>partial</t>
        </is>
      </c>
      <c r="O1151" t="inlineStr">
        <is>
          <t>partial</t>
        </is>
      </c>
      <c r="P1151" t="b">
        <v>1</v>
      </c>
    </row>
    <row r="1152">
      <c r="A1152" t="inlineStr">
        <is>
          <t>bridesmaid engraved robe</t>
        </is>
      </c>
      <c r="B1152" t="inlineStr">
        <is>
          <t>engraved bridesmaid dress</t>
        </is>
      </c>
      <c r="C1152" t="n">
        <v>1724976905</v>
      </c>
      <c r="D1152">
        <f>HYPERLINK("https://www.etsy.com/listing/1724976905", "link")</f>
        <v/>
      </c>
      <c r="E1152">
        <f>HYPERLINK("https://atlas.etsycorp.com/listing/1724976905/lookup", "link")</f>
        <v/>
      </c>
      <c r="F1152" t="inlineStr">
        <is>
          <t>Bridesmaid Nightie Personalized Gift Getting Ready Dress for Bridesmaid Bachelorette Party Pajamas</t>
        </is>
      </c>
      <c r="G1152" t="inlineStr">
        <is>
          <t>EuLh_b1sVwYwIM5OnPCRSAeyNOe2</t>
        </is>
      </c>
      <c r="H1152" t="inlineStr">
        <is>
          <t>web</t>
        </is>
      </c>
      <c r="I1152" t="inlineStr">
        <is>
          <t>fr</t>
        </is>
      </c>
      <c r="J1152" t="inlineStr">
        <is>
          <t>intl-fr</t>
        </is>
      </c>
      <c r="K1152" t="b">
        <v>1</v>
      </c>
      <c r="L1152" t="inlineStr">
        <is>
          <t>partial</t>
        </is>
      </c>
      <c r="M1152" t="inlineStr">
        <is>
          <t>relevant</t>
        </is>
      </c>
      <c r="N1152" t="inlineStr">
        <is>
          <t>partial</t>
        </is>
      </c>
      <c r="O1152" t="inlineStr">
        <is>
          <t>partial</t>
        </is>
      </c>
      <c r="P1152" t="b">
        <v>1</v>
      </c>
    </row>
    <row r="1153">
      <c r="A1153" t="inlineStr">
        <is>
          <t>coffre 40x30</t>
        </is>
      </c>
      <c r="B1153" t="inlineStr">
        <is>
          <t>trunk 40x30</t>
        </is>
      </c>
      <c r="C1153" t="n">
        <v>766206280</v>
      </c>
      <c r="D1153">
        <f>HYPERLINK("https://www.etsy.com/listing/766206280", "link")</f>
        <v/>
      </c>
      <c r="E1153">
        <f>HYPERLINK("https://atlas.etsycorp.com/listing/766206280/lookup", "link")</f>
        <v/>
      </c>
      <c r="F1153" t="inlineStr">
        <is>
          <t>Feminine white wooden shelf box with two brown middle boards, as a basis for DIY furniture construction, box furniture, new, 40x30x50cm</t>
        </is>
      </c>
      <c r="G1153" t="inlineStr">
        <is>
          <t>Eub65xrzyZrI_gbEJLWUxCRAfO17</t>
        </is>
      </c>
      <c r="H1153" t="inlineStr">
        <is>
          <t>web</t>
        </is>
      </c>
      <c r="I1153" t="inlineStr">
        <is>
          <t>fr</t>
        </is>
      </c>
      <c r="J1153" t="inlineStr">
        <is>
          <t>intl-fr</t>
        </is>
      </c>
      <c r="K1153" t="b">
        <v>1</v>
      </c>
      <c r="L1153" t="inlineStr">
        <is>
          <t>not_relevant</t>
        </is>
      </c>
      <c r="M1153" t="inlineStr">
        <is>
          <t>not_relevant</t>
        </is>
      </c>
      <c r="N1153" t="inlineStr">
        <is>
          <t>not_relevant</t>
        </is>
      </c>
      <c r="O1153" t="inlineStr">
        <is>
          <t>partial</t>
        </is>
      </c>
      <c r="P1153" t="b">
        <v>1</v>
      </c>
    </row>
    <row r="1154">
      <c r="A1154" t="inlineStr">
        <is>
          <t>Drake hoodie with lyrics</t>
        </is>
      </c>
      <c r="B1154" t="inlineStr"/>
      <c r="C1154" t="n">
        <v>1138023260</v>
      </c>
      <c r="D1154">
        <f>HYPERLINK("https://www.etsy.com/listing/1138023260", "link")</f>
        <v/>
      </c>
      <c r="E1154">
        <f>HYPERLINK("https://atlas.etsycorp.com/listing/1138023260/lookup", "link")</f>
        <v/>
      </c>
      <c r="F1154" t="inlineStr">
        <is>
          <t>Custom Song Sweatshirt, Custom Sweatshirt, Favorite Song Sweatshirt, Personalized Song Hoodie, Favorite Song Sweater, Customized Sweatshirts</t>
        </is>
      </c>
      <c r="G1154" t="inlineStr">
        <is>
          <t>Eu34TSaJK96QR3a40Yhfyb5ttBa6</t>
        </is>
      </c>
      <c r="H1154" t="inlineStr">
        <is>
          <t>boe</t>
        </is>
      </c>
      <c r="I1154" t="inlineStr">
        <is>
          <t>en-US</t>
        </is>
      </c>
      <c r="J1154" t="inlineStr">
        <is>
          <t>us_v2-direct_specified</t>
        </is>
      </c>
      <c r="K1154" t="b">
        <v>1</v>
      </c>
      <c r="L1154" t="inlineStr">
        <is>
          <t>partial</t>
        </is>
      </c>
      <c r="M1154" t="inlineStr">
        <is>
          <t>partial</t>
        </is>
      </c>
      <c r="N1154" t="inlineStr">
        <is>
          <t>partial</t>
        </is>
      </c>
      <c r="O1154" t="inlineStr">
        <is>
          <t>partial</t>
        </is>
      </c>
      <c r="P1154" t="b">
        <v>1</v>
      </c>
    </row>
    <row r="1155">
      <c r="A1155" t="inlineStr">
        <is>
          <t>spartan tshirt</t>
        </is>
      </c>
      <c r="B1155" t="inlineStr"/>
      <c r="C1155" t="n">
        <v>1281916219</v>
      </c>
      <c r="D1155">
        <f>HYPERLINK("https://www.etsy.com/listing/1281916219", "link")</f>
        <v/>
      </c>
      <c r="E1155">
        <f>HYPERLINK("https://atlas.etsycorp.com/listing/1281916219/lookup", "link")</f>
        <v/>
      </c>
      <c r="F1155" t="inlineStr">
        <is>
          <t>Spartans Basketball T-Shirt, Personalized Basketball shirt, Spartans, Basketball,T-Shirt,Shirt, School Spirit, Gift for Football, Mom, Dad</t>
        </is>
      </c>
      <c r="G1155" t="inlineStr">
        <is>
          <t>EuVmo7VPyL9fihO_GKj3SINQsk95</t>
        </is>
      </c>
      <c r="H1155" t="inlineStr">
        <is>
          <t>web</t>
        </is>
      </c>
      <c r="I1155" t="inlineStr">
        <is>
          <t>en-US</t>
        </is>
      </c>
      <c r="J1155" t="inlineStr">
        <is>
          <t>us_v2-direct_specified</t>
        </is>
      </c>
      <c r="K1155" t="b">
        <v>1</v>
      </c>
      <c r="L1155" t="inlineStr">
        <is>
          <t>relevant</t>
        </is>
      </c>
      <c r="M1155" t="inlineStr">
        <is>
          <t>relevant</t>
        </is>
      </c>
      <c r="N1155" t="inlineStr">
        <is>
          <t>relevant</t>
        </is>
      </c>
      <c r="O1155" t="inlineStr">
        <is>
          <t>relevant</t>
        </is>
      </c>
      <c r="P1155" t="b">
        <v>1</v>
      </c>
    </row>
    <row r="1156">
      <c r="A1156" t="inlineStr">
        <is>
          <t>16g taper nose</t>
        </is>
      </c>
      <c r="B1156" t="inlineStr"/>
      <c r="C1156" t="n">
        <v>1108937651</v>
      </c>
      <c r="D1156">
        <f>HYPERLINK("https://www.etsy.com/listing/1108937651", "link")</f>
        <v/>
      </c>
      <c r="E1156">
        <f>HYPERLINK("https://atlas.etsycorp.com/listing/1108937651/lookup", "link")</f>
        <v/>
      </c>
      <c r="F1156" t="inlineStr">
        <is>
          <t>Peoples Jewelry - Dark Bloodwood Septum Spike - Priced per piece.</t>
        </is>
      </c>
      <c r="G1156" t="inlineStr">
        <is>
          <t>EuXE9Raft09KaSmbTPiZlouctyef</t>
        </is>
      </c>
      <c r="H1156" t="inlineStr">
        <is>
          <t>web</t>
        </is>
      </c>
      <c r="I1156" t="inlineStr">
        <is>
          <t>en-GB</t>
        </is>
      </c>
      <c r="J1156" t="inlineStr">
        <is>
          <t>us_v2-direct_specified</t>
        </is>
      </c>
      <c r="K1156" t="b">
        <v>1</v>
      </c>
      <c r="L1156" t="inlineStr">
        <is>
          <t>partial</t>
        </is>
      </c>
      <c r="M1156" t="inlineStr">
        <is>
          <t>partial</t>
        </is>
      </c>
      <c r="N1156" t="inlineStr">
        <is>
          <t>partial</t>
        </is>
      </c>
      <c r="O1156" t="inlineStr">
        <is>
          <t>partial</t>
        </is>
      </c>
      <c r="P1156" t="b">
        <v>1</v>
      </c>
    </row>
    <row r="1157">
      <c r="A1157" t="inlineStr">
        <is>
          <t>sharlenelisanne</t>
        </is>
      </c>
      <c r="B1157" t="inlineStr"/>
      <c r="C1157" t="n">
        <v>1529777496</v>
      </c>
      <c r="D1157">
        <f>HYPERLINK("https://www.etsy.com/listing/1529777496", "link")</f>
        <v/>
      </c>
      <c r="E1157">
        <f>HYPERLINK("https://atlas.etsycorp.com/listing/1529777496/lookup", "link")</f>
        <v/>
      </c>
      <c r="F1157" t="inlineStr">
        <is>
          <t>Lady With A Bouquet Vintage 1800s Portrait Oil Painting - Digital Download - Printable Art</t>
        </is>
      </c>
      <c r="G1157" t="inlineStr">
        <is>
          <t>EuwM_ut0zsE6rfQTEoF3QUy_Bb96</t>
        </is>
      </c>
      <c r="H1157" t="inlineStr">
        <is>
          <t>web</t>
        </is>
      </c>
      <c r="I1157" t="inlineStr">
        <is>
          <t>en-US</t>
        </is>
      </c>
      <c r="J1157" t="inlineStr">
        <is>
          <t>us_v2-broad</t>
        </is>
      </c>
      <c r="K1157" t="b">
        <v>1</v>
      </c>
      <c r="L1157" t="inlineStr">
        <is>
          <t>partial</t>
        </is>
      </c>
      <c r="M1157" t="inlineStr">
        <is>
          <t>partial</t>
        </is>
      </c>
      <c r="N1157" t="inlineStr">
        <is>
          <t>partial</t>
        </is>
      </c>
      <c r="O1157" t="inlineStr">
        <is>
          <t>not_relevant</t>
        </is>
      </c>
      <c r="P1157" t="b">
        <v>1</v>
      </c>
    </row>
    <row r="1158">
      <c r="A1158" t="inlineStr">
        <is>
          <t>potion dragon</t>
        </is>
      </c>
      <c r="B1158" t="inlineStr">
        <is>
          <t>potion dragon</t>
        </is>
      </c>
      <c r="C1158" t="n">
        <v>789025600</v>
      </c>
      <c r="D1158">
        <f>HYPERLINK("https://www.etsy.com/listing/789025600", "link")</f>
        <v/>
      </c>
      <c r="E1158">
        <f>HYPERLINK("https://atlas.etsycorp.com/listing/789025600/lookup", "link")</f>
        <v/>
      </c>
      <c r="F1158" t="inlineStr">
        <is>
          <t>Mighty Knight Potion Maker Portrait Bust Miniature | Potion Maker | Human| 3D Print | Table Top Role Playing | Dungeons and Dragons | MEME</t>
        </is>
      </c>
      <c r="G1158" t="inlineStr">
        <is>
          <t>EuyLe5NCISMnt_TfUo79zxrt0894</t>
        </is>
      </c>
      <c r="H1158" t="inlineStr">
        <is>
          <t>web</t>
        </is>
      </c>
      <c r="I1158" t="inlineStr">
        <is>
          <t>de</t>
        </is>
      </c>
      <c r="J1158" t="inlineStr">
        <is>
          <t>intl-de</t>
        </is>
      </c>
      <c r="K1158" t="b">
        <v>1</v>
      </c>
      <c r="L1158" t="inlineStr">
        <is>
          <t>not_relevant</t>
        </is>
      </c>
      <c r="M1158" t="inlineStr">
        <is>
          <t>relevant</t>
        </is>
      </c>
      <c r="N1158" t="inlineStr">
        <is>
          <t>not_relevant</t>
        </is>
      </c>
      <c r="O1158" t="inlineStr">
        <is>
          <t>not_relevant</t>
        </is>
      </c>
      <c r="P1158" t="b">
        <v>1</v>
      </c>
    </row>
    <row r="1159">
      <c r="A1159" t="inlineStr">
        <is>
          <t>home gift</t>
        </is>
      </c>
      <c r="B1159" t="inlineStr"/>
      <c r="C1159" t="n">
        <v>824593930</v>
      </c>
      <c r="D1159">
        <f>HYPERLINK("https://www.etsy.com/listing/824593930", "link")</f>
        <v/>
      </c>
      <c r="E1159">
        <f>HYPERLINK("https://atlas.etsycorp.com/listing/824593930/lookup", "link")</f>
        <v/>
      </c>
      <c r="F1159" t="inlineStr">
        <is>
          <t>Watercolour House Portrait Illustration, Pub Restaurant Shop Print, New Home Gift, Personalised, Commission Artwork, Fine Art</t>
        </is>
      </c>
      <c r="G1159" t="inlineStr">
        <is>
          <t>EuzjgReytX9hRpP6zbummMtiIB6c</t>
        </is>
      </c>
      <c r="H1159" t="inlineStr">
        <is>
          <t>boe</t>
        </is>
      </c>
      <c r="I1159" t="inlineStr">
        <is>
          <t>en-US</t>
        </is>
      </c>
      <c r="J1159" t="inlineStr">
        <is>
          <t>us_v2-gift</t>
        </is>
      </c>
      <c r="K1159" t="b">
        <v>1</v>
      </c>
      <c r="L1159" t="inlineStr">
        <is>
          <t>relevant</t>
        </is>
      </c>
      <c r="M1159" t="inlineStr">
        <is>
          <t>relevant</t>
        </is>
      </c>
      <c r="N1159" t="inlineStr">
        <is>
          <t>relevant</t>
        </is>
      </c>
      <c r="O1159" t="inlineStr">
        <is>
          <t>relevant</t>
        </is>
      </c>
      <c r="P1159" t="b">
        <v>1</v>
      </c>
    </row>
    <row r="1160">
      <c r="A1160" t="inlineStr">
        <is>
          <t>éventail personnalisé</t>
        </is>
      </c>
      <c r="B1160" t="inlineStr">
        <is>
          <t>personalized fan</t>
        </is>
      </c>
      <c r="C1160" t="n">
        <v>1692075329</v>
      </c>
      <c r="D1160">
        <f>HYPERLINK("https://www.etsy.com/listing/1692075329", "link")</f>
        <v/>
      </c>
      <c r="E1160">
        <f>HYPERLINK("https://atlas.etsycorp.com/listing/1692075329/lookup", "link")</f>
        <v/>
      </c>
      <c r="F1160" t="inlineStr">
        <is>
          <t>Personalized fan in wood and paper. Gift idea for wedding guests, baptism, communion, birthday. Original gift</t>
        </is>
      </c>
      <c r="G1160" t="inlineStr">
        <is>
          <t>EuJOPDcjnF_Mj59KOyeb9UJ2kW15</t>
        </is>
      </c>
      <c r="H1160" t="inlineStr">
        <is>
          <t>web</t>
        </is>
      </c>
      <c r="I1160" t="inlineStr">
        <is>
          <t>fr</t>
        </is>
      </c>
      <c r="J1160" t="inlineStr">
        <is>
          <t>intl-fr</t>
        </is>
      </c>
      <c r="K1160" t="b">
        <v>1</v>
      </c>
      <c r="L1160" t="inlineStr">
        <is>
          <t>relevant</t>
        </is>
      </c>
      <c r="M1160" t="inlineStr">
        <is>
          <t>relevant</t>
        </is>
      </c>
      <c r="N1160" t="inlineStr">
        <is>
          <t>relevant</t>
        </is>
      </c>
      <c r="O1160" t="inlineStr">
        <is>
          <t>relevant</t>
        </is>
      </c>
      <c r="P1160" t="b">
        <v>1</v>
      </c>
    </row>
    <row r="1161">
      <c r="A1161" t="inlineStr">
        <is>
          <t>3 sisters gold necklace</t>
        </is>
      </c>
      <c r="B1161" t="inlineStr"/>
      <c r="C1161" t="n">
        <v>1410974968</v>
      </c>
      <c r="D1161">
        <f>HYPERLINK("https://www.etsy.com/listing/1410974968", "link")</f>
        <v/>
      </c>
      <c r="E1161">
        <f>HYPERLINK("https://atlas.etsycorp.com/listing/1410974968/lookup", "link")</f>
        <v/>
      </c>
      <c r="F1161" t="inlineStr">
        <is>
          <t>Family Name Necklace with Personalized Multiple Names - Perfect Heart Jewelry for Mom&amp;#39;s Loves - Christmas gift for her</t>
        </is>
      </c>
      <c r="G1161" t="inlineStr">
        <is>
          <t>EuD1LIJmAPE6V5FYjt2kW2r_hg81</t>
        </is>
      </c>
      <c r="H1161" t="inlineStr">
        <is>
          <t>web</t>
        </is>
      </c>
      <c r="I1161" t="inlineStr">
        <is>
          <t>en-GB</t>
        </is>
      </c>
      <c r="J1161" t="inlineStr">
        <is>
          <t>us_v2-direct_specified</t>
        </is>
      </c>
      <c r="K1161" t="b">
        <v>1</v>
      </c>
      <c r="L1161" t="inlineStr">
        <is>
          <t>partial</t>
        </is>
      </c>
      <c r="M1161" t="inlineStr">
        <is>
          <t>partial</t>
        </is>
      </c>
      <c r="N1161" t="inlineStr">
        <is>
          <t>relevant</t>
        </is>
      </c>
      <c r="O1161" t="inlineStr">
        <is>
          <t>partial</t>
        </is>
      </c>
      <c r="P1161" t="b">
        <v>1</v>
      </c>
    </row>
    <row r="1162">
      <c r="A1162" t="inlineStr">
        <is>
          <t>kintsugi made in japan</t>
        </is>
      </c>
      <c r="B1162" t="inlineStr"/>
      <c r="C1162" t="n">
        <v>881381568</v>
      </c>
      <c r="D1162">
        <f>HYPERLINK("https://www.etsy.com/listing/881381568", "link")</f>
        <v/>
      </c>
      <c r="E1162">
        <f>HYPERLINK("https://atlas.etsycorp.com/listing/881381568/lookup", "link")</f>
        <v/>
      </c>
      <c r="F1162" t="inlineStr">
        <is>
          <t>I Am Whole Necklace - Kintsugi Inspired Clear Gold Round Disc Pendant Layering Necklace - Intention Jewelry - Hamrick Avenue</t>
        </is>
      </c>
      <c r="G1162" t="inlineStr">
        <is>
          <t>EuW8WMI_nDHHAUSuDvBuScs308ab</t>
        </is>
      </c>
      <c r="H1162" t="inlineStr">
        <is>
          <t>boe</t>
        </is>
      </c>
      <c r="I1162" t="inlineStr">
        <is>
          <t>en-GB</t>
        </is>
      </c>
      <c r="J1162" t="inlineStr">
        <is>
          <t>us_v2-broad</t>
        </is>
      </c>
      <c r="K1162" t="b">
        <v>1</v>
      </c>
      <c r="L1162" t="inlineStr">
        <is>
          <t>partial</t>
        </is>
      </c>
      <c r="M1162" t="inlineStr">
        <is>
          <t>partial</t>
        </is>
      </c>
      <c r="N1162" t="inlineStr">
        <is>
          <t>partial</t>
        </is>
      </c>
      <c r="O1162" t="inlineStr">
        <is>
          <t>relevant</t>
        </is>
      </c>
      <c r="P1162" t="b">
        <v>1</v>
      </c>
    </row>
    <row r="1163">
      <c r="A1163" t="inlineStr">
        <is>
          <t>musselin decke</t>
        </is>
      </c>
      <c r="B1163" t="inlineStr">
        <is>
          <t>muslin blanket</t>
        </is>
      </c>
      <c r="C1163" t="n">
        <v>1496343495</v>
      </c>
      <c r="D1163">
        <f>HYPERLINK("https://www.etsy.com/listing/1496343495", "link")</f>
        <v/>
      </c>
      <c r="E1163">
        <f>HYPERLINK("https://atlas.etsycorp.com/listing/1496343495/lookup", "link")</f>
        <v/>
      </c>
      <c r="F1163" t="inlineStr">
        <is>
          <t>Muslin blanket large blanket made of muslin colors freely selectable, 4 layers cozy blanket wellness summer blanket bedspread</t>
        </is>
      </c>
      <c r="G1163" t="inlineStr">
        <is>
          <t>Eu30GWp_ZGSgwHrcN5MfjmtyFIfc</t>
        </is>
      </c>
      <c r="H1163" t="inlineStr">
        <is>
          <t>web</t>
        </is>
      </c>
      <c r="I1163" t="inlineStr">
        <is>
          <t>de</t>
        </is>
      </c>
      <c r="J1163" t="inlineStr">
        <is>
          <t>intl-de</t>
        </is>
      </c>
      <c r="K1163" t="b">
        <v>1</v>
      </c>
      <c r="L1163" t="inlineStr">
        <is>
          <t>relevant</t>
        </is>
      </c>
      <c r="M1163" t="inlineStr">
        <is>
          <t>relevant</t>
        </is>
      </c>
      <c r="N1163" t="inlineStr">
        <is>
          <t>relevant</t>
        </is>
      </c>
      <c r="O1163" t="inlineStr">
        <is>
          <t>relevant</t>
        </is>
      </c>
      <c r="P1163" t="b">
        <v>1</v>
      </c>
    </row>
    <row r="1164">
      <c r="A1164" t="inlineStr">
        <is>
          <t>Reed car diffusers</t>
        </is>
      </c>
      <c r="B1164" t="inlineStr"/>
      <c r="C1164" t="n">
        <v>1567460716</v>
      </c>
      <c r="D1164">
        <f>HYPERLINK("https://www.etsy.com/listing/1567460716", "link")</f>
        <v/>
      </c>
      <c r="E1164">
        <f>HYPERLINK("https://atlas.etsycorp.com/listing/1567460716/lookup", "link")</f>
        <v/>
      </c>
      <c r="F1164" t="inlineStr">
        <is>
          <t>Incense Care Card Template, Scented Stick User Guide, Editable Herbal Incense Cards, Boho Aromatic Fragrance Incense Safety Instructions</t>
        </is>
      </c>
      <c r="G1164" t="inlineStr">
        <is>
          <t>EuVphKzGHpNfAHIPaui4_ginEs6d</t>
        </is>
      </c>
      <c r="H1164" t="inlineStr">
        <is>
          <t>web</t>
        </is>
      </c>
      <c r="I1164" t="inlineStr">
        <is>
          <t>en-GB</t>
        </is>
      </c>
      <c r="J1164" t="inlineStr">
        <is>
          <t>us_v2-direct_unspecified</t>
        </is>
      </c>
      <c r="K1164" t="b">
        <v>1</v>
      </c>
      <c r="L1164" t="inlineStr">
        <is>
          <t>not_relevant</t>
        </is>
      </c>
      <c r="M1164" t="inlineStr">
        <is>
          <t>not_relevant</t>
        </is>
      </c>
      <c r="N1164" t="inlineStr">
        <is>
          <t>not_relevant</t>
        </is>
      </c>
      <c r="O1164" t="inlineStr">
        <is>
          <t>partial</t>
        </is>
      </c>
      <c r="P1164" t="b">
        <v>1</v>
      </c>
    </row>
    <row r="1165">
      <c r="A1165" t="inlineStr">
        <is>
          <t>my orders placed</t>
        </is>
      </c>
      <c r="B1165" t="inlineStr"/>
      <c r="C1165" t="n">
        <v>1559087189</v>
      </c>
      <c r="D1165">
        <f>HYPERLINK("https://www.etsy.com/listing/1559087189", "link")</f>
        <v/>
      </c>
      <c r="E1165">
        <f>HYPERLINK("https://atlas.etsycorp.com/listing/1559087189/lookup", "link")</f>
        <v/>
      </c>
      <c r="F1165" t="inlineStr">
        <is>
          <t>Birth flower necklace, Birth month necklace, Dainty flower necklace, Birthday gift, Anniversary gift, Tiny jewelry, Bridesmaid gift, AU68</t>
        </is>
      </c>
      <c r="G1165" t="inlineStr">
        <is>
          <t>EumndLEzTIyfLuH4kuDPAFMbJ45d</t>
        </is>
      </c>
      <c r="H1165" t="inlineStr">
        <is>
          <t>boe</t>
        </is>
      </c>
      <c r="I1165" t="inlineStr">
        <is>
          <t>en-US</t>
        </is>
      </c>
      <c r="J1165" t="inlineStr">
        <is>
          <t>us_v2-broad</t>
        </is>
      </c>
      <c r="K1165" t="b">
        <v>1</v>
      </c>
      <c r="L1165" t="inlineStr">
        <is>
          <t>not_relevant</t>
        </is>
      </c>
      <c r="M1165" t="inlineStr">
        <is>
          <t>not_relevant</t>
        </is>
      </c>
      <c r="N1165" t="inlineStr">
        <is>
          <t>not_relevant</t>
        </is>
      </c>
      <c r="O1165" t="inlineStr">
        <is>
          <t>not_relevant</t>
        </is>
      </c>
      <c r="P1165" t="b">
        <v>1</v>
      </c>
    </row>
    <row r="1166">
      <c r="A1166" t="inlineStr">
        <is>
          <t>fridge magnets funny</t>
        </is>
      </c>
      <c r="B1166" t="inlineStr"/>
      <c r="C1166" t="n">
        <v>1534021749</v>
      </c>
      <c r="D1166">
        <f>HYPERLINK("https://www.etsy.com/listing/1534021749", "link")</f>
        <v/>
      </c>
      <c r="E1166">
        <f>HYPERLINK("https://atlas.etsycorp.com/listing/1534021749/lookup", "link")</f>
        <v/>
      </c>
      <c r="F1166" t="inlineStr">
        <is>
          <t>If my mouth doesn&amp;#39;t say it my face definitely will - Magnet - Fridge/Whiteboard - Humour</t>
        </is>
      </c>
      <c r="G1166" t="inlineStr">
        <is>
          <t>EuzYr6aaY3HsjOnl84Av7duaFU4c</t>
        </is>
      </c>
      <c r="H1166" t="inlineStr">
        <is>
          <t>boe</t>
        </is>
      </c>
      <c r="I1166" t="inlineStr">
        <is>
          <t>en-GB</t>
        </is>
      </c>
      <c r="J1166" t="inlineStr">
        <is>
          <t>us_v2-direct_specified</t>
        </is>
      </c>
      <c r="K1166" t="b">
        <v>1</v>
      </c>
      <c r="L1166" t="inlineStr">
        <is>
          <t>relevant</t>
        </is>
      </c>
      <c r="M1166" t="inlineStr">
        <is>
          <t>relevant</t>
        </is>
      </c>
      <c r="N1166" t="inlineStr">
        <is>
          <t>relevant</t>
        </is>
      </c>
      <c r="O1166" t="inlineStr">
        <is>
          <t>relevant</t>
        </is>
      </c>
      <c r="P1166" t="b">
        <v>1</v>
      </c>
    </row>
    <row r="1167">
      <c r="A1167" t="inlineStr">
        <is>
          <t>watercolor terracota flower</t>
        </is>
      </c>
      <c r="B1167" t="inlineStr">
        <is>
          <t>watercolor terracotta flower</t>
        </is>
      </c>
      <c r="C1167" t="n">
        <v>1299798386</v>
      </c>
      <c r="D1167">
        <f>HYPERLINK("https://www.etsy.com/listing/1299798386", "link")</f>
        <v/>
      </c>
      <c r="E1167">
        <f>HYPERLINK("https://atlas.etsycorp.com/listing/1299798386/lookup", "link")</f>
        <v/>
      </c>
      <c r="F1167" t="inlineStr">
        <is>
          <t>Boho Rust Terracotta Mini Dried Flower Bouquet, Guest gift for the wedding, Dried flower bouquet favors for guests, Small bouquet for gift</t>
        </is>
      </c>
      <c r="G1167" t="inlineStr">
        <is>
          <t>EuVg2_EkWq0UB6b9_yBLs4iW3Uc8</t>
        </is>
      </c>
      <c r="H1167" t="inlineStr">
        <is>
          <t>web</t>
        </is>
      </c>
      <c r="I1167" t="inlineStr">
        <is>
          <t>pt</t>
        </is>
      </c>
      <c r="J1167" t="inlineStr">
        <is>
          <t>intl-pt</t>
        </is>
      </c>
      <c r="K1167" t="b">
        <v>1</v>
      </c>
      <c r="L1167" t="inlineStr">
        <is>
          <t>not_relevant</t>
        </is>
      </c>
      <c r="M1167" t="inlineStr">
        <is>
          <t>not_relevant</t>
        </is>
      </c>
      <c r="N1167" t="inlineStr">
        <is>
          <t>not_relevant</t>
        </is>
      </c>
      <c r="O1167" t="inlineStr">
        <is>
          <t>not_relevant</t>
        </is>
      </c>
      <c r="P1167" t="b">
        <v>1</v>
      </c>
    </row>
    <row r="1168">
      <c r="A1168" t="inlineStr">
        <is>
          <t>cobijas</t>
        </is>
      </c>
      <c r="B1168" t="inlineStr">
        <is>
          <t>blankets</t>
        </is>
      </c>
      <c r="C1168" t="n">
        <v>1498198161</v>
      </c>
      <c r="D1168">
        <f>HYPERLINK("https://www.etsy.com/listing/1498198161", "link")</f>
        <v/>
      </c>
      <c r="E1168">
        <f>HYPERLINK("https://atlas.etsycorp.com/listing/1498198161/lookup", "link")</f>
        <v/>
      </c>
      <c r="F1168" t="inlineStr">
        <is>
          <t>Wholesale Lot Of Indian Vintage Kantha Quilt Handmade Throw Reversible Blanket Bedspread Cotton Fabric BOHEMIAN quilt</t>
        </is>
      </c>
      <c r="G1168" t="inlineStr">
        <is>
          <t>Eua-wU0R6Dlaxls_EW9CM4eP2C6b</t>
        </is>
      </c>
      <c r="H1168" t="inlineStr">
        <is>
          <t>web</t>
        </is>
      </c>
      <c r="I1168" t="inlineStr">
        <is>
          <t>es</t>
        </is>
      </c>
      <c r="J1168" t="inlineStr">
        <is>
          <t>intl-es</t>
        </is>
      </c>
      <c r="K1168" t="b">
        <v>1</v>
      </c>
      <c r="L1168" t="inlineStr">
        <is>
          <t>relevant</t>
        </is>
      </c>
      <c r="M1168" t="inlineStr">
        <is>
          <t>relevant</t>
        </is>
      </c>
      <c r="N1168" t="inlineStr">
        <is>
          <t>partial</t>
        </is>
      </c>
      <c r="O1168" t="inlineStr">
        <is>
          <t>relevant</t>
        </is>
      </c>
      <c r="P1168" t="b">
        <v>1</v>
      </c>
    </row>
    <row r="1169">
      <c r="A1169" t="inlineStr">
        <is>
          <t>wood ring forest</t>
        </is>
      </c>
      <c r="B1169" t="inlineStr">
        <is>
          <t>wood ring forest</t>
        </is>
      </c>
      <c r="C1169" t="n">
        <v>966772708</v>
      </c>
      <c r="D1169">
        <f>HYPERLINK("https://www.etsy.com/listing/966772708", "link")</f>
        <v/>
      </c>
      <c r="E1169">
        <f>HYPERLINK("https://atlas.etsycorp.com/listing/966772708/lookup", "link")</f>
        <v/>
      </c>
      <c r="F1169" t="inlineStr">
        <is>
          <t>Walnut bentwood ring - Walnut wood ring -wooden wedding ring  -wooden rings for men - wooden rings  - mens ring wood - mens wooden ring</t>
        </is>
      </c>
      <c r="G1169" t="inlineStr">
        <is>
          <t>Eu4y-vXQU2D6AgIwqUo3Ovel5Odb</t>
        </is>
      </c>
      <c r="H1169" t="inlineStr">
        <is>
          <t>web</t>
        </is>
      </c>
      <c r="I1169" t="inlineStr">
        <is>
          <t>it</t>
        </is>
      </c>
      <c r="J1169" t="inlineStr">
        <is>
          <t>intl-it</t>
        </is>
      </c>
      <c r="K1169" t="b">
        <v>1</v>
      </c>
      <c r="L1169" t="inlineStr">
        <is>
          <t>partial</t>
        </is>
      </c>
      <c r="M1169" t="inlineStr">
        <is>
          <t>partial</t>
        </is>
      </c>
      <c r="N1169" t="inlineStr">
        <is>
          <t>partial</t>
        </is>
      </c>
      <c r="O1169" t="inlineStr">
        <is>
          <t>partial</t>
        </is>
      </c>
      <c r="P1169" t="b">
        <v>1</v>
      </c>
    </row>
    <row r="1170">
      <c r="A1170" t="inlineStr">
        <is>
          <t>hoja para pluma</t>
        </is>
      </c>
      <c r="B1170" t="inlineStr">
        <is>
          <t>pen sheet</t>
        </is>
      </c>
      <c r="C1170" t="n">
        <v>1693737105</v>
      </c>
      <c r="D1170">
        <f>HYPERLINK("https://www.etsy.com/listing/1693737105", "link")</f>
        <v/>
      </c>
      <c r="E1170">
        <f>HYPERLINK("https://atlas.etsycorp.com/listing/1693737105/lookup", "link")</f>
        <v/>
      </c>
      <c r="F1170" t="inlineStr">
        <is>
          <t>Mandala Practice Sheets, Zentangle Pattern Tracing Sheets, Mandala Art Templates, Mandala Training Worksheets, Mandala Grid Line Templates</t>
        </is>
      </c>
      <c r="G1170" t="inlineStr">
        <is>
          <t>EuUT1c-N3wd4tEwRzl1yKSTFi113</t>
        </is>
      </c>
      <c r="H1170" t="inlineStr">
        <is>
          <t>web</t>
        </is>
      </c>
      <c r="I1170" t="inlineStr">
        <is>
          <t>es</t>
        </is>
      </c>
      <c r="J1170" t="inlineStr">
        <is>
          <t>intl-es</t>
        </is>
      </c>
      <c r="K1170" t="b">
        <v>1</v>
      </c>
      <c r="L1170" t="inlineStr">
        <is>
          <t>partial</t>
        </is>
      </c>
      <c r="M1170" t="inlineStr">
        <is>
          <t>partial</t>
        </is>
      </c>
      <c r="N1170" t="inlineStr">
        <is>
          <t>relevant</t>
        </is>
      </c>
      <c r="O1170" t="inlineStr">
        <is>
          <t>partial</t>
        </is>
      </c>
      <c r="P1170" t="b">
        <v>1</v>
      </c>
    </row>
    <row r="1171">
      <c r="A1171" t="inlineStr">
        <is>
          <t>wounaan basket</t>
        </is>
      </c>
      <c r="B1171" t="inlineStr"/>
      <c r="C1171" t="n">
        <v>1138505949</v>
      </c>
      <c r="D1171">
        <f>HYPERLINK("https://www.etsy.com/listing/1138505949", "link")</f>
        <v/>
      </c>
      <c r="E1171">
        <f>HYPERLINK("https://atlas.etsycorp.com/listing/1138505949/lookup", "link")</f>
        <v/>
      </c>
      <c r="F1171" t="inlineStr">
        <is>
          <t>Wounaan Indian Hand Woven Black and White and Gray Panama Basket, Basket Wall Decor, Decor Basket, Storage Basket, Boho Baskets</t>
        </is>
      </c>
      <c r="G1171" t="inlineStr">
        <is>
          <t>Eudrc0ZITq7bZLPA57Alu19-2h5a</t>
        </is>
      </c>
      <c r="H1171" t="inlineStr">
        <is>
          <t>web</t>
        </is>
      </c>
      <c r="I1171" t="inlineStr">
        <is>
          <t>en-US</t>
        </is>
      </c>
      <c r="J1171" t="inlineStr">
        <is>
          <t>us_v2-direct_unspecified</t>
        </is>
      </c>
      <c r="K1171" t="b">
        <v>1</v>
      </c>
      <c r="L1171" t="inlineStr">
        <is>
          <t>relevant</t>
        </is>
      </c>
      <c r="M1171" t="inlineStr">
        <is>
          <t>relevant</t>
        </is>
      </c>
      <c r="N1171" t="inlineStr">
        <is>
          <t>relevant</t>
        </is>
      </c>
      <c r="O1171" t="inlineStr">
        <is>
          <t>relevant</t>
        </is>
      </c>
      <c r="P1171" t="b">
        <v>1</v>
      </c>
    </row>
    <row r="1172">
      <c r="A1172" t="inlineStr">
        <is>
          <t>linen</t>
        </is>
      </c>
      <c r="B1172" t="inlineStr">
        <is>
          <t>linen</t>
        </is>
      </c>
      <c r="C1172" t="n">
        <v>1227185273</v>
      </c>
      <c r="D1172">
        <f>HYPERLINK("https://www.etsy.com/listing/1227185273", "link")</f>
        <v/>
      </c>
      <c r="E1172">
        <f>HYPERLINK("https://atlas.etsycorp.com/listing/1227185273/lookup", "link")</f>
        <v/>
      </c>
      <c r="F1172" t="inlineStr">
        <is>
          <t>Linen fabric remnants (2.2 lbs) / Linen leftovers in various colors / Linen fabric scraps / DIY / Zero waste scraps</t>
        </is>
      </c>
      <c r="G1172" t="inlineStr">
        <is>
          <t>EuD2W1icGa_fisQX8dqq9ct9WMd9</t>
        </is>
      </c>
      <c r="H1172" t="inlineStr">
        <is>
          <t>boe</t>
        </is>
      </c>
      <c r="I1172" t="inlineStr">
        <is>
          <t>ru</t>
        </is>
      </c>
      <c r="J1172" t="inlineStr">
        <is>
          <t>intl-ru</t>
        </is>
      </c>
      <c r="K1172" t="b">
        <v>1</v>
      </c>
      <c r="L1172" t="inlineStr">
        <is>
          <t>relevant</t>
        </is>
      </c>
      <c r="M1172" t="inlineStr">
        <is>
          <t>relevant</t>
        </is>
      </c>
      <c r="N1172" t="inlineStr">
        <is>
          <t>relevant</t>
        </is>
      </c>
      <c r="O1172" t="inlineStr">
        <is>
          <t>relevant</t>
        </is>
      </c>
      <c r="P1172" t="b">
        <v>1</v>
      </c>
    </row>
    <row r="1173">
      <c r="A1173" t="inlineStr">
        <is>
          <t>garlic seeds</t>
        </is>
      </c>
      <c r="B1173" t="inlineStr"/>
      <c r="C1173" t="n">
        <v>1206693157</v>
      </c>
      <c r="D1173">
        <f>HYPERLINK("https://www.etsy.com/listing/1206693157", "link")</f>
        <v/>
      </c>
      <c r="E1173">
        <f>HYPERLINK("https://atlas.etsycorp.com/listing/1206693157/lookup", "link")</f>
        <v/>
      </c>
      <c r="F1173" t="inlineStr">
        <is>
          <t>Carantan Leek Seeds - Open-Pollinated for Seed Saving - Non-Hybrid &amp; Non-GMO - Canada Heirloom Vegetable Seeds</t>
        </is>
      </c>
      <c r="G1173" t="inlineStr">
        <is>
          <t>Eu4mZeswWZzgmN9tdhTAI2soZRa1</t>
        </is>
      </c>
      <c r="H1173" t="inlineStr">
        <is>
          <t>web</t>
        </is>
      </c>
      <c r="I1173" t="inlineStr">
        <is>
          <t>en-US</t>
        </is>
      </c>
      <c r="J1173" t="inlineStr">
        <is>
          <t>us_v2-direct_unspecified</t>
        </is>
      </c>
      <c r="K1173" t="b">
        <v>1</v>
      </c>
      <c r="L1173" t="inlineStr">
        <is>
          <t>partial</t>
        </is>
      </c>
      <c r="M1173" t="inlineStr">
        <is>
          <t>relevant</t>
        </is>
      </c>
      <c r="N1173" t="inlineStr">
        <is>
          <t>partial</t>
        </is>
      </c>
      <c r="O1173" t="inlineStr">
        <is>
          <t>partial</t>
        </is>
      </c>
      <c r="P1173" t="b">
        <v>1</v>
      </c>
    </row>
    <row r="1174">
      <c r="A1174" t="inlineStr">
        <is>
          <t>a7 spaarchallenge</t>
        </is>
      </c>
      <c r="B1174" t="inlineStr">
        <is>
          <t>a7 savings challenge</t>
        </is>
      </c>
      <c r="C1174" t="n">
        <v>1720948030</v>
      </c>
      <c r="D1174">
        <f>HYPERLINK("https://www.etsy.com/listing/1720948030", "link")</f>
        <v/>
      </c>
      <c r="E1174">
        <f>HYPERLINK("https://atlas.etsycorp.com/listing/1720948030/lookup", "link")</f>
        <v/>
      </c>
      <c r="F1174" t="inlineStr">
        <is>
          <t>Mini Starlight Vellum Cash Envelope | New A7 Size Mini Cash stuffing | A7 Cash Envelope System | Savings Challenge | Budget Binder Envelope</t>
        </is>
      </c>
      <c r="G1174" t="inlineStr">
        <is>
          <t>EuzXh7zU23_q2lqyHQjZfoSlpSbb</t>
        </is>
      </c>
      <c r="H1174" t="inlineStr">
        <is>
          <t>boe</t>
        </is>
      </c>
      <c r="I1174" t="inlineStr">
        <is>
          <t>nl</t>
        </is>
      </c>
      <c r="J1174" t="inlineStr">
        <is>
          <t>intl-nl</t>
        </is>
      </c>
      <c r="K1174" t="b">
        <v>1</v>
      </c>
      <c r="L1174" t="inlineStr">
        <is>
          <t>relevant</t>
        </is>
      </c>
      <c r="M1174" t="inlineStr">
        <is>
          <t>relevant</t>
        </is>
      </c>
      <c r="N1174" t="inlineStr">
        <is>
          <t>relevant</t>
        </is>
      </c>
      <c r="O1174" t="inlineStr">
        <is>
          <t>relevant</t>
        </is>
      </c>
      <c r="P1174" t="b">
        <v>1</v>
      </c>
    </row>
    <row r="1175">
      <c r="A1175" t="inlineStr">
        <is>
          <t>elefante</t>
        </is>
      </c>
      <c r="B1175" t="inlineStr">
        <is>
          <t>elephant</t>
        </is>
      </c>
      <c r="C1175" t="n">
        <v>1585479987</v>
      </c>
      <c r="D1175">
        <f>HYPERLINK("https://www.etsy.com/listing/1585479987", "link")</f>
        <v/>
      </c>
      <c r="E1175">
        <f>HYPERLINK("https://atlas.etsycorp.com/listing/1585479987/lookup", "link")</f>
        <v/>
      </c>
      <c r="F1175" t="inlineStr">
        <is>
          <t>Watercolor Elephant, Baby Elephant Clipart, Baby Elephant With Balloons Png, Baby Shower Clip Art, Nursery Graphics, Digital PNG, Set of 20</t>
        </is>
      </c>
      <c r="G1175" t="inlineStr">
        <is>
          <t>EutJHGL_wjZz_Nu0f2O7WPF_Pd88</t>
        </is>
      </c>
      <c r="H1175" t="inlineStr">
        <is>
          <t>web</t>
        </is>
      </c>
      <c r="I1175" t="inlineStr">
        <is>
          <t>it</t>
        </is>
      </c>
      <c r="J1175" t="inlineStr">
        <is>
          <t>intl-it</t>
        </is>
      </c>
      <c r="K1175" t="b">
        <v>1</v>
      </c>
      <c r="L1175" t="inlineStr">
        <is>
          <t>relevant</t>
        </is>
      </c>
      <c r="M1175" t="inlineStr">
        <is>
          <t>partial</t>
        </is>
      </c>
      <c r="N1175" t="inlineStr">
        <is>
          <t>relevant</t>
        </is>
      </c>
      <c r="O1175" t="inlineStr">
        <is>
          <t>relevant</t>
        </is>
      </c>
      <c r="P1175" t="b">
        <v>1</v>
      </c>
    </row>
    <row r="1176">
      <c r="A1176" t="inlineStr">
        <is>
          <t>monalisa prendedor</t>
        </is>
      </c>
      <c r="B1176" t="inlineStr">
        <is>
          <t>monalisa clip</t>
        </is>
      </c>
      <c r="C1176" t="n">
        <v>1553263691</v>
      </c>
      <c r="D1176">
        <f>HYPERLINK("https://www.etsy.com/listing/1553263691", "link")</f>
        <v/>
      </c>
      <c r="E1176">
        <f>HYPERLINK("https://atlas.etsycorp.com/listing/1553263691/lookup", "link")</f>
        <v/>
      </c>
      <c r="F1176" t="inlineStr">
        <is>
          <t>Girly Frog Self Love Wall Print, Positivity Hello Gorgeous Quote, Pink Retro Posters, Bathroom Y2K Poster Prints, Dorm Room Decor UNFRAMED</t>
        </is>
      </c>
      <c r="G1176" t="inlineStr">
        <is>
          <t>Eu8eQqooEV7GyNezAoXzQL79IO07</t>
        </is>
      </c>
      <c r="H1176" t="inlineStr">
        <is>
          <t>web</t>
        </is>
      </c>
      <c r="I1176" t="inlineStr">
        <is>
          <t>pt</t>
        </is>
      </c>
      <c r="J1176" t="inlineStr">
        <is>
          <t>intl-pt</t>
        </is>
      </c>
      <c r="K1176" t="b">
        <v>1</v>
      </c>
      <c r="L1176" t="inlineStr">
        <is>
          <t>not_relevant</t>
        </is>
      </c>
      <c r="M1176" t="inlineStr">
        <is>
          <t>not_relevant</t>
        </is>
      </c>
      <c r="N1176" t="inlineStr">
        <is>
          <t>not_relevant</t>
        </is>
      </c>
      <c r="O1176" t="inlineStr">
        <is>
          <t>not_relevant</t>
        </is>
      </c>
      <c r="P1176" t="b">
        <v>1</v>
      </c>
    </row>
    <row r="1177">
      <c r="A1177" t="inlineStr">
        <is>
          <t>princess nurse sticker</t>
        </is>
      </c>
      <c r="B1177" t="inlineStr"/>
      <c r="C1177" t="n">
        <v>1627845033</v>
      </c>
      <c r="D1177">
        <f>HYPERLINK("https://www.etsy.com/listing/1627845033", "link")</f>
        <v/>
      </c>
      <c r="E1177">
        <f>HYPERLINK("https://atlas.etsycorp.com/listing/1627845033/lookup", "link")</f>
        <v/>
      </c>
      <c r="F1177" t="inlineStr">
        <is>
          <t>Joker Nurse | Nurse Medical Die Cut Vinyl Sticker Waterproof Critical Care Med Surg RN LVN Student Physician ICU Emergency Vet Tech</t>
        </is>
      </c>
      <c r="G1177" t="inlineStr">
        <is>
          <t>Eu9FjAZ1Q1zT0yH_4_mAbg_M-fbc</t>
        </is>
      </c>
      <c r="H1177" t="inlineStr">
        <is>
          <t>boe</t>
        </is>
      </c>
      <c r="I1177" t="inlineStr">
        <is>
          <t>en-US</t>
        </is>
      </c>
      <c r="J1177" t="inlineStr">
        <is>
          <t>us_v2-direct_specified</t>
        </is>
      </c>
      <c r="K1177" t="b">
        <v>1</v>
      </c>
      <c r="L1177" t="inlineStr">
        <is>
          <t>partial</t>
        </is>
      </c>
      <c r="M1177" t="inlineStr">
        <is>
          <t>partial</t>
        </is>
      </c>
      <c r="N1177" t="inlineStr">
        <is>
          <t>partial</t>
        </is>
      </c>
      <c r="O1177" t="inlineStr">
        <is>
          <t>partial</t>
        </is>
      </c>
      <c r="P1177" t="b">
        <v>1</v>
      </c>
    </row>
    <row r="1178">
      <c r="A1178" t="inlineStr">
        <is>
          <t>womens anal toys</t>
        </is>
      </c>
      <c r="B1178" t="inlineStr"/>
      <c r="C1178" t="n">
        <v>588440234</v>
      </c>
      <c r="D1178">
        <f>HYPERLINK("https://www.etsy.com/listing/588440234", "link")</f>
        <v/>
      </c>
      <c r="E1178">
        <f>HYPERLINK("https://atlas.etsycorp.com/listing/588440234/lookup", "link")</f>
        <v/>
      </c>
      <c r="F1178" t="inlineStr">
        <is>
          <t>Intoxicating Women Pheromone Perfume Oil 1/3 Fl Oz</t>
        </is>
      </c>
      <c r="G1178" t="inlineStr">
        <is>
          <t>EuV7A3KbBhRnyl6LuRgjonDazt98</t>
        </is>
      </c>
      <c r="H1178" t="inlineStr">
        <is>
          <t>boe</t>
        </is>
      </c>
      <c r="I1178" t="inlineStr">
        <is>
          <t>en-US</t>
        </is>
      </c>
      <c r="J1178" t="inlineStr">
        <is>
          <t>us_v2-direct_unspecified</t>
        </is>
      </c>
      <c r="K1178" t="b">
        <v>1</v>
      </c>
      <c r="L1178" t="inlineStr">
        <is>
          <t>not_relevant</t>
        </is>
      </c>
      <c r="M1178" t="inlineStr">
        <is>
          <t>partial</t>
        </is>
      </c>
      <c r="N1178" t="inlineStr">
        <is>
          <t>not_relevant</t>
        </is>
      </c>
      <c r="O1178" t="inlineStr">
        <is>
          <t>not_relevant</t>
        </is>
      </c>
      <c r="P1178" t="b">
        <v>1</v>
      </c>
    </row>
    <row r="1179">
      <c r="A1179" t="inlineStr">
        <is>
          <t>1st birthday gift toys</t>
        </is>
      </c>
      <c r="B1179" t="inlineStr"/>
      <c r="C1179" t="n">
        <v>1447439433</v>
      </c>
      <c r="D1179">
        <f>HYPERLINK("https://www.etsy.com/listing/1447439433", "link")</f>
        <v/>
      </c>
      <c r="E1179">
        <f>HYPERLINK("https://atlas.etsycorp.com/listing/1447439433/lookup", "link")</f>
        <v/>
      </c>
      <c r="F1179" t="inlineStr">
        <is>
          <t>Personalized Wooden Sorting Barn - Sorting Toy For Babies - Sorting Toy For Toddlers - Wooden Ranch Toy With Farmer Tractor And Animals</t>
        </is>
      </c>
      <c r="G1179" t="inlineStr">
        <is>
          <t>Euk6EdXE_2bdbbUrc1ktpX-CCb93</t>
        </is>
      </c>
      <c r="H1179" t="inlineStr">
        <is>
          <t>boe</t>
        </is>
      </c>
      <c r="I1179" t="inlineStr">
        <is>
          <t>en-US</t>
        </is>
      </c>
      <c r="J1179" t="inlineStr">
        <is>
          <t>us_v2-direct_unspecified</t>
        </is>
      </c>
      <c r="K1179" t="b">
        <v>1</v>
      </c>
      <c r="L1179" t="inlineStr">
        <is>
          <t>partial</t>
        </is>
      </c>
      <c r="M1179" t="inlineStr">
        <is>
          <t>relevant</t>
        </is>
      </c>
      <c r="N1179" t="inlineStr">
        <is>
          <t>partial</t>
        </is>
      </c>
      <c r="O1179" t="inlineStr">
        <is>
          <t>partial</t>
        </is>
      </c>
      <c r="P1179" t="b">
        <v>1</v>
      </c>
    </row>
    <row r="1180">
      <c r="A1180" t="inlineStr">
        <is>
          <t>food charm gold</t>
        </is>
      </c>
      <c r="B1180" t="inlineStr">
        <is>
          <t>food charm gold</t>
        </is>
      </c>
      <c r="C1180" t="n">
        <v>1194278702</v>
      </c>
      <c r="D1180">
        <f>HYPERLINK("https://www.etsy.com/listing/1194278702", "link")</f>
        <v/>
      </c>
      <c r="E1180">
        <f>HYPERLINK("https://atlas.etsycorp.com/listing/1194278702/lookup", "link")</f>
        <v/>
      </c>
      <c r="F1180" t="inlineStr">
        <is>
          <t>5/10 Assorted Chocolate Candy Resin Flatback Charm Pendant Earring Craft Jewellery Making DIY UK (With Hook)</t>
        </is>
      </c>
      <c r="G1180" t="inlineStr">
        <is>
          <t>EuVh21GPZV6_qpDqhRBFH5yeMd27</t>
        </is>
      </c>
      <c r="H1180" t="inlineStr">
        <is>
          <t>web</t>
        </is>
      </c>
      <c r="I1180" t="inlineStr">
        <is>
          <t>nl</t>
        </is>
      </c>
      <c r="J1180" t="inlineStr">
        <is>
          <t>intl-nl</t>
        </is>
      </c>
      <c r="K1180" t="b">
        <v>1</v>
      </c>
      <c r="L1180" t="inlineStr">
        <is>
          <t>partial</t>
        </is>
      </c>
      <c r="M1180" t="inlineStr">
        <is>
          <t>partial</t>
        </is>
      </c>
      <c r="N1180" t="inlineStr">
        <is>
          <t>partial</t>
        </is>
      </c>
      <c r="O1180" t="inlineStr">
        <is>
          <t>partial</t>
        </is>
      </c>
      <c r="P1180" t="b">
        <v>1</v>
      </c>
    </row>
    <row r="1181">
      <c r="A1181" t="inlineStr">
        <is>
          <t>chinese new year digital backdrop</t>
        </is>
      </c>
      <c r="B1181" t="inlineStr"/>
      <c r="C1181" t="n">
        <v>1645606395</v>
      </c>
      <c r="D1181">
        <f>HYPERLINK("https://www.etsy.com/listing/1645606395", "link")</f>
        <v/>
      </c>
      <c r="E1181">
        <f>HYPERLINK("https://atlas.etsycorp.com/listing/1645606395/lookup", "link")</f>
        <v/>
      </c>
      <c r="F1181" t="inlineStr">
        <is>
          <t>Lion Dance clipart, Chinese Lion Dance clipart, Chinese kids, Chinese New Year, Clipart PNG, Watercolor Clipart, Transparent PNG</t>
        </is>
      </c>
      <c r="G1181" t="inlineStr">
        <is>
          <t>EuMzNhQIW00BwxPQcXB5QjyCHM77</t>
        </is>
      </c>
      <c r="H1181" t="inlineStr">
        <is>
          <t>web</t>
        </is>
      </c>
      <c r="I1181" t="inlineStr">
        <is>
          <t>en-US</t>
        </is>
      </c>
      <c r="J1181" t="inlineStr">
        <is>
          <t>us_v2-direct_specified</t>
        </is>
      </c>
      <c r="K1181" t="b">
        <v>1</v>
      </c>
      <c r="L1181" t="inlineStr">
        <is>
          <t>relevant</t>
        </is>
      </c>
      <c r="M1181" t="inlineStr">
        <is>
          <t>relevant</t>
        </is>
      </c>
      <c r="N1181" t="inlineStr">
        <is>
          <t>relevant</t>
        </is>
      </c>
      <c r="O1181" t="inlineStr">
        <is>
          <t>not_relevant</t>
        </is>
      </c>
      <c r="P1181" t="b">
        <v>1</v>
      </c>
    </row>
    <row r="1182">
      <c r="A1182" t="inlineStr">
        <is>
          <t>easter moulds</t>
        </is>
      </c>
      <c r="B1182" t="inlineStr"/>
      <c r="C1182" t="n">
        <v>1650698372</v>
      </c>
      <c r="D1182">
        <f>HYPERLINK("https://www.etsy.com/listing/1650698372", "link")</f>
        <v/>
      </c>
      <c r="E1182">
        <f>HYPERLINK("https://atlas.etsycorp.com/listing/1650698372/lookup", "link")</f>
        <v/>
      </c>
      <c r="F1182" t="inlineStr">
        <is>
          <t>Rub On Transfer for Furniture CERULEAN BLOOMS || ReDesign with Prima Transfers || Blue White Floral Furniture Decals || 24 x 35 Inches</t>
        </is>
      </c>
      <c r="G1182" t="inlineStr">
        <is>
          <t>EuHeWfcMBbVPv_rDdgmAll4G1d60</t>
        </is>
      </c>
      <c r="H1182" t="inlineStr">
        <is>
          <t>web</t>
        </is>
      </c>
      <c r="I1182" t="inlineStr">
        <is>
          <t>en-US</t>
        </is>
      </c>
      <c r="J1182" t="inlineStr">
        <is>
          <t>us_v2-direct_unspecified</t>
        </is>
      </c>
      <c r="K1182" t="b">
        <v>1</v>
      </c>
      <c r="L1182" t="inlineStr">
        <is>
          <t>not_relevant</t>
        </is>
      </c>
      <c r="M1182" t="inlineStr">
        <is>
          <t>not_relevant</t>
        </is>
      </c>
      <c r="N1182" t="inlineStr">
        <is>
          <t>not_relevant</t>
        </is>
      </c>
      <c r="O1182" t="inlineStr">
        <is>
          <t>not_relevant</t>
        </is>
      </c>
      <c r="P1182" t="b">
        <v>1</v>
      </c>
    </row>
    <row r="1183">
      <c r="A1183" t="inlineStr">
        <is>
          <t>cyberpunk</t>
        </is>
      </c>
      <c r="B1183" t="inlineStr">
        <is>
          <t>cyberpunk</t>
        </is>
      </c>
      <c r="C1183" t="n">
        <v>1357866710</v>
      </c>
      <c r="D1183">
        <f>HYPERLINK("https://www.etsy.com/listing/1357866710", "link")</f>
        <v/>
      </c>
      <c r="E1183">
        <f>HYPERLINK("https://atlas.etsycorp.com/listing/1357866710/lookup", "link")</f>
        <v/>
      </c>
      <c r="F1183" t="inlineStr">
        <is>
          <t>CYBERPUNK RACOON, Printable, Wall art painting/poster, Digital download ART, Cyberpunk poster, Cyberpunk art</t>
        </is>
      </c>
      <c r="G1183" t="inlineStr">
        <is>
          <t>EuAdBsd_xVBLHiKi2foFfO_I5wc3</t>
        </is>
      </c>
      <c r="H1183" t="inlineStr">
        <is>
          <t>web</t>
        </is>
      </c>
      <c r="I1183" t="inlineStr">
        <is>
          <t>ja</t>
        </is>
      </c>
      <c r="J1183" t="inlineStr">
        <is>
          <t>intl-ja</t>
        </is>
      </c>
      <c r="K1183" t="b">
        <v>1</v>
      </c>
      <c r="L1183" t="inlineStr">
        <is>
          <t>relevant</t>
        </is>
      </c>
      <c r="M1183" t="inlineStr">
        <is>
          <t>relevant</t>
        </is>
      </c>
      <c r="N1183" t="inlineStr">
        <is>
          <t>relevant</t>
        </is>
      </c>
      <c r="O1183" t="inlineStr">
        <is>
          <t>relevant</t>
        </is>
      </c>
      <c r="P1183" t="b">
        <v>1</v>
      </c>
    </row>
    <row r="1184">
      <c r="A1184" t="inlineStr">
        <is>
          <t>handmade friendship bracelets</t>
        </is>
      </c>
      <c r="B1184" t="inlineStr"/>
      <c r="C1184" t="n">
        <v>1655614073</v>
      </c>
      <c r="D1184">
        <f>HYPERLINK("https://www.etsy.com/listing/1655614073", "link")</f>
        <v/>
      </c>
      <c r="E1184">
        <f>HYPERLINK("https://atlas.etsycorp.com/listing/1655614073/lookup", "link")</f>
        <v/>
      </c>
      <c r="F1184" t="inlineStr">
        <is>
          <t>Personalized friendship bracelets, Custom bracelets, Beaded Name Bracelets, Handmade Jewelry</t>
        </is>
      </c>
      <c r="G1184" t="inlineStr">
        <is>
          <t>Eu2xO7ls3w5jpL-7u0okqX8qgi16</t>
        </is>
      </c>
      <c r="H1184" t="inlineStr">
        <is>
          <t>boe</t>
        </is>
      </c>
      <c r="I1184" t="inlineStr">
        <is>
          <t>en-US</t>
        </is>
      </c>
      <c r="J1184" t="inlineStr">
        <is>
          <t>us_v2-direct_specified</t>
        </is>
      </c>
      <c r="K1184" t="b">
        <v>1</v>
      </c>
      <c r="L1184" t="inlineStr">
        <is>
          <t>relevant</t>
        </is>
      </c>
      <c r="M1184" t="inlineStr">
        <is>
          <t>relevant</t>
        </is>
      </c>
      <c r="N1184" t="inlineStr">
        <is>
          <t>relevant</t>
        </is>
      </c>
      <c r="O1184" t="inlineStr">
        <is>
          <t>relevant</t>
        </is>
      </c>
      <c r="P1184" t="b">
        <v>1</v>
      </c>
    </row>
    <row r="1185">
      <c r="A1185" t="inlineStr">
        <is>
          <t>garage door</t>
        </is>
      </c>
      <c r="B1185" t="inlineStr"/>
      <c r="C1185" t="n">
        <v>1647507372</v>
      </c>
      <c r="D1185">
        <f>HYPERLINK("https://www.etsy.com/listing/1647507372", "link")</f>
        <v/>
      </c>
      <c r="E1185">
        <f>HYPERLINK("https://atlas.etsycorp.com/listing/1647507372/lookup", "link")</f>
        <v/>
      </c>
      <c r="F1185" t="inlineStr">
        <is>
          <t>Aluminum Single or Double Overhead Garage Door, Modern, Contemporary, Tempered Insulation Glass, Frosted Mirror, Customization Available</t>
        </is>
      </c>
      <c r="G1185" t="inlineStr">
        <is>
          <t>Eu6VYFdORuNf4lVyPmTuiQdEkifc</t>
        </is>
      </c>
      <c r="H1185" t="inlineStr">
        <is>
          <t>web</t>
        </is>
      </c>
      <c r="I1185" t="inlineStr">
        <is>
          <t>en-US</t>
        </is>
      </c>
      <c r="J1185" t="inlineStr">
        <is>
          <t>us_v2-direct_unspecified</t>
        </is>
      </c>
      <c r="K1185" t="b">
        <v>1</v>
      </c>
      <c r="L1185" t="inlineStr">
        <is>
          <t>relevant</t>
        </is>
      </c>
      <c r="M1185" t="inlineStr">
        <is>
          <t>relevant</t>
        </is>
      </c>
      <c r="N1185" t="inlineStr">
        <is>
          <t>relevant</t>
        </is>
      </c>
      <c r="O1185" t="inlineStr">
        <is>
          <t>relevant</t>
        </is>
      </c>
      <c r="P1185" t="b">
        <v>1</v>
      </c>
    </row>
    <row r="1186">
      <c r="A1186" t="inlineStr">
        <is>
          <t>sangle appareil photo</t>
        </is>
      </c>
      <c r="B1186" t="inlineStr">
        <is>
          <t>camera strap</t>
        </is>
      </c>
      <c r="C1186" t="n">
        <v>1452135990</v>
      </c>
      <c r="D1186">
        <f>HYPERLINK("https://www.etsy.com/listing/1452135990", "link")</f>
        <v/>
      </c>
      <c r="E1186">
        <f>HYPERLINK("https://atlas.etsycorp.com/listing/1452135990/lookup", "link")</f>
        <v/>
      </c>
      <c r="F1186" t="inlineStr">
        <is>
          <t>X Checkered Olive/Black Rope -Black Leather Camera Strap - Silver X</t>
        </is>
      </c>
      <c r="G1186" t="inlineStr">
        <is>
          <t>Eut0URB_TbtxTge80XNitJtJfAdf</t>
        </is>
      </c>
      <c r="H1186" t="inlineStr">
        <is>
          <t>boe</t>
        </is>
      </c>
      <c r="I1186" t="inlineStr">
        <is>
          <t>fr</t>
        </is>
      </c>
      <c r="J1186" t="inlineStr">
        <is>
          <t>intl-fr</t>
        </is>
      </c>
      <c r="K1186" t="b">
        <v>1</v>
      </c>
      <c r="L1186" t="inlineStr">
        <is>
          <t>relevant</t>
        </is>
      </c>
      <c r="M1186" t="inlineStr">
        <is>
          <t>relevant</t>
        </is>
      </c>
      <c r="N1186" t="inlineStr">
        <is>
          <t>relevant</t>
        </is>
      </c>
      <c r="O1186" t="inlineStr">
        <is>
          <t>relevant</t>
        </is>
      </c>
      <c r="P1186" t="b">
        <v>1</v>
      </c>
    </row>
    <row r="1187">
      <c r="A1187" t="inlineStr">
        <is>
          <t>gucci interchangeable bezel watch</t>
        </is>
      </c>
      <c r="B1187" t="inlineStr"/>
      <c r="C1187" t="n">
        <v>1411789038</v>
      </c>
      <c r="D1187">
        <f>HYPERLINK("https://www.etsy.com/listing/1411789038", "link")</f>
        <v/>
      </c>
      <c r="E1187">
        <f>HYPERLINK("https://atlas.etsycorp.com/listing/1411789038/lookup", "link")</f>
        <v/>
      </c>
      <c r="F1187" t="inlineStr">
        <is>
          <t>Old 1990’s Vintage Gucci Interchangeable Bezel Bangle Watch Stainless Steel Great Condition</t>
        </is>
      </c>
      <c r="G1187" t="inlineStr">
        <is>
          <t>EuE4YHVZyKizu2_sZHcW-F3wDnac</t>
        </is>
      </c>
      <c r="H1187" t="inlineStr">
        <is>
          <t>web</t>
        </is>
      </c>
      <c r="I1187" t="inlineStr">
        <is>
          <t>en-US</t>
        </is>
      </c>
      <c r="J1187" t="inlineStr">
        <is>
          <t>us_v2-direct_specified</t>
        </is>
      </c>
      <c r="K1187" t="b">
        <v>1</v>
      </c>
      <c r="L1187" t="inlineStr">
        <is>
          <t>relevant</t>
        </is>
      </c>
      <c r="M1187" t="inlineStr">
        <is>
          <t>relevant</t>
        </is>
      </c>
      <c r="N1187" t="inlineStr">
        <is>
          <t>relevant</t>
        </is>
      </c>
      <c r="O1187" t="inlineStr">
        <is>
          <t>relevant</t>
        </is>
      </c>
      <c r="P1187" t="b">
        <v>1</v>
      </c>
    </row>
    <row r="1188">
      <c r="A1188" t="inlineStr">
        <is>
          <t>couple gift</t>
        </is>
      </c>
      <c r="B1188" t="inlineStr"/>
      <c r="C1188" t="n">
        <v>925528364</v>
      </c>
      <c r="D1188">
        <f>HYPERLINK("https://www.etsy.com/listing/925528364", "link")</f>
        <v/>
      </c>
      <c r="E1188">
        <f>HYPERLINK("https://atlas.etsycorp.com/listing/925528364/lookup", "link")</f>
        <v/>
      </c>
      <c r="F1188" t="inlineStr">
        <is>
          <t>Personalised Engagement Bottle Box Personalised Co-ordinates Engagement Gift Present Personalised Engaged Champagne Wooden Box Couple Gifts</t>
        </is>
      </c>
      <c r="G1188" t="inlineStr">
        <is>
          <t>EuEp4VstImZ-MO8xJUEc0vLMlHdf</t>
        </is>
      </c>
      <c r="H1188" t="inlineStr">
        <is>
          <t>boe</t>
        </is>
      </c>
      <c r="I1188" t="inlineStr">
        <is>
          <t>en-US</t>
        </is>
      </c>
      <c r="J1188" t="inlineStr">
        <is>
          <t>us_v2-gift</t>
        </is>
      </c>
      <c r="K1188" t="b">
        <v>1</v>
      </c>
      <c r="L1188" t="inlineStr">
        <is>
          <t>relevant</t>
        </is>
      </c>
      <c r="M1188" t="inlineStr">
        <is>
          <t>relevant</t>
        </is>
      </c>
      <c r="N1188" t="inlineStr">
        <is>
          <t>relevant</t>
        </is>
      </c>
      <c r="O1188" t="inlineStr">
        <is>
          <t>relevant</t>
        </is>
      </c>
      <c r="P1188" t="b">
        <v>1</v>
      </c>
    </row>
    <row r="1189">
      <c r="A1189" t="inlineStr">
        <is>
          <t>coffre 40x30</t>
        </is>
      </c>
      <c r="B1189" t="inlineStr">
        <is>
          <t>trunk 40x30</t>
        </is>
      </c>
      <c r="C1189" t="n">
        <v>1673998803</v>
      </c>
      <c r="D1189">
        <f>HYPERLINK("https://www.etsy.com/listing/1673998803", "link")</f>
        <v/>
      </c>
      <c r="E1189">
        <f>HYPERLINK("https://atlas.etsycorp.com/listing/1673998803/lookup", "link")</f>
        <v/>
      </c>
      <c r="F1189" t="inlineStr">
        <is>
          <t>Old chest</t>
        </is>
      </c>
      <c r="G1189" t="inlineStr">
        <is>
          <t>Eub65xrzyZrI_gbEJLWUxCRAfO17</t>
        </is>
      </c>
      <c r="H1189" t="inlineStr">
        <is>
          <t>web</t>
        </is>
      </c>
      <c r="I1189" t="inlineStr">
        <is>
          <t>fr</t>
        </is>
      </c>
      <c r="J1189" t="inlineStr">
        <is>
          <t>intl-fr</t>
        </is>
      </c>
      <c r="K1189" t="b">
        <v>1</v>
      </c>
      <c r="L1189" t="inlineStr">
        <is>
          <t>partial</t>
        </is>
      </c>
      <c r="M1189" t="inlineStr">
        <is>
          <t>partial</t>
        </is>
      </c>
      <c r="N1189" t="inlineStr">
        <is>
          <t>partial</t>
        </is>
      </c>
      <c r="O1189" t="inlineStr">
        <is>
          <t>partial</t>
        </is>
      </c>
      <c r="P1189" t="b">
        <v>1</v>
      </c>
    </row>
    <row r="1190">
      <c r="A1190" t="inlineStr">
        <is>
          <t>phone cases Pokémon</t>
        </is>
      </c>
      <c r="B1190" t="inlineStr"/>
      <c r="C1190" t="n">
        <v>1647626959</v>
      </c>
      <c r="D1190">
        <f>HYPERLINK("https://www.etsy.com/listing/1647626959", "link")</f>
        <v/>
      </c>
      <c r="E1190">
        <f>HYPERLINK("https://atlas.etsycorp.com/listing/1647626959/lookup", "link")</f>
        <v/>
      </c>
      <c r="F1190" t="inlineStr">
        <is>
          <t>Anime Phone Case | Durable Phone Case</t>
        </is>
      </c>
      <c r="G1190" t="inlineStr">
        <is>
          <t>EuDcGhlW0SEOz5lBQhx9VSpRP-49</t>
        </is>
      </c>
      <c r="H1190" t="inlineStr">
        <is>
          <t>web</t>
        </is>
      </c>
      <c r="I1190" t="inlineStr">
        <is>
          <t>en-US</t>
        </is>
      </c>
      <c r="J1190" t="inlineStr">
        <is>
          <t>us_v2-direct_unspecified</t>
        </is>
      </c>
      <c r="K1190" t="b">
        <v>1</v>
      </c>
      <c r="L1190" t="inlineStr">
        <is>
          <t>relevant</t>
        </is>
      </c>
      <c r="M1190" t="inlineStr">
        <is>
          <t>relevant</t>
        </is>
      </c>
      <c r="N1190" t="inlineStr">
        <is>
          <t>relevant</t>
        </is>
      </c>
      <c r="O1190" t="inlineStr">
        <is>
          <t>relevant</t>
        </is>
      </c>
      <c r="P1190" t="b">
        <v>1</v>
      </c>
    </row>
    <row r="1191">
      <c r="A1191" t="inlineStr">
        <is>
          <t>demon slayer</t>
        </is>
      </c>
      <c r="B1191" t="inlineStr">
        <is>
          <t>demon slayer</t>
        </is>
      </c>
      <c r="C1191" t="n">
        <v>1446487962</v>
      </c>
      <c r="D1191">
        <f>HYPERLINK("https://www.etsy.com/listing/1446487962", "link")</f>
        <v/>
      </c>
      <c r="E1191">
        <f>HYPERLINK("https://atlas.etsycorp.com/listing/1446487962/lookup", "link")</f>
        <v/>
      </c>
      <c r="F1191" t="inlineStr">
        <is>
          <t>Anime Sticker - Kawaii Anime Car Sticker - Perfect for Laptops, Journals, Water Bottles And More - Great Gift for Otaku Anime Fans</t>
        </is>
      </c>
      <c r="G1191" t="inlineStr">
        <is>
          <t>Eu10EoKZw-ZpWnR4I0AjmlwtgW1f</t>
        </is>
      </c>
      <c r="H1191" t="inlineStr">
        <is>
          <t>boe</t>
        </is>
      </c>
      <c r="I1191" t="inlineStr">
        <is>
          <t>it</t>
        </is>
      </c>
      <c r="J1191" t="inlineStr">
        <is>
          <t>intl-it</t>
        </is>
      </c>
      <c r="K1191" t="b">
        <v>1</v>
      </c>
      <c r="L1191" t="inlineStr">
        <is>
          <t>not_relevant</t>
        </is>
      </c>
      <c r="M1191" t="inlineStr">
        <is>
          <t>not_relevant</t>
        </is>
      </c>
      <c r="N1191" t="inlineStr">
        <is>
          <t>not_relevant</t>
        </is>
      </c>
      <c r="O1191" t="inlineStr">
        <is>
          <t>partial</t>
        </is>
      </c>
      <c r="P1191" t="b">
        <v>1</v>
      </c>
    </row>
    <row r="1192">
      <c r="A1192" t="inlineStr">
        <is>
          <t>personalized school supplies</t>
        </is>
      </c>
      <c r="B1192" t="inlineStr">
        <is>
          <t>personalized school supplies</t>
        </is>
      </c>
      <c r="C1192" t="n">
        <v>1703749025</v>
      </c>
      <c r="D1192">
        <f>HYPERLINK("https://www.etsy.com/listing/1703749025", "link")</f>
        <v/>
      </c>
      <c r="E1192">
        <f>HYPERLINK("https://atlas.etsycorp.com/listing/1703749025/lookup", "link")</f>
        <v/>
      </c>
      <c r="F1192" t="inlineStr">
        <is>
          <t>Handmade Leather Pen Holder Clip for Books &amp; Notebooks, Personalized Notebook Pencil Clip Holder Journal, Journal Accessory, Writing Tools</t>
        </is>
      </c>
      <c r="G1192" t="inlineStr">
        <is>
          <t>Eu0lhp7J2hDJqbDALyJM8gp20u97</t>
        </is>
      </c>
      <c r="H1192" t="inlineStr">
        <is>
          <t>boe</t>
        </is>
      </c>
      <c r="I1192" t="inlineStr">
        <is>
          <t>es</t>
        </is>
      </c>
      <c r="J1192" t="inlineStr">
        <is>
          <t>intl-es</t>
        </is>
      </c>
      <c r="K1192" t="b">
        <v>1</v>
      </c>
      <c r="L1192" t="inlineStr">
        <is>
          <t>relevant</t>
        </is>
      </c>
      <c r="M1192" t="inlineStr">
        <is>
          <t>relevant</t>
        </is>
      </c>
      <c r="N1192" t="inlineStr">
        <is>
          <t>partial</t>
        </is>
      </c>
      <c r="O1192" t="inlineStr">
        <is>
          <t>relevant</t>
        </is>
      </c>
      <c r="P1192" t="b">
        <v>1</v>
      </c>
    </row>
    <row r="1193">
      <c r="A1193" t="inlineStr">
        <is>
          <t>mushroom oil</t>
        </is>
      </c>
      <c r="B1193" t="inlineStr"/>
      <c r="C1193" t="n">
        <v>1607450865</v>
      </c>
      <c r="D1193">
        <f>HYPERLINK("https://www.etsy.com/listing/1607450865", "link")</f>
        <v/>
      </c>
      <c r="E1193">
        <f>HYPERLINK("https://atlas.etsycorp.com/listing/1607450865/lookup", "link")</f>
        <v/>
      </c>
      <c r="F1193" t="inlineStr">
        <is>
          <t>MagiCube Pro Mushroom Automated Fruiting Chamber Dub Tub Grow Kit Monotub</t>
        </is>
      </c>
      <c r="G1193" t="inlineStr">
        <is>
          <t>EuIn4FqzvuymvjwRTHus16M0Iy59</t>
        </is>
      </c>
      <c r="H1193" t="inlineStr">
        <is>
          <t>web</t>
        </is>
      </c>
      <c r="I1193" t="inlineStr">
        <is>
          <t>en-US</t>
        </is>
      </c>
      <c r="J1193" t="inlineStr">
        <is>
          <t>us_v2-direct_unspecified</t>
        </is>
      </c>
      <c r="K1193" t="b">
        <v>1</v>
      </c>
      <c r="L1193" t="inlineStr">
        <is>
          <t>not_relevant</t>
        </is>
      </c>
      <c r="M1193" t="inlineStr">
        <is>
          <t>partial</t>
        </is>
      </c>
      <c r="N1193" t="inlineStr">
        <is>
          <t>not_relevant</t>
        </is>
      </c>
      <c r="O1193" t="inlineStr">
        <is>
          <t>not_relevant</t>
        </is>
      </c>
      <c r="P1193" t="b">
        <v>1</v>
      </c>
    </row>
    <row r="1194">
      <c r="A1194" t="inlineStr">
        <is>
          <t>basketball mousepad nome</t>
        </is>
      </c>
      <c r="B1194" t="inlineStr">
        <is>
          <t>basketball mousepad name</t>
        </is>
      </c>
      <c r="C1194" t="n">
        <v>1737222266</v>
      </c>
      <c r="D1194">
        <f>HYPERLINK("https://www.etsy.com/listing/1737222266", "link")</f>
        <v/>
      </c>
      <c r="E1194">
        <f>HYPERLINK("https://atlas.etsycorp.com/listing/1737222266/lookup", "link")</f>
        <v/>
      </c>
      <c r="F1194" t="inlineStr">
        <is>
          <t>Gymnastics / Gymnast / Sport theme gaming mouse pad</t>
        </is>
      </c>
      <c r="G1194" t="inlineStr">
        <is>
          <t>EuhfKewGnq5uIkuwiMz7jZJiIS22</t>
        </is>
      </c>
      <c r="H1194" t="inlineStr">
        <is>
          <t>web</t>
        </is>
      </c>
      <c r="I1194" t="inlineStr">
        <is>
          <t>it</t>
        </is>
      </c>
      <c r="J1194" t="inlineStr">
        <is>
          <t>intl-it</t>
        </is>
      </c>
      <c r="K1194" t="b">
        <v>1</v>
      </c>
      <c r="L1194" t="inlineStr">
        <is>
          <t>relevant</t>
        </is>
      </c>
      <c r="M1194" t="inlineStr">
        <is>
          <t>relevant</t>
        </is>
      </c>
      <c r="N1194" t="inlineStr">
        <is>
          <t>partial</t>
        </is>
      </c>
      <c r="O1194" t="inlineStr">
        <is>
          <t>relevant</t>
        </is>
      </c>
      <c r="P1194" t="b">
        <v>1</v>
      </c>
    </row>
    <row r="1195">
      <c r="A1195" t="inlineStr">
        <is>
          <t>sopandish</t>
        </is>
      </c>
      <c r="B1195" t="inlineStr"/>
      <c r="C1195" t="n">
        <v>1610527690</v>
      </c>
      <c r="D1195">
        <f>HYPERLINK("https://www.etsy.com/listing/1610527690", "link")</f>
        <v/>
      </c>
      <c r="E1195">
        <f>HYPERLINK("https://atlas.etsycorp.com/listing/1610527690/lookup", "link")</f>
        <v/>
      </c>
      <c r="F1195" t="inlineStr">
        <is>
          <t>Mazapan untable</t>
        </is>
      </c>
      <c r="G1195" t="inlineStr">
        <is>
          <t>EuanwucvSrFaYfpDgV0zPLuX7L81</t>
        </is>
      </c>
      <c r="H1195" t="inlineStr">
        <is>
          <t>boe</t>
        </is>
      </c>
      <c r="I1195" t="inlineStr">
        <is>
          <t>en-US</t>
        </is>
      </c>
      <c r="J1195" t="inlineStr">
        <is>
          <t>us_v2-broad</t>
        </is>
      </c>
      <c r="K1195" t="b">
        <v>1</v>
      </c>
      <c r="L1195" t="inlineStr">
        <is>
          <t>not_relevant</t>
        </is>
      </c>
      <c r="M1195" t="inlineStr">
        <is>
          <t>not_relevant</t>
        </is>
      </c>
      <c r="N1195" t="inlineStr">
        <is>
          <t>not_sure</t>
        </is>
      </c>
      <c r="O1195" t="inlineStr">
        <is>
          <t>not_relevant</t>
        </is>
      </c>
      <c r="P1195" t="b">
        <v>1</v>
      </c>
    </row>
    <row r="1196">
      <c r="A1196" t="inlineStr">
        <is>
          <t>free standing screen room plans</t>
        </is>
      </c>
      <c r="B1196" t="inlineStr"/>
      <c r="C1196" t="n">
        <v>1683206163</v>
      </c>
      <c r="D1196">
        <f>HYPERLINK("https://www.etsy.com/listing/1683206163", "link")</f>
        <v/>
      </c>
      <c r="E1196">
        <f>HYPERLINK("https://atlas.etsycorp.com/listing/1683206163/lookup", "link")</f>
        <v/>
      </c>
      <c r="F1196" t="inlineStr">
        <is>
          <t>Concrete plaster screen print Abstract room divider Old Art décor free standing Folding screen Kitchen decor floor partition Vintage Artwork</t>
        </is>
      </c>
      <c r="G1196" t="inlineStr">
        <is>
          <t>EuFKFqMEREgkzscoSpRnxzA_rYab</t>
        </is>
      </c>
      <c r="H1196" t="inlineStr">
        <is>
          <t>web</t>
        </is>
      </c>
      <c r="I1196" t="inlineStr">
        <is>
          <t>en-US</t>
        </is>
      </c>
      <c r="J1196" t="inlineStr">
        <is>
          <t>us_v2-direct_unspecified</t>
        </is>
      </c>
      <c r="K1196" t="b">
        <v>1</v>
      </c>
      <c r="L1196" t="inlineStr">
        <is>
          <t>not_relevant</t>
        </is>
      </c>
      <c r="M1196" t="inlineStr">
        <is>
          <t>partial</t>
        </is>
      </c>
      <c r="N1196" t="inlineStr">
        <is>
          <t>not_relevant</t>
        </is>
      </c>
      <c r="O1196" t="inlineStr">
        <is>
          <t>not_relevant</t>
        </is>
      </c>
      <c r="P1196" t="b">
        <v>1</v>
      </c>
    </row>
    <row r="1197">
      <c r="A1197" t="inlineStr">
        <is>
          <t>fake septum nose ring</t>
        </is>
      </c>
      <c r="B1197" t="inlineStr"/>
      <c r="C1197" t="n">
        <v>1425192991</v>
      </c>
      <c r="D1197">
        <f>HYPERLINK("https://www.etsy.com/listing/1425192991", "link")</f>
        <v/>
      </c>
      <c r="E1197">
        <f>HYPERLINK("https://atlas.etsycorp.com/listing/1425192991/lookup", "link")</f>
        <v/>
      </c>
      <c r="F1197" t="inlineStr">
        <is>
          <t>Fake septum ring, septum ring, fake septum piercing, silver  septum ring, fake body jewellery, gold septum festival, rose gold septum, faux</t>
        </is>
      </c>
      <c r="G1197" t="inlineStr">
        <is>
          <t>EuvlD8Q5EPX6i5qiyz60TiHQ0qe2</t>
        </is>
      </c>
      <c r="H1197" t="inlineStr">
        <is>
          <t>web</t>
        </is>
      </c>
      <c r="I1197" t="inlineStr">
        <is>
          <t>en-GB</t>
        </is>
      </c>
      <c r="J1197" t="inlineStr">
        <is>
          <t>us_v2-direct_specified</t>
        </is>
      </c>
      <c r="K1197" t="b">
        <v>1</v>
      </c>
      <c r="L1197" t="inlineStr">
        <is>
          <t>relevant</t>
        </is>
      </c>
      <c r="M1197" t="inlineStr">
        <is>
          <t>relevant</t>
        </is>
      </c>
      <c r="N1197" t="inlineStr">
        <is>
          <t>relevant</t>
        </is>
      </c>
      <c r="O1197" t="inlineStr">
        <is>
          <t>relevant</t>
        </is>
      </c>
      <c r="P1197" t="b">
        <v>1</v>
      </c>
    </row>
    <row r="1198">
      <c r="A1198" t="inlineStr">
        <is>
          <t>continuos light</t>
        </is>
      </c>
      <c r="B1198" t="inlineStr">
        <is>
          <t>continuous light</t>
        </is>
      </c>
      <c r="C1198" t="n">
        <v>1275007859</v>
      </c>
      <c r="D1198">
        <f>HYPERLINK("https://www.etsy.com/listing/1275007859", "link")</f>
        <v/>
      </c>
      <c r="E1198">
        <f>HYPERLINK("https://atlas.etsycorp.com/listing/1275007859/lookup", "link")</f>
        <v/>
      </c>
      <c r="F1198" t="inlineStr">
        <is>
          <t>Color Dance Blender - E (Blonde) - by QT Fabrics  - Sold By The Continuous Yard - In Stock And Ships Today</t>
        </is>
      </c>
      <c r="G1198" t="inlineStr">
        <is>
          <t>EucBiiE4X2gADwrRpy3vMocAgzdc</t>
        </is>
      </c>
      <c r="H1198" t="inlineStr">
        <is>
          <t>web</t>
        </is>
      </c>
      <c r="I1198" t="inlineStr">
        <is>
          <t>it</t>
        </is>
      </c>
      <c r="J1198" t="inlineStr">
        <is>
          <t>intl-it</t>
        </is>
      </c>
      <c r="K1198" t="b">
        <v>1</v>
      </c>
      <c r="L1198" t="inlineStr">
        <is>
          <t>not_relevant</t>
        </is>
      </c>
      <c r="M1198" t="inlineStr">
        <is>
          <t>not_relevant</t>
        </is>
      </c>
      <c r="N1198" t="inlineStr">
        <is>
          <t>not_relevant</t>
        </is>
      </c>
      <c r="O1198" t="inlineStr">
        <is>
          <t>not_relevant</t>
        </is>
      </c>
      <c r="P1198" t="b">
        <v>1</v>
      </c>
    </row>
    <row r="1199">
      <c r="A1199" t="inlineStr">
        <is>
          <t>freestyle libre 2</t>
        </is>
      </c>
      <c r="B1199" t="inlineStr">
        <is>
          <t>freestyle free 2</t>
        </is>
      </c>
      <c r="C1199" t="n">
        <v>1475476426</v>
      </c>
      <c r="D1199">
        <f>HYPERLINK("https://www.etsy.com/listing/1475476426", "link")</f>
        <v/>
      </c>
      <c r="E1199">
        <f>HYPERLINK("https://atlas.etsycorp.com/listing/1475476426/lookup", "link")</f>
        <v/>
      </c>
      <c r="F1199" t="inlineStr">
        <is>
          <t>Freestyle Libre 3 Fixation Strap - Holder: Ring Black (strap color selectable)</t>
        </is>
      </c>
      <c r="G1199" t="inlineStr">
        <is>
          <t>EuEEN93tuc989lqywqiMEbewFs23</t>
        </is>
      </c>
      <c r="H1199" t="inlineStr">
        <is>
          <t>web</t>
        </is>
      </c>
      <c r="I1199" t="inlineStr">
        <is>
          <t>it</t>
        </is>
      </c>
      <c r="J1199" t="inlineStr">
        <is>
          <t>intl-it</t>
        </is>
      </c>
      <c r="K1199" t="b">
        <v>1</v>
      </c>
      <c r="L1199" t="inlineStr">
        <is>
          <t>not_relevant</t>
        </is>
      </c>
      <c r="M1199" t="inlineStr">
        <is>
          <t>not_relevant</t>
        </is>
      </c>
      <c r="N1199" t="inlineStr">
        <is>
          <t>not_relevant</t>
        </is>
      </c>
      <c r="O1199" t="inlineStr">
        <is>
          <t>partial</t>
        </is>
      </c>
      <c r="P1199" t="b">
        <v>1</v>
      </c>
    </row>
    <row r="1200">
      <c r="A1200" t="inlineStr">
        <is>
          <t>valentines for her penguins</t>
        </is>
      </c>
      <c r="B1200" t="inlineStr"/>
      <c r="C1200" t="n">
        <v>1404133545</v>
      </c>
      <c r="D1200">
        <f>HYPERLINK("https://www.etsy.com/listing/1404133545", "link")</f>
        <v/>
      </c>
      <c r="E1200">
        <f>HYPERLINK("https://atlas.etsycorp.com/listing/1404133545/lookup", "link")</f>
        <v/>
      </c>
      <c r="F1200" t="inlineStr">
        <is>
          <t>Penguin Valentine Set / Printable Valentines / Kids Printable Valentines / Valentine Penguins / Valentine Cards / Valentine Coloring</t>
        </is>
      </c>
      <c r="G1200" t="inlineStr">
        <is>
          <t>EuC312VKMt5w5mJFmFn0EA16K-c5</t>
        </is>
      </c>
      <c r="H1200" t="inlineStr">
        <is>
          <t>web</t>
        </is>
      </c>
      <c r="I1200" t="inlineStr">
        <is>
          <t>en-US</t>
        </is>
      </c>
      <c r="J1200" t="inlineStr">
        <is>
          <t>us_v2-gift</t>
        </is>
      </c>
      <c r="K1200" t="b">
        <v>1</v>
      </c>
      <c r="L1200" t="inlineStr">
        <is>
          <t>relevant</t>
        </is>
      </c>
      <c r="M1200" t="inlineStr">
        <is>
          <t>partial</t>
        </is>
      </c>
      <c r="N1200" t="inlineStr">
        <is>
          <t>relevant</t>
        </is>
      </c>
      <c r="O1200" t="inlineStr">
        <is>
          <t>relevant</t>
        </is>
      </c>
      <c r="P1200" t="b">
        <v>1</v>
      </c>
    </row>
    <row r="1201">
      <c r="A1201" t="inlineStr">
        <is>
          <t>city map print</t>
        </is>
      </c>
      <c r="B1201" t="inlineStr"/>
      <c r="C1201" t="n">
        <v>1034479808</v>
      </c>
      <c r="D1201">
        <f>HYPERLINK("https://www.etsy.com/listing/1034479808", "link")</f>
        <v/>
      </c>
      <c r="E1201">
        <f>HYPERLINK("https://atlas.etsycorp.com/listing/1034479808/lookup", "link")</f>
        <v/>
      </c>
      <c r="F1201" t="inlineStr">
        <is>
          <t>Printable Custom Map, City Map Print, City Map Digital Print, Custom Map Gift, Digital City Map, Map Art Cities, City Art Print, Wall Art</t>
        </is>
      </c>
      <c r="G1201" t="inlineStr">
        <is>
          <t>EuLFpPtZE0657ev6MazfQiMv9a16</t>
        </is>
      </c>
      <c r="H1201" t="inlineStr">
        <is>
          <t>boe</t>
        </is>
      </c>
      <c r="I1201" t="inlineStr">
        <is>
          <t>en-US</t>
        </is>
      </c>
      <c r="J1201" t="inlineStr">
        <is>
          <t>us_v2-direct_unspecified</t>
        </is>
      </c>
      <c r="K1201" t="b">
        <v>1</v>
      </c>
      <c r="L1201" t="inlineStr">
        <is>
          <t>relevant</t>
        </is>
      </c>
      <c r="M1201" t="inlineStr">
        <is>
          <t>relevant</t>
        </is>
      </c>
      <c r="N1201" t="inlineStr">
        <is>
          <t>relevant</t>
        </is>
      </c>
      <c r="O1201" t="inlineStr">
        <is>
          <t>relevant</t>
        </is>
      </c>
      <c r="P1201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2025-01-28T18:03:02Z</dcterms:created>
  <dcterms:modified xmlns:dcterms="http://purl.org/dc/terms/" xmlns:xsi="http://www.w3.org/2001/XMLSchema-instance" xsi:type="dcterms:W3CDTF">2025-01-28T18:03:03Z</dcterms:modified>
</cp:coreProperties>
</file>