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<sst xmlns="http://schemas.openxmlformats.org/spreadsheetml/2006/main" count="7004" uniqueCount="2232">
  <si>
    <t>combined</t>
  </si>
  <si>
    <t>etsy_label</t>
  </si>
  <si>
    <t>notes</t>
  </si>
  <si>
    <t>query</t>
  </si>
  <si>
    <t>queryEn</t>
  </si>
  <si>
    <t>listingId</t>
  </si>
  <si>
    <t>etsy_url</t>
  </si>
  <si>
    <t>atlas_url</t>
  </si>
  <si>
    <t>titleEn_vertica</t>
  </si>
  <si>
    <t>etsyUUID</t>
  </si>
  <si>
    <t>userLanguage</t>
  </si>
  <si>
    <t>anno_data_source</t>
  </si>
  <si>
    <t>etsy_labeler_1</t>
  </si>
  <si>
    <t>etsy_labeler_2</t>
  </si>
  <si>
    <t>etsy_labeler_3</t>
  </si>
  <si>
    <t>relevant</t>
  </si>
  <si>
    <t>nautical baby shower favors</t>
  </si>
  <si>
    <t>Nautical Party Water Bottle Labels, Sailboat Water Bottle Label, Ahoy It&amp;#39;s a Boy Baby Shower Decor, Water Bottle Labels Editable Template#R9</t>
  </si>
  <si>
    <t>EuKO769OGxX4nMXGMf-MqwREhd7a</t>
  </si>
  <si>
    <t>en-US</t>
  </si>
  <si>
    <t>us_v2-broad</t>
  </si>
  <si>
    <t>Willy Huang</t>
  </si>
  <si>
    <t>Congzhe Su</t>
  </si>
  <si>
    <t>Argie Angeleas</t>
  </si>
  <si>
    <t>partially relevant</t>
  </si>
  <si>
    <t>this is not a lighter but it is related to vivienne westwood</t>
  </si>
  <si>
    <t>vivienne westwood lighter</t>
  </si>
  <si>
    <t>Viviennme Westwood Orb heart bag designer vegan leather nana anime official</t>
  </si>
  <si>
    <t>Eu9Av1tSXJxDI75y9jKwz5_3Np7d</t>
  </si>
  <si>
    <t>es</t>
  </si>
  <si>
    <t>intl-es</t>
  </si>
  <si>
    <t>unclear what the buyer means by "warrior" but this is a valid interpretation</t>
  </si>
  <si>
    <t>warrior</t>
  </si>
  <si>
    <t>Retro VHS Lamp, The Warriors Retro,Top Quality!Amazing Gift  For Any Movie Fan,Man Cave Ideas or Pick your own Movie</t>
  </si>
  <si>
    <t>EufZpYygPek54nBx590oiKchn157</t>
  </si>
  <si>
    <t>nl</t>
  </si>
  <si>
    <t>intl-nl</t>
  </si>
  <si>
    <t>this is a drum lamp shade</t>
  </si>
  <si>
    <t>drum lamp shade</t>
  </si>
  <si>
    <t>Vintage Light Ivory Drum Shade with Spider Shade</t>
  </si>
  <si>
    <t>EukA5ureqBynx5-BC_fjpykexS39</t>
  </si>
  <si>
    <t>us_v2-direct_unspecified</t>
  </si>
  <si>
    <t>this is a ring and in one of the pictures it says "her beast"</t>
  </si>
  <si>
    <t>beast ring</t>
  </si>
  <si>
    <t>His &amp; Hers Personalized Silicone Wedding Ring Set Custom Engraving All Sizes Available Any Text, Image or Symbol - Aera Rings Made in USA</t>
  </si>
  <si>
    <t>Eu1rPkeiSdNa3d2bhPBW3T4FoC92</t>
  </si>
  <si>
    <t>de</t>
  </si>
  <si>
    <t>intl-de</t>
  </si>
  <si>
    <t>irrelevant</t>
  </si>
  <si>
    <t>this is not a jewelry frame for children. international query</t>
  </si>
  <si>
    <t>cadre bijoux enfant</t>
  </si>
  <si>
    <t>child jewelry frame</t>
  </si>
  <si>
    <t>Cross comb, heddle 8 dpi, 5.5 cm / 15 threads</t>
  </si>
  <si>
    <t>EuYle9LxJ0ElWF6E4iXNELhNFv76</t>
  </si>
  <si>
    <t>fr</t>
  </si>
  <si>
    <t>intl-fr</t>
  </si>
  <si>
    <t>this is a hanfu but it is not available in yellow</t>
  </si>
  <si>
    <t>hanfu yellow</t>
  </si>
  <si>
    <t>Chinese Hanfu Modified Jacket Padded Linen Quilted Coat Kimono coat Chinese Traditional Jacket Kimono Linen Padded Coat Unisex Overcoat</t>
  </si>
  <si>
    <t>EucWZ3zX9_qVPqOIz3RfMWGJZG70</t>
  </si>
  <si>
    <t>this is a floating bedside table but it is not black</t>
  </si>
  <si>
    <t>schwebender nachttisch schwarz schmal</t>
  </si>
  <si>
    <t>floating bedside table black narrow</t>
  </si>
  <si>
    <t>Minimalist Floating Nightstand with Drawer</t>
  </si>
  <si>
    <t>EuSPLKUgbRlaJzUT7syfdbVII7a0</t>
  </si>
  <si>
    <t>n/a</t>
  </si>
  <si>
    <t>navigation query</t>
  </si>
  <si>
    <t>Etsy customer service contact</t>
  </si>
  <si>
    <t>Increase Customers Spell, same day option, spells, spell casting,  energy work,  witch,  spell, white magic, folk, light magic</t>
  </si>
  <si>
    <t>EuHj0asjJ_3qv2TuUgp7XQFPSef2</t>
  </si>
  <si>
    <t>Custom baby blanket</t>
  </si>
  <si>
    <t>Personalized Baby Gift, Rattle Animal Lovey, Cuddle Security Blanket  Baby Shower Gift</t>
  </si>
  <si>
    <t>EuETIw3AZXjrwvAZe6ozrkevyz3f</t>
  </si>
  <si>
    <t>us_v2-direct_specified</t>
  </si>
  <si>
    <t>welding caps aztec</t>
  </si>
  <si>
    <t>Written in blood- Reversible - Add Embroidery to Your Cap! See description for the link.</t>
  </si>
  <si>
    <t>EuB1lcK7Wv_ooC_QCtNIWW5Rk_b4</t>
  </si>
  <si>
    <t>oraclr middle ages</t>
  </si>
  <si>
    <t>Octagonal Oak Runes Futhark: Ancient Nordic Wisdom Carved into Timeless Symbols - Your Guide Through Life&amp;#39;s Mysteries</t>
  </si>
  <si>
    <t>EuKsxJe_zqkaL4FuS2fQcQ4zXI08</t>
  </si>
  <si>
    <t>it</t>
  </si>
  <si>
    <t>intl-it</t>
  </si>
  <si>
    <t>sexmovies</t>
  </si>
  <si>
    <t>2 signed solo instax photos</t>
  </si>
  <si>
    <t>Euh_hSM8w7kXBumqYBsgT_lIPMb6</t>
  </si>
  <si>
    <t>adventskalender</t>
  </si>
  <si>
    <t>advent calendar</t>
  </si>
  <si>
    <t>DIY Advent calendar to fill yourself, Advent calendar houses, Advent calendar illustrated, Advent calendar crafting, Calendar craft sheet</t>
  </si>
  <si>
    <t>EuydQmcrL8hemaKMCJAklffesK81</t>
  </si>
  <si>
    <t>Find shirts</t>
  </si>
  <si>
    <t>Funny Bass Fishing Sublimation Design, Fishing Shirt Design, Humorous Fishing Quote png, Fish Around Find Out png</t>
  </si>
  <si>
    <t>EukoxHr-1ueOBqOMApVQe_pQGr38</t>
  </si>
  <si>
    <t>bracelet personnalisé femme</t>
  </si>
  <si>
    <t>personalized bracelet for women</t>
  </si>
  <si>
    <t>Personalized Bangle Bracelet First Name Mother-of-Pearl Heart Star, Gift Idea Godmother Jewel Bracelet Mom Birth Grandma Bridesmaid</t>
  </si>
  <si>
    <t>EuCbt8rvfhJ07YGo8eoa_dgBD96f</t>
  </si>
  <si>
    <t>ice dragon from witcher</t>
  </si>
  <si>
    <t>witcher&amp;#39;s fan gift</t>
  </si>
  <si>
    <t>Ice Dragon Sticker, Cool Dragon Decal for Dragon Fans, Perfect for Laptop, Notebooks and Smartphones, Waterproof and Durable Vinyl</t>
  </si>
  <si>
    <t>EuQihQcn91nsBOnr95cwktixyW81</t>
  </si>
  <si>
    <t>us_v2-gift</t>
  </si>
  <si>
    <t>this is not wall art</t>
  </si>
  <si>
    <t>graffiti wall art</t>
  </si>
  <si>
    <t>Street Art Dumpster, Banksy Edition, 3D Printed Dumpster Prop, Functional Art, Stash Box for Fans of Street Art, Pencil or Marker Holder</t>
  </si>
  <si>
    <t>EukQreNnvNuASDEO6gUnOKDq-H95</t>
  </si>
  <si>
    <t>this is a wallet but it is not used for badges</t>
  </si>
  <si>
    <t>badge wallet</t>
  </si>
  <si>
    <t>DIY Coin Purse PDF Sewing Pattern</t>
  </si>
  <si>
    <t>EuNzne6OUocpDXUqgmkU6cGbAr15</t>
  </si>
  <si>
    <t>not sure if this is 3d printed but it matches the query</t>
  </si>
  <si>
    <t>car emblem 3d printing</t>
  </si>
  <si>
    <t>RAM Tailgate RAM Head Emblem Overlay Decals BLUE Flames Fits 2009-2024 Trucks</t>
  </si>
  <si>
    <t>EuybEErpRPb2kdBAlEw37N6W0H7f</t>
  </si>
  <si>
    <t>relevant to ep-133 but it's a sticker not a case</t>
  </si>
  <si>
    <t>ep-133 case</t>
  </si>
  <si>
    <t>EP-133 KO II Vinyl Sticker Skin / Precut Holes / #55</t>
  </si>
  <si>
    <t>Eu39iqb_1VXr_IOuUsS40C9noe2b</t>
  </si>
  <si>
    <t>personalized gift</t>
  </si>
  <si>
    <t>Custom line drawing, custom minimalist drawing, couple drawing from photo in my style</t>
  </si>
  <si>
    <t>EuoWHkYIstp9SkhBq7vPQpJw9639</t>
  </si>
  <si>
    <t>en-GB</t>
  </si>
  <si>
    <t>this is from wings of fire but this is not hivewing</t>
  </si>
  <si>
    <t>wings of fire  hivewing plush</t>
  </si>
  <si>
    <t>Tamarin the Rainwing</t>
  </si>
  <si>
    <t>EudHDKudZxJ7LPbFWC3HleACx16d</t>
  </si>
  <si>
    <t>this is a bracelet for a watch but it's not for women nor is it 1cm</t>
  </si>
  <si>
    <t>bracelet pour montre femme 1cm</t>
  </si>
  <si>
    <t>bracelet for women's watch 1cm</t>
  </si>
  <si>
    <t>Pink girl&amp;#39;s scarf watch Fabric watch Fabric bracelet watch Ribbon watch Women&amp;#39;s fabric watch Liberty mitsi valéria pink handmade gift</t>
  </si>
  <si>
    <t>EuGQjDTmaJq6BAoPuKJnGxrEHVdb</t>
  </si>
  <si>
    <t>this is for a boy</t>
  </si>
  <si>
    <t>football gifts for girls</t>
  </si>
  <si>
    <t>Just a Boy Who Loves Football&amp;quot; Kids&amp;#39; Personalised T-Shirt</t>
  </si>
  <si>
    <t>EuzWzZp17RfZEp2I86zJR8c48Y45</t>
  </si>
  <si>
    <t>i think alligator skin is close enough</t>
  </si>
  <si>
    <t>piel de cocodrilo</t>
  </si>
  <si>
    <t>crocodile skin</t>
  </si>
  <si>
    <t>Double Sides Black Alligator Leather Wallet/ Personalized Wallet For Men/ Anniversary Gift For Him/Mens Wallet/ Custom Wallet/Gift For Dad</t>
  </si>
  <si>
    <t>EuuzJODFax-m9gCSTIyQ6CpQtT55</t>
  </si>
  <si>
    <t>this is a changing mat</t>
  </si>
  <si>
    <t>wickelauflage</t>
  </si>
  <si>
    <t>changing mat</t>
  </si>
  <si>
    <t>Changing mat white dots, white terry cloth</t>
  </si>
  <si>
    <t>EuR3NErghPyCZFZOO74M_uHdfq2e</t>
  </si>
  <si>
    <t>this is a to-go changing pad that is machine washable, implying it is water repellent</t>
  </si>
  <si>
    <t>wickelunterlage to go wasserabweisend</t>
  </si>
  <si>
    <t>changing mat to go water repellent</t>
  </si>
  <si>
    <t>Changing bag to go, changing pad to go</t>
  </si>
  <si>
    <t>EuSNlpMdVgWENNjQYXMco7ts5V3d</t>
  </si>
  <si>
    <t>thigh high socks</t>
  </si>
  <si>
    <t>Tie dye Thigh high socks</t>
  </si>
  <si>
    <t>EuLaIXtvIc0fb1AlIpPJGSjtvy77</t>
  </si>
  <si>
    <t>this is for dolls but not a wig</t>
  </si>
  <si>
    <t>smart doll wig</t>
  </si>
  <si>
    <t>PDF Copy Book Patterns for Fashion Dolls</t>
  </si>
  <si>
    <t>Eu52YF_XJHgRzJCZCypPlch6tj49</t>
  </si>
  <si>
    <t>statue grecque</t>
  </si>
  <si>
    <t>greek statue</t>
  </si>
  <si>
    <t>HANDPAINTED Hebe - RESIN REPLICA</t>
  </si>
  <si>
    <t>Eu49Yx_V9DAJ8OuxW4sPMDmo9892</t>
  </si>
  <si>
    <t>this is a towel not a bag</t>
  </si>
  <si>
    <t>taschen damen</t>
  </si>
  <si>
    <t>bags ladies</t>
  </si>
  <si>
    <t>Purple Golf Cart Golf Towel Personalized Golf Towel Golf Towel Ladies League Gift Womans Golf Towel Girls Golf Towel Golft Gift Mothers Day</t>
  </si>
  <si>
    <t>Eu9i3c6kBsBF0TKzTq_gpqPk6Z9e</t>
  </si>
  <si>
    <t>this is neither an aphid nor crochet</t>
  </si>
  <si>
    <t>aphid crochet</t>
  </si>
  <si>
    <t>Koi Pond  ORIGINAL PAINTING</t>
  </si>
  <si>
    <t>EuKsEUuSfuhCHhggzRCY4G_iR648</t>
  </si>
  <si>
    <t>this is a vintage compact mirror - asiatique seems to imply that it is from the thai mall called asiatique. this could be sold there.</t>
  </si>
  <si>
    <t>vintage portable compact mirror asiatique</t>
  </si>
  <si>
    <t>Vintage Japanese powder compact, vintage chokin art peacocks compact mirror, collectable Japanese chokin compact mirror</t>
  </si>
  <si>
    <t>EubNtsjAxYzIuuxmQbECBkWe5sef</t>
  </si>
  <si>
    <t>this is not dexter's laboratory</t>
  </si>
  <si>
    <t>dexters laboratory dvd</t>
  </si>
  <si>
    <t>Green Hornet (1966-1967) Complete TV DVD Series</t>
  </si>
  <si>
    <t>Eufg0SyvrrxlUDUC3xA-V7cVk6cd</t>
  </si>
  <si>
    <t>cushion cover fabric</t>
  </si>
  <si>
    <t>Pretty Vintage Barkcloth</t>
  </si>
  <si>
    <t>EuxM9wZYJ4qIgw4JZ8FhXjKRyIfd</t>
  </si>
  <si>
    <t>groomsmen labels</t>
  </si>
  <si>
    <t>Groomsman Proposal Whiskey Label Template, Groomsmen Gift, Best Man Gift, Wedding Day, Best Man Proposal, Liquor, Instant Download</t>
  </si>
  <si>
    <t>EuyVU3bdI-94G4u4N8DZCe8iX98f</t>
  </si>
  <si>
    <t>not sure if this is vintage</t>
  </si>
  <si>
    <t>vintage shapewear</t>
  </si>
  <si>
    <t>Full suit body shaper</t>
  </si>
  <si>
    <t>EuDJNK8_5S0SHfv1dx278zaZBw9e</t>
  </si>
  <si>
    <t>stainless steel ring</t>
  </si>
  <si>
    <t>Customized Signature Ring | Personalized Engraved Signet Ring for Men or Women | Custom Made Silver Ring | Birthday Gift | Gift for BFF</t>
  </si>
  <si>
    <t>Euwn5wmSfp7SkbRTXdKmtdq8QWd5</t>
  </si>
  <si>
    <t>continuos light</t>
  </si>
  <si>
    <t>continuous light</t>
  </si>
  <si>
    <t>Grass Green Zipper Tape with Light Gold Coil Teeth - #5 Zip, Size 5 Zipper by the metre, UK Shop</t>
  </si>
  <si>
    <t>EucBiiE4X2gADwrRpy3vMocAgzdc</t>
  </si>
  <si>
    <t>make up bag</t>
  </si>
  <si>
    <t>Verity Zipper Pouch PDF Sewing Pattern / Sewing Tutorial / Toiletry Bag / Cosmetic Bag / 3 Sizes / DIY / Instant Download / Project Pouch</t>
  </si>
  <si>
    <t>EuQ7_6cRfsSoES7gV6QxpspeTUab</t>
  </si>
  <si>
    <t>watercolour safari decal</t>
  </si>
  <si>
    <t>Safari animals and monkey large wall decals, jungle animal wall stickers for nurseries, adjustable jungle wall decals, repositionable decal</t>
  </si>
  <si>
    <t>EuFmaNhL7D6oSoUSGNZVVJeXB6a6</t>
  </si>
  <si>
    <t>this is not a table decoration</t>
  </si>
  <si>
    <t>sarape decoración de mesa</t>
  </si>
  <si>
    <t>serape table decoration</t>
  </si>
  <si>
    <t>Three Esta Birthday Hat, Mini Sombrero, Cinco De Mayo Party Decor, Fiesta Celebration, Taco Bout Two Birthday, Baby&amp;#39;s First Fiesta</t>
  </si>
  <si>
    <t>Eum83TxiE3OJrSv-jKhN1Tt-lL0c</t>
  </si>
  <si>
    <t>this is a man u player but not the right one</t>
  </si>
  <si>
    <t>bruno fernandes</t>
  </si>
  <si>
    <t>Casemiro Man U Autograph Player Photo Signed A4 Printed Memorabilia Reproduction Print Picture Display Man Utd No145</t>
  </si>
  <si>
    <t>Euw10TjfdRVPFH9NNeG3-_j6Kuae</t>
  </si>
  <si>
    <t>not sure what a boar school is but this seems relevant</t>
  </si>
  <si>
    <t>boar school</t>
  </si>
  <si>
    <t>10 Wild boar in Seasons Clipart, Poster, Printable Watercolor clipart, High Quality JPGs, Digital download, Paper crafts, junk journals</t>
  </si>
  <si>
    <t>EuluJOXgNOx23CJeI5KIxr9iIi72</t>
  </si>
  <si>
    <t>pl</t>
  </si>
  <si>
    <t>intl-pl</t>
  </si>
  <si>
    <t>this is not a lighter nor vivienne westwood</t>
  </si>
  <si>
    <t>NANA Figure , Nana and Hachi Figure , Nana Komatsu and Nana Osaki</t>
  </si>
  <si>
    <t>this is not a bean bag</t>
  </si>
  <si>
    <t>bean bag</t>
  </si>
  <si>
    <t>vintage handmade patchwork quilt</t>
  </si>
  <si>
    <t>EuJ3Ugi71BiOO5NT-4eknWz8Uz54</t>
  </si>
  <si>
    <t>vitage fischer</t>
  </si>
  <si>
    <t>Activity Center Fischer Price, vintage</t>
  </si>
  <si>
    <t>EuiZIMfcG1WdgY45iGZikrMmrAa7</t>
  </si>
  <si>
    <t>i think buyer is looking for handles to hang things</t>
  </si>
  <si>
    <t>pendurar puxador</t>
  </si>
  <si>
    <t>hang handle</t>
  </si>
  <si>
    <t>Coffee mug with turtle figurine on handle.</t>
  </si>
  <si>
    <t>EuErvFNHbrqIRnJ0kuJMDvPWhH72</t>
  </si>
  <si>
    <t>pt</t>
  </si>
  <si>
    <t>intl-pt</t>
  </si>
  <si>
    <t>nothing to do with sausalito</t>
  </si>
  <si>
    <t>sausalito</t>
  </si>
  <si>
    <t>It’s Not Gravy, it’s Sauce - Embroidered kitchen towel - Sauce Gravy Debate For Sunday Dinner | Italian Flag | Chef Funny Nonna Kitchen Gift</t>
  </si>
  <si>
    <t>EuU9nYauEFJIFLuPqN_23yUubz32</t>
  </si>
  <si>
    <t>not rosalina from super mario</t>
  </si>
  <si>
    <t>Rosalina hot</t>
  </si>
  <si>
    <t>Colorful Chain Chomps (Limited stock) [3D-Printed, Hand Painted, Collectible Figurine, Super Mario, Nintendo, Sculpture]</t>
  </si>
  <si>
    <t>EuRk-iADqUiYNJZ3FRqxjPKLuy64</t>
  </si>
  <si>
    <t>autocollant mural personnalisé</t>
  </si>
  <si>
    <t>personalized wall sticker</t>
  </si>
  <si>
    <t>Custom Name Wall Decal Nursery,  Peony Flower Wall Decal Baby Girl Bedroom, Pink White Watercolor Peonies Sticker Toddler Girl Room</t>
  </si>
  <si>
    <t>Eubc0--wBBrgojf8w1RSE7jlQ679</t>
  </si>
  <si>
    <t>these look like characters from fnaf and it's a diy kit for crochet</t>
  </si>
  <si>
    <t>fnaf diy kit</t>
  </si>
  <si>
    <t>DIGITAL PDF 2in1 Top Hat Teddy Crochet Pattern - Teddy Bear, Amigurumi Tutorial, Crochet Animals</t>
  </si>
  <si>
    <t>EuQUGWV8_B754PJHTvTIsBUvm6a4</t>
  </si>
  <si>
    <t>Find Someone Who Grows Flowers In The Darkest Parts Of You Tee Unisex Gift Crewneck Sweatshirt</t>
  </si>
  <si>
    <t>EuOanlJAEiDgAOVkOIRVHI9m7r77</t>
  </si>
  <si>
    <t>anniversary gifts for women</t>
  </si>
  <si>
    <t>Tiger eye brass Ring, Handmade Ring, Women Ring, Vintage Ring, Unique Ring, Boho Ring, Anniversary Ring, Gift Ring, Deco Ring, Gift For Her</t>
  </si>
  <si>
    <t>EueMU1ppuQpAY2hp5qEPMdMhkFbd</t>
  </si>
  <si>
    <t>this is a tea tumbler but not actually rose tea</t>
  </si>
  <si>
    <t>rose tea</t>
  </si>
  <si>
    <t>Double-Layer Glass Tea Tumbler (Black), Borosilicate Glass, with  Stainless Steel Tea Compartment, and small infuser chamber.</t>
  </si>
  <si>
    <t>Eu1FFx8qLDVRZ8_HcNqUM_SBW02b</t>
  </si>
  <si>
    <t>taylor swift crewneck</t>
  </si>
  <si>
    <t>Taylor Swift Crewneck | Folklore Merch | Holiday House Sweatshirt | The Last Great American Dynasty</t>
  </si>
  <si>
    <t>EuRtJijnFRvvncCxWw5LBQbT0T25</t>
  </si>
  <si>
    <t>theme is related</t>
  </si>
  <si>
    <t>solidarity forever</t>
  </si>
  <si>
    <t>The Women&amp;#39;s Liberation Movement/Double Exploitation/Feminist Equality/70s 80s Riot Propaganda Protest Poster, 5 sizes available!</t>
  </si>
  <si>
    <t>EulIgYDL3oO-hGS50_YaNaQ9tb6a</t>
  </si>
  <si>
    <t>relevant to yugioh</t>
  </si>
  <si>
    <t>mtg yu gi oh</t>
  </si>
  <si>
    <t>YGO Playmat Red-Eyes Black Dragon with Free Carry Bag | Premium Fabric Custom Duel TCG Mat | Ultra HD Print with Anti-Slip Surface |</t>
  </si>
  <si>
    <t>EuiqnSTTEPB9xDQUKj6tcI_XZj9d</t>
  </si>
  <si>
    <t>small hoop earrings</t>
  </si>
  <si>
    <t>Faceted Silver hoop earrings- 1 1/2 inches hoop earring- Hammered Silver hoop earrings- 40 mm Silver hoop earring- High polished Silver hoop</t>
  </si>
  <si>
    <t>Eu0mamn6sWQcBgG6Oj_jVf-Xx823</t>
  </si>
  <si>
    <t>pearl but not a star</t>
  </si>
  <si>
    <t>pearl star necklace</t>
  </si>
  <si>
    <t>Single Pearl Necklace, Boho Pearl Necklace, Gold Fill, Silver, Rose Gold Fill Chain, Pearl Choker, Simple Keshi Pearl Necklace</t>
  </si>
  <si>
    <t>Eu8oQeD0fDsYyDp0F6u6GCoYrj86</t>
  </si>
  <si>
    <t>monedas de fantasia</t>
  </si>
  <si>
    <t>fantasy coins</t>
  </si>
  <si>
    <t>Frank Frazetta’s Masterpiece Death Dealer Hand Cut 2 Ounce Copper Medallion Pendant - Heavy Metal Fantasy Art Keepsake</t>
  </si>
  <si>
    <t>EuYMO9aILfGgDleJPStQ3pab3x1b</t>
  </si>
  <si>
    <t>simone biles shirt</t>
  </si>
  <si>
    <t>Digital Birthday invitation, invites simon the rabbit invitation, rabbit digital invite</t>
  </si>
  <si>
    <t>EuHooHWTRSJab0-E7iqHuORPCXa9</t>
  </si>
  <si>
    <t>vivienne westwood</t>
  </si>
  <si>
    <t>Vintage Vivienne Westwood Red Label Choice Zipper Jacket Size 2 (S) Grey Colour</t>
  </si>
  <si>
    <t>EuwYHq-emCk0wJREUGyFy6hQiy14</t>
  </si>
  <si>
    <t>Shoulder bag handbag cat crossover embroidered HANDMADE women faux leather fabric animal motif bag grey</t>
  </si>
  <si>
    <t>EurF1_siCrlP_wCxNlc030ULIqb2</t>
  </si>
  <si>
    <t>&amp;quot;sigrid nunez&amp;quot;</t>
  </si>
  <si>
    <t>Custom Sisters Print - Sisters Christmas Gifts - Sister Personalized Gift - Sister Birthday Gift - Sister Gift Ideas - Sisters Wall Art</t>
  </si>
  <si>
    <t>Euyp7eJhKDUC67U7xhAuKbnm1o5a</t>
  </si>
  <si>
    <t>graduation ideas</t>
  </si>
  <si>
    <t>2024, Graduation Centerpiece, Graduation Party Decorations, Graduation Centerpiece, Class of 2024, Graduation 2024</t>
  </si>
  <si>
    <t>EuSNFEgtay6wJJsJLFxmbyN3DX47</t>
  </si>
  <si>
    <t>floor vases large blue</t>
  </si>
  <si>
    <t>8.5&amp;#39;&amp;#39; Turkish Caftan Decor, Handmade Caftan Figure, Turkish Ceramic Caftan</t>
  </si>
  <si>
    <t>EuznlhUV2X8HEAbFPSU5vkNL1y16</t>
  </si>
  <si>
    <t>woppet bucket</t>
  </si>
  <si>
    <t>Spring Flowers - pdf pattern</t>
  </si>
  <si>
    <t>EuYCAYD_oAUUENapqf6V1WXzrcd7</t>
  </si>
  <si>
    <t>personalized party decor</t>
  </si>
  <si>
    <t>Personalised Floral Number Cake Topper</t>
  </si>
  <si>
    <t>EuHNNuWEtEgGCuV14y0doToZEB23</t>
  </si>
  <si>
    <t>this is related to good omens but is not a cross stitch pattern</t>
  </si>
  <si>
    <t>good omens cross stitch pattern</t>
  </si>
  <si>
    <t>Crowley Bookmark</t>
  </si>
  <si>
    <t>Eu8VsacBzael73NGVnPfBYCFMHef</t>
  </si>
  <si>
    <t>laserburn rose</t>
  </si>
  <si>
    <t>Laser Burn PNG, 3D Illusion Laser Engraving File, Lightburn File, xTool Laser Burn PNG, Laser Engrave Ready, Instant Download Aster Flower</t>
  </si>
  <si>
    <t>EucGn0fA1UZrZc2ShXEvMx3YnVb9</t>
  </si>
  <si>
    <t>framed portraits</t>
  </si>
  <si>
    <t>Arch Photo Template, Arch wall photo, Arched wall photo, Editable family photo template, Family photo template, arch wedding photo template</t>
  </si>
  <si>
    <t>Euy_pX1MZDgezxETm58FSy7A3fc8</t>
  </si>
  <si>
    <t>custom embroidery</t>
  </si>
  <si>
    <t>adult sweatshirt x hand embroidered x The Kirjonta x custom</t>
  </si>
  <si>
    <t>EuJ4wHZzigoh4nl8q2WmgSY1Eo02</t>
  </si>
  <si>
    <t>sandspielzeug tasche</t>
  </si>
  <si>
    <t>sand toy bag</t>
  </si>
  <si>
    <t>Mesh bags for sand, bath toys, fruit, vegetable bags</t>
  </si>
  <si>
    <t>Euf0U3KXLV_OjTno31g11wUbPxf6</t>
  </si>
  <si>
    <t>this is neither skeletons nor for controllers</t>
  </si>
  <si>
    <t>skeleton controller stand</t>
  </si>
  <si>
    <t>Headphone Stand wood, Headphone Holder for Desk, Airpods Max Stand, Gaming Headset Stand for home office, Best Boyfriend Gift</t>
  </si>
  <si>
    <t>EuazCRl3VxbAnEr38Z9FONbeS_66</t>
  </si>
  <si>
    <t>this is a towel but looks like it's for the kitchen</t>
  </si>
  <si>
    <t>serviette maternelle</t>
  </si>
  <si>
    <t>maternal towel</t>
  </si>
  <si>
    <t>Canteen towel. Table. Kindergarten</t>
  </si>
  <si>
    <t>EuO_hPAGamu_DA63tIy_vNwaNG5a</t>
  </si>
  <si>
    <t>unique gifts for her</t>
  </si>
  <si>
    <t>Vintage zodiac charm pendant - sagittarius charm in 9 ct yellow gold - star sign pendant - perfect gift - Christmas gift</t>
  </si>
  <si>
    <t>EuoVxlZmrGD-8ul8vpKBu_A1Pw9d</t>
  </si>
  <si>
    <t>these are pants but not sure if they match the "linl" description</t>
  </si>
  <si>
    <t>pantalon linl</t>
  </si>
  <si>
    <t>Linl pants</t>
  </si>
  <si>
    <t>Women&amp;#39;s pants - Wide pants - Shiny pants - Flowy pants - Summer pants - Water green pants</t>
  </si>
  <si>
    <t>Euk1aWrNEHww5SYnNY2n5ayHS1c6</t>
  </si>
  <si>
    <t>mit strohhalm und holzdeckel</t>
  </si>
  <si>
    <t>with straw and wooden lid</t>
  </si>
  <si>
    <t>Personalized Name Coffee Cup, Bridesmaid Proposal Gift, Custom Glass Tumbler with Lid and Straw, Birthday Gift for Her, Party Favors</t>
  </si>
  <si>
    <t>EuFZQgxVXdzQzXKpRMUSf_TBqhd3</t>
  </si>
  <si>
    <t>scott pilgrim</t>
  </si>
  <si>
    <t>Scott Pilgrim, Wallace Wells and Ramona Flowers Badges!</t>
  </si>
  <si>
    <t>Eu2bwisBxZ-Rpg9ERY3QYIyz0cf8</t>
  </si>
  <si>
    <t>this is a culture container that can be used to breed spores</t>
  </si>
  <si>
    <t>spores</t>
  </si>
  <si>
    <t>1x Half-Pint Liquid Culture Solution Jar with Magnetic Stir Bar, Leak-proof Plastic Lid, Assorted Colors, 0.22 μm Filter, Self-healing Port</t>
  </si>
  <si>
    <t>Euxy3-ZVLXwwqow3kAP_pnvhfUfa</t>
  </si>
  <si>
    <t>personalized gift for him</t>
  </si>
  <si>
    <t>Adventure Book Scrapbook Couples Gift for Boyfriend, Anniversary Gifts Couples, Personalized Gift, Valentines Day Gift for Him</t>
  </si>
  <si>
    <t>Eu5sFjO5nQZ_vwAr8iAzYrL7nDc1</t>
  </si>
  <si>
    <t>Ring Guards &amp; Spacers</t>
  </si>
  <si>
    <t>1/12Ct Diamond Ring Guard Engagement Ring Enhancer Wrap 925 Sterling Silver Wedding Ring Jacket Promise Ring Bridal Anniversary Gift For Her</t>
  </si>
  <si>
    <t>EuD3o3c2p6FKpt1JfJBgWoKFyb09</t>
  </si>
  <si>
    <t>cards for 10year old boy</t>
  </si>
  <si>
    <t>Personalised Birthday card Gaming controller Son nephew grandson  Any Name Age Relation child</t>
  </si>
  <si>
    <t>EuXEZoPQhMeWmGSRKePQaJj4xfe5</t>
  </si>
  <si>
    <t>bitch pillow case</t>
  </si>
  <si>
    <t>Funny Cushion Cover | Profanity Cushion | Rude Pillow | Gift For Her | Novelty Gift Idea | Funny Swearing Gift | Banter Pillow | Valentine&amp;#39;s</t>
  </si>
  <si>
    <t>EuoJMgBXbWUKpxne4vt2QEbRIW19</t>
  </si>
  <si>
    <t>Custom wedding invitations</t>
  </si>
  <si>
    <t>Custom Watercolor Venue Wedding Invitation Set, Wedding Invitations</t>
  </si>
  <si>
    <t>EuT11Ml0PDokBdbo2iqy9VtAlt2b</t>
  </si>
  <si>
    <t>rings for men</t>
  </si>
  <si>
    <t>Boyfriend Gift - Engraved Name Rings - Couples Rings Black - Custom Rings Both Sides Engraveable - Handmade Gift For Him Unique</t>
  </si>
  <si>
    <t>EursvEV_dbgdkWAtGqOuji6oZK96</t>
  </si>
  <si>
    <t>pet portrait but not royal</t>
  </si>
  <si>
    <t>royal pet portrait</t>
  </si>
  <si>
    <t>Hand-Painted Pet Portrait From Photo, Custom Watercolor Art, Made to Order Dog &amp; Cat Painting, Family Pet Illustration, Customized</t>
  </si>
  <si>
    <t>Eu8np0Kj6jhDXtti_HgCO8pdyO60</t>
  </si>
  <si>
    <t>not sure if this is queenclothes</t>
  </si>
  <si>
    <t>queenclothes for baby</t>
  </si>
  <si>
    <t>Baby Girl Baby Boy Sweater Cotton Knit Dressy top for romper dress 3 button 5 button Earth Tone Warm ANDI Cardigan</t>
  </si>
  <si>
    <t>EuITfZRnQycytIVhQ0INY5g7BL82</t>
  </si>
  <si>
    <t>this is not simone biles</t>
  </si>
  <si>
    <t>USA Basketball Team Paris LeBron James, Steph Curry, Joel Embiid, Jayson Tatum, Anthony Edwards Devin Booker Streetwear Heavyweight T-Shirt</t>
  </si>
  <si>
    <t>these aren't black</t>
  </si>
  <si>
    <t>black wooden light pull</t>
  </si>
  <si>
    <t>Beech Walnut Wood Drawer Pulls Knobs Closet Handles Natural Round Dresser Knobs Replacement Handles Kitchen Hardware 2.5&amp;quot;3.78&amp;quot;5&amp;quot;6.3&amp;quot;7.56&amp;quot;</t>
  </si>
  <si>
    <t>Eul4mx-PxfaXeAevOPUQZ11-EA5e</t>
  </si>
  <si>
    <t>buyer probably not looking for baby shorts</t>
  </si>
  <si>
    <t>broek</t>
  </si>
  <si>
    <t>pants</t>
  </si>
  <si>
    <t>Baby or toddler shorts. Size 0-1 months. Off white comfy slim fit shorts with black doodles. cotton knit fabric.</t>
  </si>
  <si>
    <t>EumQ3uRyqbuZ5DgeJPQjZ8hyUS19</t>
  </si>
  <si>
    <t>FAFO Cause &amp; Effect Hoodie | F Around and Find Out, Funny Gift, Pop Culture, Sassy Adult Humor, Sarcastic, Birthday Gifts, Pop Culture</t>
  </si>
  <si>
    <t>EuvIS1lmey4F6GIBWbndSoAuVE5b</t>
  </si>
  <si>
    <t>suspension fleur</t>
  </si>
  <si>
    <t>flower hanging</t>
  </si>
  <si>
    <t>20pcs/ 40 pcs artificial flowers for weddings, artificial Garland Hanging Plants, wisteria garland, wedding decor Vine Fake garlands</t>
  </si>
  <si>
    <t>Eu9P7IG4stpin-munk65yIEY5Qd1</t>
  </si>
  <si>
    <t>wine cork display</t>
  </si>
  <si>
    <t>Every Bottle Wine Quote ~ SVG ~ PNG ~ Sign Making ~ Print ~ Cricut or Silhouette graphics ~ Cork Holder ~ Card Making ~ Sticker Design</t>
  </si>
  <si>
    <t>Eu8rMi61b8jOpMcDn2JZrdbkBJ5e</t>
  </si>
  <si>
    <t>cadena bolso gris</t>
  </si>
  <si>
    <t>Chain for crossbody| Bag Replacement Chain Metal | Metal Shoulder Handbag Strap| Purse Chain</t>
  </si>
  <si>
    <t>Euadtc-e0WIFRsyPqT3U6XKKLL63</t>
  </si>
  <si>
    <t>spring clothing</t>
  </si>
  <si>
    <t>Vintage Crocheted Cardigan, Green Crocheted Sweater, Womens Y2K Crochet Top, Vintage Sweater, Pastel Spring Sweater, Size Small</t>
  </si>
  <si>
    <t>EuKVumvBqy1v8DcRuQMAKJA8UQ46</t>
  </si>
  <si>
    <t>watercolor terracota flower</t>
  </si>
  <si>
    <t>watercolor terracotta flower</t>
  </si>
  <si>
    <t>My fall wedding - Hand-drawn Watercolor Rust and Plum Flowers Pattern - Robes / Pjs / Rompers - Bridesmaids Getting Ready Outfits</t>
  </si>
  <si>
    <t>EuVg2_EkWq0UB6b9_yBLs4iW3Uc8</t>
  </si>
  <si>
    <t>this is a linen curtain which matches the query</t>
  </si>
  <si>
    <t>linen</t>
  </si>
  <si>
    <t>Gray green linen curtain, Handcrafted custom linen curtain, Natural linen curtain in various colors, Linen home decor, Window treatments.</t>
  </si>
  <si>
    <t>EujRAiPdq8MOswFztA0os8yKhm37</t>
  </si>
  <si>
    <t>echarpe triangle</t>
  </si>
  <si>
    <t>triangle scarf</t>
  </si>
  <si>
    <t>Cotton muslin women scarf shawl, cotton triangle scarf  - soft spring scarf shawl scarf for women, cotton shawl wrap</t>
  </si>
  <si>
    <t>EuHMADbLaTX7rs2r6Frilwd6ORb8</t>
  </si>
  <si>
    <t>Personalised Make up Bag with monogram I Cosmetic custom bag I Personalized gift for her</t>
  </si>
  <si>
    <t>not 100% sure but i think buyer is looking for vintage fisher price toys?</t>
  </si>
  <si>
    <t>Personalized wooden magnet box for anglers and fishermen | Gift box with wobblers and baits for pike, perch, trout and zander | Father&amp;#39;s Day</t>
  </si>
  <si>
    <t>cadre personnalise main</t>
  </si>
  <si>
    <t>hand personalized frame</t>
  </si>
  <si>
    <t>Personalized godmother frame</t>
  </si>
  <si>
    <t>EuecDMfMJ5TT_CmkgL60Ca98z-f9</t>
  </si>
  <si>
    <t>this is a lampshade with flowers on it that can be hung in suspension. so partially relevant</t>
  </si>
  <si>
    <t>Lampshade Japanese cotton fabric duck blue background chrysanthemum flowers, lampshade for Japanese table lamp, suspension, Japanese fabric</t>
  </si>
  <si>
    <t>this seems like monalisa gemstones whereas the buyer is likely searching for mona lisa hair clips</t>
  </si>
  <si>
    <t>monalisa prendedor</t>
  </si>
  <si>
    <t>monalisa clip</t>
  </si>
  <si>
    <t>Faceted Yellow Monalisa Stone Size - 6x8 To 20x30 MM Handmade Checker Cut Briolette Pear Shape Jewelry Making Loose Monalisa Gemstone</t>
  </si>
  <si>
    <t>Eu8eQqooEV7GyNezAoXzQL79IO07</t>
  </si>
  <si>
    <t>emballage tablette  papa</t>
  </si>
  <si>
    <t>dad tablet packaging</t>
  </si>
  <si>
    <t>Personalized chocolate bar, sponsor chocolate bar, Christmas bar, personalized chocolate</t>
  </si>
  <si>
    <t>EugwnQO8QM_PaMYXPO-hcI1P--05</t>
  </si>
  <si>
    <t>baby shower gift</t>
  </si>
  <si>
    <t>It&amp;#39;s Me, Hi. I&amp;#39;m The Baby Onesie® - Retro Announcement Bodysuit - Funny Natural Baby Onesie®</t>
  </si>
  <si>
    <t>Eu5HQYGAI22ARai8QjGJjPceXw80</t>
  </si>
  <si>
    <t>kina autumn hues</t>
  </si>
  <si>
    <t>Personalized Bride and Bridesmaid Tambourine, Henna Night, Bachelorette Party, Wedding Tambourine All Colors, Decorated With Laser Rose</t>
  </si>
  <si>
    <t>Eu7oYDS56XRolyVP4DP2PF5sC896</t>
  </si>
  <si>
    <t>this is more of a baby gift than a home gift</t>
  </si>
  <si>
    <t>home gifts</t>
  </si>
  <si>
    <t>Beige Baby Bear Hat, Soft Sleeping Hat, Baby Beanie, Baby Hat, Newborn Hospital Hat, Coming Home Gift, New Baby Gift, Unisex Baby Hat Sleep</t>
  </si>
  <si>
    <t>Eu9DmxCsFKMRDOEFFjLw00qJ69b7</t>
  </si>
  <si>
    <t>resin and wood bowl</t>
  </si>
  <si>
    <t>Christmas Gift Wood Resin Shaving Brush Silvertip Style Synthetic Badger 26mm Extra Dense Bulb Shape Wet Shave Brush Elegant Design</t>
  </si>
  <si>
    <t>EucxaZ5M4NKVJPdP1YtCjECfYbb4</t>
  </si>
  <si>
    <t>Flower suspension 14 petals linen and rattan - linen and rattan flower chandelier - flower lamp - flower wall light - handcrafted</t>
  </si>
  <si>
    <t>it is a moon necklace but there is no rabbit</t>
  </si>
  <si>
    <t>rabbit moon necklace</t>
  </si>
  <si>
    <t>Full Moon Necklace, Mothers Day Gift, Elegant Necklace, gift for her, Christmas gift</t>
  </si>
  <si>
    <t>EunuGbRPsAtIQFxYVIxWd5scmD21</t>
  </si>
  <si>
    <t>not sure</t>
  </si>
  <si>
    <t>i think this is partially relevant? not sure though</t>
  </si>
  <si>
    <t>vegan punk</t>
  </si>
  <si>
    <t>100 Companies 71% Emissions Climate Action Environmental Iron on or Sew on Embroidered Patch Contour Patch</t>
  </si>
  <si>
    <t>EuXQdZEyININk0gKpiImj7syCfd8</t>
  </si>
  <si>
    <t>not cylindrical but it is an svg and box</t>
  </si>
  <si>
    <t>caja cilindrica svg</t>
  </si>
  <si>
    <t>cylindrical box svg</t>
  </si>
  <si>
    <t>Bag Tube Box Cutting File - Archivo de corte Maleta Porta Tubo - Molde Caixa Saco Porta Tubete - DXF and SVG for Cameo and Cricut</t>
  </si>
  <si>
    <t>EuQzhkNZl_6Wc6c4gwYotrBEoNf9</t>
  </si>
  <si>
    <t>gift for dog</t>
  </si>
  <si>
    <t>Farmhouse Christmas Ornament Jack Russell Terrier | Gift for Dog Owner | Dog Christmas Ornament | Modern Farmhouse Decor | Jack Russell Gift</t>
  </si>
  <si>
    <t>EuaTiDIgon6rz3CCDTVHm95mc915</t>
  </si>
  <si>
    <t>shop query</t>
  </si>
  <si>
    <t>elementsbykristina</t>
  </si>
  <si>
    <t>14k Solid Gold Personalized Minimalist Bar Name Necklace •  Handwriting Name Necklace • Gift For Her • Birthday Gift • Christmas Gift</t>
  </si>
  <si>
    <t>EuzwFFXMRFVZP4W9ZR6Yf63hPa1b</t>
  </si>
  <si>
    <t>no 2.5mm option available</t>
  </si>
  <si>
    <t>2.5 mm gem</t>
  </si>
  <si>
    <t>Loose Natural Ruby A Quality Small Round Parcels Available in Sizes 1.30MM to 1.80MM</t>
  </si>
  <si>
    <t>EusJ13F06o317jpqvyJ5OhfVTxfa</t>
  </si>
  <si>
    <t>query seems to be related to dungeons and dragons</t>
  </si>
  <si>
    <t>potion dragon</t>
  </si>
  <si>
    <t>Oil of Insight - Potion Bottle</t>
  </si>
  <si>
    <t>EuyLe5NCISMnt_TfUo79zxrt0894</t>
  </si>
  <si>
    <t>vegeta</t>
  </si>
  <si>
    <t>Vegeta/Anime</t>
  </si>
  <si>
    <t>EubtpecW68fZZe0S2AlKfyYyRG72</t>
  </si>
  <si>
    <t>buyer is searching for product type = waffle maker. this is a waffle shirt.</t>
  </si>
  <si>
    <t>waffle maker</t>
  </si>
  <si>
    <t>Waffle Shirt, Waffle Lover Tshirt, Cute Sarcastic Waffle T-shirt, Funny Waffle Tee Gift,Foodie Sweatshirt,Weekend Breakfast Crewneck Sweater</t>
  </si>
  <si>
    <t>EuTD8CfSrtFh1_1sL4moXUdSUZfb</t>
  </si>
  <si>
    <t>Ethan Benjamin</t>
  </si>
  <si>
    <t>3pcs Crown Baby Girl Hospital Exit Newborn Baby Girl Bling Outfits Baby Girl Layette Set Personalized Baby Girl Outfit Pink</t>
  </si>
  <si>
    <t>there is no feather</t>
  </si>
  <si>
    <t>schriftzug mit Minifeder</t>
  </si>
  <si>
    <t>lettering with mini feather</t>
  </si>
  <si>
    <t>Lettering - Nice that you are here - made of wood with or without stand, personalizable</t>
  </si>
  <si>
    <t>Eu1Il1KrdiTqxAzdkc1ed2pp2g5b</t>
  </si>
  <si>
    <t>personalized school supplies</t>
  </si>
  <si>
    <t>Custom Name Canvas Tote bag, Birthday gift for kids, Kids Name Tote Bag, Birthday Gift, Preschool,Kindergarten Book Tote Bag, Birthday Gift</t>
  </si>
  <si>
    <t>EuVmye8eWBDGHPQ3w4kdpyBAt7c3</t>
  </si>
  <si>
    <t>these are not earrings nor are they lovespoon</t>
  </si>
  <si>
    <t>love spoon earrings</t>
  </si>
  <si>
    <t>Flags A-J gold outline photo enamel - 9mm classic Italian charms</t>
  </si>
  <si>
    <t>EumRxUpXhIh9SP44BLiosSdn0u1f</t>
  </si>
  <si>
    <t>this is lymph ticture not brain tincture</t>
  </si>
  <si>
    <t>brain tincture</t>
  </si>
  <si>
    <t>Lymph System Tincture - Potent Herbal Tincture for Lymphatic Support, Lymph Drainage, Lymph Flush - Lymph Herbal Blend Lymph Det0x</t>
  </si>
  <si>
    <t>EuaUU5wSe-05wRa7w0AZFo4ERtd6</t>
  </si>
  <si>
    <t>gemstone rings</t>
  </si>
  <si>
    <t>Bezel Rainbow Moonstone Ring Vintage Blue Moonstone Engagement Ring Rose Gold Moonstone Ring Unique Women Ring Sterling Silver Ring</t>
  </si>
  <si>
    <t>EunsmetuWYTvqj3uBbDdmmX4CJ4c</t>
  </si>
  <si>
    <t>dr seuss shirt 5t</t>
  </si>
  <si>
    <t>Why Fit In When You Were Born To Stand Out Shirt,Autism Awareness Shirt,Read Across America Day Tee,Autism Month T-Shirt,Reading Books Shirt</t>
  </si>
  <si>
    <t>EuWiDOQVLcaEAOMtyOHH-d1et045</t>
  </si>
  <si>
    <t>thank you karten</t>
  </si>
  <si>
    <t>thank you cards</t>
  </si>
  <si>
    <t>Personalised Thank you arabic calligraphy card</t>
  </si>
  <si>
    <t>EuqORwNgR-ypx_V7c7a896Bg5acc</t>
  </si>
  <si>
    <t>travel accessories</t>
  </si>
  <si>
    <t>Personalised Premium Pebble Grain Leather Single Passport Sleeve</t>
  </si>
  <si>
    <t>EuNexK8NQQKuaNClfYivtzm9l2f7</t>
  </si>
  <si>
    <t>spiderman amigurumi</t>
  </si>
  <si>
    <t>Crochet Spiderman Plush Toy - Handmade Amigurumi Marvel Superhero, Amigurumi spiderman bigsize, crochet spiderman bigsize</t>
  </si>
  <si>
    <t>EuPJS6VlIosJevaF5qQBj5oF1se1</t>
  </si>
  <si>
    <t>Custom womens clothing</t>
  </si>
  <si>
    <t>Valentine&amp;#39;s Day gift postcard love humor butter half salt</t>
  </si>
  <si>
    <t>EuvUXgaGi24sKXZabBDuxufKPV5f</t>
  </si>
  <si>
    <t>malliot foot espagne</t>
  </si>
  <si>
    <t>malliot football spain</t>
  </si>
  <si>
    <t>Spain Soccer Jersey / Jenni Hermoso Shirt / Espana Soccer / Spanish Soccer / Alexia Putellas / The Games 2024 / Spanish Soccer / Carmona 19</t>
  </si>
  <si>
    <t>EulDQfhwO7kTD1oV-Y6DIqMfJe86</t>
  </si>
  <si>
    <t>buyer is likely searching for items related to the movie little death</t>
  </si>
  <si>
    <t>little death</t>
  </si>
  <si>
    <t>Death Envoy | Mini Monster Mayhem | Dead, Gone, Expired...UNALIVE | RESIN | Fantasy | DnD | RPG | Tabletop | Gaming | Death</t>
  </si>
  <si>
    <t>EufVxXE93gPsb45j5R5FydKnSbe1</t>
  </si>
  <si>
    <t>there is no sword</t>
  </si>
  <si>
    <t>hero sword</t>
  </si>
  <si>
    <t>DnD Dragon Knight Goliath miniature for D&amp;D Hero Character for Dungeons and Dragons mini Heroquest ttrpg Role playing table top dice game</t>
  </si>
  <si>
    <t>EulZhVtMvCVV5kORMy8ijsiNcv9f</t>
  </si>
  <si>
    <t>Year of the Dragon Resin Hair Clip, handmade resin hair accessory, Chinese New Year Dragon themed hair clip</t>
  </si>
  <si>
    <t>ohrringe</t>
  </si>
  <si>
    <t>earrings</t>
  </si>
  <si>
    <t>Dread jewelry &amp;quot;Elegance&amp;quot; Boho Hippie Style, Vintage, Handmade, Beautiful Jewelry Gift</t>
  </si>
  <si>
    <t>EuGdCJEGyiWz-cOCEeeU2rtnlm5a</t>
  </si>
  <si>
    <t>not sure what this query is</t>
  </si>
  <si>
    <t>swetshot</t>
  </si>
  <si>
    <t>Hott Shot Wellness Shots</t>
  </si>
  <si>
    <t>EuuAamj2zMS-lk137OoSSVFeveda</t>
  </si>
  <si>
    <t>ae</t>
  </si>
  <si>
    <t>Pack of 805 games For Unico MVSX: &amp;quot;New Release&amp;quot;</t>
  </si>
  <si>
    <t>EujUQqjwoDceiFesNpfv5Hxc5wfe</t>
  </si>
  <si>
    <t>pacha ibiza</t>
  </si>
  <si>
    <t>Ibiza Vibes T-Shirt: Assouline-Inspired Party Spirit, Wrapped in Style</t>
  </si>
  <si>
    <t>EuPyp3lxE2oDHUqYP-HrjZjVPad8</t>
  </si>
  <si>
    <t>this is not a bag</t>
  </si>
  <si>
    <t xml:space="preserve">Desired Size &amp;quot; Dots &amp;quot; Balloon Skirt Black Skirt Ladies Hip Skirt Dots with Pockets </t>
  </si>
  <si>
    <t>swimsuit slut</t>
  </si>
  <si>
    <t>QUEEN OF SPADES swimsuit, 2 pieces large size, hotwife,bbc bikini cuckolding, hotwife bikini, bikini qos, queen of spadess clothing</t>
  </si>
  <si>
    <t>EuKmi-hUFX6h62zQ8KJb_Ej59M17</t>
  </si>
  <si>
    <t>outdoor hosting</t>
  </si>
  <si>
    <t>outdoorhosting</t>
  </si>
  <si>
    <t>Folding Picnic Table Bench Plans Patio Furniture (Digital Plans)</t>
  </si>
  <si>
    <t>EuNb0pBdKGZ_MJ7YvzoTp86oREec</t>
  </si>
  <si>
    <t>pasa</t>
  </si>
  <si>
    <t>Kundan Passa Jhoomer Jhumar / head side passa / Bridal Head piece / Indian jewelry By Asp Fashion Jewellery</t>
  </si>
  <si>
    <t>EuA4R19VU1j8K1JBBnng2Xywj_05</t>
  </si>
  <si>
    <t>en-IN</t>
  </si>
  <si>
    <t>it's a plant pot but doesn't have plants</t>
  </si>
  <si>
    <t>house plants in pots</t>
  </si>
  <si>
    <t>Palm Print Embossed Gloss Ceramic Planter/Plant Pot- to fit 12.5cm nursery pot</t>
  </si>
  <si>
    <t>Eu6hZx10mXKikypSCQKKcYaWtC37</t>
  </si>
  <si>
    <t>there is no pearl</t>
  </si>
  <si>
    <t>black metal hair claw clip with pearl</t>
  </si>
  <si>
    <t>50-100Pcs/lot gold/silver/black Hair Clips Fashion square Hairpin Blank Base for Diy Jewelry Making Pearl Hair Clip Setting craft supplies</t>
  </si>
  <si>
    <t>EueG9lK6hYM9i1eYkzXcElK__uf6</t>
  </si>
  <si>
    <t>30th wedding anniversary gifts</t>
  </si>
  <si>
    <t>Personalised 30th Anniversary Gift, Pearl Anniversary Heart Plaque, Anniversary Gifts, 30th Anniversary Gift for Husband Wife Parents</t>
  </si>
  <si>
    <t>EuKFdRLCuzFmYRG3Iuw3CBcfQU12</t>
  </si>
  <si>
    <t>toby keith but shirt not sweatshirt</t>
  </si>
  <si>
    <t>Toby keith sweatshirt</t>
  </si>
  <si>
    <t>Toby Keith Tee</t>
  </si>
  <si>
    <t>Eu5YfSz1YnP0N5J_jBCFZUsT7J95</t>
  </si>
  <si>
    <t>wrong product type but correct occasion</t>
  </si>
  <si>
    <t>elegant wedding dress</t>
  </si>
  <si>
    <t>Personalized bride hanger with pearls custom wedding dress hanger wood bridal hanger bride name wooden hanger wedding gift from bridesmaid</t>
  </si>
  <si>
    <t>EuCTDJ7BTA6YnHRZ-QXqBg--Ht27</t>
  </si>
  <si>
    <t>not a polo and doesn't have cebu pacific</t>
  </si>
  <si>
    <t>cebu pacific logo polo shirt</t>
  </si>
  <si>
    <t>Vintage Paradise Of The Pacific Short Sleeve Sweatshirt Pacific Sweater Hawaii Crewneck Pullover Embroidered Spell Out Logo Brown Medium</t>
  </si>
  <si>
    <t>EuX_CviWi0F-H9hbAL2C26ZRMhf6</t>
  </si>
  <si>
    <t>buyer likely looking for magic bags which are used for heat compressoin</t>
  </si>
  <si>
    <t>sac magique</t>
  </si>
  <si>
    <t>magic bag</t>
  </si>
  <si>
    <t>magic beans</t>
  </si>
  <si>
    <t>EuGX8ZJSKSnAneAQhB3hlGBWrf75</t>
  </si>
  <si>
    <t>easter decor</t>
  </si>
  <si>
    <t>Lil&amp;#39; Monster Easter Eggs</t>
  </si>
  <si>
    <t>EuDGTnxyxSF1rWvJJaAcJNDyxQdd</t>
  </si>
  <si>
    <t>fararri boulevard</t>
  </si>
  <si>
    <t>Sunset Boulevard Poster</t>
  </si>
  <si>
    <t>EuqKfUE1Tc96tdQ8sD3HN95JDZ6e</t>
  </si>
  <si>
    <t>valentines gifts for her</t>
  </si>
  <si>
    <t>Cute Penguin Pebble romantic gift for him her, Hand painted unique keepsake for boyfriend girlfriend, Sweet anniversary gift to husband wife</t>
  </si>
  <si>
    <t>Eui3pcK-z01z8npR0Zn-WkBGBn66</t>
  </si>
  <si>
    <t>book vase for flowers</t>
  </si>
  <si>
    <t>Secret Hidden Strong METAL BOOK SAFE Secure Hollow Money Box w/ Key Lock</t>
  </si>
  <si>
    <t>EuqdP67csAKGrZ7KZVEaGZ_Hyef9</t>
  </si>
  <si>
    <t>i think?</t>
  </si>
  <si>
    <t>aussie animal baby mobile</t>
  </si>
  <si>
    <t>Seahorse and coral sewing pattern, PDF SVG felr pattern, felt ornament, Ocean pattern, Christmas ornaments, baby mobile Ocean</t>
  </si>
  <si>
    <t>EuSxZ_qstPKs8kYRdBZgb3h3Sj84</t>
  </si>
  <si>
    <t>Back to School Kids Printable Sign First Day of School Editable INSTANT DOWNLOAD</t>
  </si>
  <si>
    <t>EuPqInHAm03gs30MUML3rR0HgZ25</t>
  </si>
  <si>
    <t>Gifts For The Couple Decision Maker Coin - Decis...</t>
  </si>
  <si>
    <t>Personalized Date Dice - 10th Anniversary Gift - Custom Stainless Steel Dice - Engraved Dice - Engagement Wedding Gift Valentine&amp;#39;s Day</t>
  </si>
  <si>
    <t>EuG89gyWKhjaxJwrb0dloMT4zi63</t>
  </si>
  <si>
    <t>sticker schalke</t>
  </si>
  <si>
    <t>stickers schalke</t>
  </si>
  <si>
    <t>Sticker Ruhrpott, bumper sticker Ruhrpott, Ruhr area sticker, mining sticker, sticker Ruhrpott</t>
  </si>
  <si>
    <t>Eulv-85ZcZjW5q4pRvjC4T97lb53</t>
  </si>
  <si>
    <t>rupee ice mold</t>
  </si>
  <si>
    <t>Bokoblin Chest with LED, magnetic rupee and realistic stone texture options</t>
  </si>
  <si>
    <t>Eurs13z7oBDDbMGhMbDCnGKqaT5e</t>
  </si>
  <si>
    <t>this is for babies but it is not a rattle</t>
  </si>
  <si>
    <t>babyrassel häkeln</t>
  </si>
  <si>
    <t>crochet baby rattle</t>
  </si>
  <si>
    <t>Crochet Pattern Lovely BIB, English US Terms.</t>
  </si>
  <si>
    <t>EuxUx_fND6GM1dlUUHQyhiTDpo8e</t>
  </si>
  <si>
    <t>zelda tumbler pdf</t>
  </si>
  <si>
    <t>Legend of Zelda Tumbler Wrap for 20 oz Skinny Tumbler, PNG Sublimation Design, Seamless Wrap, Digital Download</t>
  </si>
  <si>
    <t>Euw4F0vBIQ4HNnFqRRethIj4vbbb</t>
  </si>
  <si>
    <t>hair clip with pearls but not black</t>
  </si>
  <si>
    <t>Pearl Golden Hair Claw Clip,Rhinestone Claw,Hair Accessories For Women,Valentines Gift,Gift For Her.</t>
  </si>
  <si>
    <t>dir en grey</t>
  </si>
  <si>
    <t>say in gray</t>
  </si>
  <si>
    <t>Funny Valentines Card, Valentine&amp;#39;s Card, From the Dog, Love Card, For Husband, for Wife, Dog Valentine&amp;#39;s - Grey Dog says I LOVE YOU</t>
  </si>
  <si>
    <t>Eu7R2BqPbfQ-LK2osUCRojkpTi96</t>
  </si>
  <si>
    <t>food charm gold</t>
  </si>
  <si>
    <t>Slice of Cake Charm, Traditional Charm, Made from Solid Cast Yellow Gold, British Hallmarked</t>
  </si>
  <si>
    <t>EuVh21GPZV6_qpDqhRBFH5yeMd27</t>
  </si>
  <si>
    <t>not sure the plant variant is correct but the product type is correct</t>
  </si>
  <si>
    <t>madagascar lace leaf fish tank plant</t>
  </si>
  <si>
    <t>Aquarium Live Plants - 5 to 50 stems Elodea Densa - Oxygenating Live Plant - Egeria Pond Weed, Tropical Coldwater Fish Tank Aquatic</t>
  </si>
  <si>
    <t>EukiUa3eKDTJGFrFXwBzxJkwXoda</t>
  </si>
  <si>
    <t>miraculous ladybug stickers</t>
  </si>
  <si>
    <t>CALAMITY BOX -  Free Shipping</t>
  </si>
  <si>
    <t>Eu6ynwnTsbTWehGAqPCXRmsiX_56</t>
  </si>
  <si>
    <t>acuity revamp</t>
  </si>
  <si>
    <t>acuity rev</t>
  </si>
  <si>
    <t>DIY Acuity Site Retro, Acuity Scheduling Template, Hair, Lash Tech, Nail Tech, Salon, Acuity Site Design, Beauty Instagram Content, Girly</t>
  </si>
  <si>
    <t>EuPPz-JLD5wFgz9UNVV2k86xsY0c</t>
  </si>
  <si>
    <t>Sea love earrings with turquoise gemstones* Spiritual jewelry*Hippie earrings*Surfer earrings</t>
  </si>
  <si>
    <t>EuKtdDMDKArSIRDqdGKRW4XXl01b</t>
  </si>
  <si>
    <t>gifts for women</t>
  </si>
  <si>
    <t>Personalised Best Friend Print, Best Friend Gift, Friendship Gift, Keepsake, Birthday Bestie Gifts, Birthday Gift for Her</t>
  </si>
  <si>
    <t>Eubc-6mBcMaxyQjvwX-APl1jwbb2</t>
  </si>
  <si>
    <t>Small brass contemporary ring, Statement Unique Jewellery, Oval shaped artsy ring, Handcrafted Textured Ring for Her, Minimalist Modern Ring</t>
  </si>
  <si>
    <t>Euao8J8mQlKUea0NbP3Q4a__bu61</t>
  </si>
  <si>
    <t>piercing ear</t>
  </si>
  <si>
    <t>ear piercing</t>
  </si>
  <si>
    <t>Huggie Hoop Earrings • gold helix hoop • cartilage hoop • hoop earrings • silver hoop • gold hoop • small helix hoop</t>
  </si>
  <si>
    <t>Eup4iLForHT3BkYUxtGyofErr9af</t>
  </si>
  <si>
    <t>wish disney</t>
  </si>
  <si>
    <t>Asha Inspired Wish 3D Cosplay Costume Skater Dress, Wish Movie And Dress, Asha Wish Mom Daughter Dress, Asha Dress, Wish Dress Gift</t>
  </si>
  <si>
    <t>EueZdFaDT2z_J0ApfsLmE3y-Qh2d</t>
  </si>
  <si>
    <t>shepards journal atlantis</t>
  </si>
  <si>
    <t>Tree of Life Leather Journal - Antique Handmade Deckle Edge Vintage Paper Leather Print Bound Journal - Book of Shadows Journal</t>
  </si>
  <si>
    <t>EuFgk2aXuYac8z_zrff0zc50PKe1</t>
  </si>
  <si>
    <t>Canada outfit</t>
  </si>
  <si>
    <t>Vintage Style, Skiing Hoody, Skiing Hoodie, Skiing Shirt, Apres Ski, Ski Outfit, Ski Trip, Ski Holiday, Ski Print, Vacation Sweater - Canada</t>
  </si>
  <si>
    <t>EuhiFTRMX7f4hg-7INq3K0V-w109</t>
  </si>
  <si>
    <t>final fantasy cookie</t>
  </si>
  <si>
    <t>Moogle Chocolate Mold | Final Fantasy Valentine&amp;#39;s Chocolate Mold</t>
  </si>
  <si>
    <t>Euss7Q4KSsME3_qASdg9XG2z2B5c</t>
  </si>
  <si>
    <t>card holder for cruise</t>
  </si>
  <si>
    <t>Silicone Wallet - stick on wallet - phone wallet - silicone - self adhesive - Cruise - Keep Calm and Cruise On - NCL - Royal Caribbean</t>
  </si>
  <si>
    <t>Eu23XtJXA94Ygx8qRe_cqS-M-Mb6</t>
  </si>
  <si>
    <t>these are party decorations but not starbucks themed</t>
  </si>
  <si>
    <t>starbucksparty decorations</t>
  </si>
  <si>
    <t>READY TO SHIP Books Cupcake Toppers / Glitter Books Cupcake Toppers / Custom Toppers / Reading / Book Lover / Fiction / Non-Fiction</t>
  </si>
  <si>
    <t>Eu9MW-1bOJSVY6aCoq_0w_w-CY12</t>
  </si>
  <si>
    <t>Motorcycle leather jacket</t>
  </si>
  <si>
    <t>Bikerjacke</t>
  </si>
  <si>
    <t>Suzuki Gsxr Motorbike Racing Leather Jacket-Cowhide Leather And Certified Protectors-Free Shipping</t>
  </si>
  <si>
    <t>Eu5xScK8ezjSUORa9CwjBF9hmd9e</t>
  </si>
  <si>
    <t>Fishing Lures for Anglers &amp; Fishermen | men | 7 motifs | Bait wobblers for fishermen | Grandpa, dad, fishing gifts, birthday, father&amp;#39;s day</t>
  </si>
  <si>
    <t>don't think this would be a kids gift</t>
  </si>
  <si>
    <t>gifts for kids</t>
  </si>
  <si>
    <t>Love Story Quote Leather Bookmark | 3rd Anniversary Gift | Husband and Wife Gift | Wedding Small Present | Gift Ideas</t>
  </si>
  <si>
    <t>EuR-XoQATWSPeKsnKHmhia27y5f9</t>
  </si>
  <si>
    <t>linux tux plush</t>
  </si>
  <si>
    <t>Programmer Hourly Rate - Engraved Stainless Steel Tumbler, Funny Gift, Engraved Mug, Personalized Computer Tumbler Gift, Office Party Gift</t>
  </si>
  <si>
    <t>Euc5muUSUX302nB5iOOYBeQ-PB3a</t>
  </si>
  <si>
    <t>these are storage hooks and they are not for totes</t>
  </si>
  <si>
    <t>storage shelves for totes</t>
  </si>
  <si>
    <t>4 Sets of Garage Hangers to Organize Your Yard Tools (3D Printed) Choose Your Color</t>
  </si>
  <si>
    <t>EuezdCXxuwqc9vd-BZdBDKC83Y46</t>
  </si>
  <si>
    <t>watercolor lisbon</t>
  </si>
  <si>
    <t>Lisbon Alfama Illustration, Printable Wall Art, City Art, Instant art, DIGITAL DOWNLOAD</t>
  </si>
  <si>
    <t>EumYezodOjosavmsjjT6EiLrOXbf</t>
  </si>
  <si>
    <t>FIRST DISNEY TRIP DAD</t>
  </si>
  <si>
    <t>My First Disney Trip Shirt, 2024 First Disney Trip, Couple 2024 Shirt, Matching Disney Family Shirt, Minnie Mickey Disney Trip 2024 T-shirt</t>
  </si>
  <si>
    <t>Euf8xVYjbmtHpWDjYSHc26cJ_6f4</t>
  </si>
  <si>
    <t>vintage rabbit decor</t>
  </si>
  <si>
    <t>Rabbit, Happy Easter,  Digital Image Download Sheet, Transfer To Pillows ,Burlap Bag, or Print on paper 020</t>
  </si>
  <si>
    <t>EuW1sxDFWOE70t4_tUYWA-VOl44a</t>
  </si>
  <si>
    <t>this is the right product type but not nordic blend</t>
  </si>
  <si>
    <t>Coffee &amp; Tea BLOSSOM tea - Nordic blend,...</t>
  </si>
  <si>
    <t>Organic Loose Leaf Tea Sampler. Choose from a variety of Green, Black, and White Teas. Straight from our farm to your cup!</t>
  </si>
  <si>
    <t>Eu_lj6R9NNhF4UlU9cLv1ATub2b1</t>
  </si>
  <si>
    <t>Pratikpen Ruling R15 Calligraphy Pen | Modern Writing Journaling technical art  professionals unique design handle ink dip nib</t>
  </si>
  <si>
    <t>this is a stanley cup accessory</t>
  </si>
  <si>
    <t>stanley cup</t>
  </si>
  <si>
    <t>WAFFLE WHITE Silicone Boot Bumper Sleeve for Tumblers</t>
  </si>
  <si>
    <t>EuFQp5A2RpihNddBQXREOkhjRU8b</t>
  </si>
  <si>
    <t>almost relevant but doesn't say it fits 45 long</t>
  </si>
  <si>
    <t>45 long Colt single action revolver holster</t>
  </si>
  <si>
    <t>K0103 Leather Single and Double Speedloader Pouch with Belt Loop For 357 Magnum Smith&amp;Wesson and Similar Revolvers Handmade!</t>
  </si>
  <si>
    <t>EuALKQ8gTPT83g2HXLsN3WfjAC38</t>
  </si>
  <si>
    <t>thematically correct but doesn't have the correct phrase</t>
  </si>
  <si>
    <t>do all things with love sticker</t>
  </si>
  <si>
    <t>Let Your Light Shine Mini Sticker, Bible Verse, Christian Jesus Sticker, Faith Sticker, Clear Sticker, Christian Decal, Bible Journaling</t>
  </si>
  <si>
    <t>EuMGJIMgQR4zwA1wG7ivFRTh3N9e</t>
  </si>
  <si>
    <t>musselin decke</t>
  </si>
  <si>
    <t>muslin blanket</t>
  </si>
  <si>
    <t>Pack of 3 Organic muslin squares Baby muslin cloth  Baby washcloths Muslin 24x24 inches Burp cloths Neutral gender baby shower gift</t>
  </si>
  <si>
    <t>Eu30GWp_ZGSgwHrcN5MfjmtyFIfc</t>
  </si>
  <si>
    <t>pattern journal</t>
  </si>
  <si>
    <t>ENGRAVED Flower of Life Pattern Journal, Refillable Vegan Leather Journal, Monogrammed Notebook, Gift For Mother.</t>
  </si>
  <si>
    <t>EuBWIpUaxiFmuKMHiFqnAITpcMa0</t>
  </si>
  <si>
    <t>Sissy Princess Pink Doll Sports Bra - White</t>
  </si>
  <si>
    <t>t shirt donna</t>
  </si>
  <si>
    <t>women's t shirt</t>
  </si>
  <si>
    <t>WINE Tshirt with embroidered personalization - VNO Tshirt for Men/Women, Gift for wine lovers, gift for wine enthusiasts!</t>
  </si>
  <si>
    <t>EuUl3msZRQyZDZPLzRgqrpKUXr11</t>
  </si>
  <si>
    <t>my orders placed</t>
  </si>
  <si>
    <t>PERSONALIZED Leather Padfolio Monogrammed Leather Portfolio Cover Custom Corporate Gift Monogram Initials For Him and Her | Marshall</t>
  </si>
  <si>
    <t>EumndLEzTIyfLuH4kuDPAFMbJ45d</t>
  </si>
  <si>
    <t>not sure if this is considered "dumb" but good enough</t>
  </si>
  <si>
    <t>dumb pet tag</t>
  </si>
  <si>
    <t>Custom Resin Dog Tag, Resin Pet Tag, Puppy Tag, Personalized Resin Dog Tag, Personalized Cat Tag Cat ID Tag, Handmade customizable resin tag</t>
  </si>
  <si>
    <t>EubQ4Rz96ZOF0WEK4jdy0saqkP7c</t>
  </si>
  <si>
    <t>handmade bracelet</t>
  </si>
  <si>
    <t>Coral Bay handmade bracelet style set, Bracelet for woman, Bead bracelet, Boho bracelet, Handmade bracelet, Surfer bracelet, PineappleIsland</t>
  </si>
  <si>
    <t>Eu3tPXdPMMoFIk__84IKMJDEHo96</t>
  </si>
  <si>
    <t>Sonnenschirm 60er kleiner</t>
  </si>
  <si>
    <t>Parasol 60s smaller</t>
  </si>
  <si>
    <t>Parasol Bali umbrella 180 cm light brown gold painting fringes, garden umbrella cotton sun protection handmade decorative umbrella model Clara</t>
  </si>
  <si>
    <t>EuNtxlnDju8oS3PElzVsh9u-BQ19</t>
  </si>
  <si>
    <t>gold earrings dangle 18k</t>
  </si>
  <si>
    <t>French Macaron Drop Earrings/Match Macaron Earrings/Macaron Lover Gifts for Her/Cute &amp; Fun Earrings/18K Gold Plated/Free Gift Box</t>
  </si>
  <si>
    <t>EuphDEdNYsKnDtbUTE3i7gIy3502</t>
  </si>
  <si>
    <t>seems like buyer is looking for a camera strap for a specific camera. this is a case not a camera strap.</t>
  </si>
  <si>
    <t>CUERDA fujifilm xt5</t>
  </si>
  <si>
    <t>fujifilm xt5 ROPE</t>
  </si>
  <si>
    <t>Fujifilm fuji XE4 Handmade Half Case Cowhide leather Camera bag Protector HandGrip Grip Holster sleeve Tripod mount SD card &amp; Battery access</t>
  </si>
  <si>
    <t>Eu_p5W6OpHYoP7bEeTYnq_kfMxdf</t>
  </si>
  <si>
    <t>this is neither wool nor a blanket</t>
  </si>
  <si>
    <t>woollen blanket</t>
  </si>
  <si>
    <t>Welsh Tapestry Design Grey Snap Fastener Glasses Case Handmade Fully Lined</t>
  </si>
  <si>
    <t>EuifaCmGZg8dIUPyfwKoZcVl607b</t>
  </si>
  <si>
    <t>flight attendant gifts</t>
  </si>
  <si>
    <t>Flight Attendant Fuel • 24oz Venti Cold Cup Cutfile, Svg Dxf Png File Digital Download</t>
  </si>
  <si>
    <t>EunnyG-pdVA5qTZN8HgnGrJZOLa6</t>
  </si>
  <si>
    <t>urlaub karte</t>
  </si>
  <si>
    <t>holiday card</t>
  </si>
  <si>
    <t>Doberman Christmas Card, Dog Holiday Card, Lights, Bulbs, Single Card, Set of 4 or 8</t>
  </si>
  <si>
    <t>Eu4rs5IDFBym4oM-sWLIZn4fXt8c</t>
  </si>
  <si>
    <t>Travel accessories</t>
  </si>
  <si>
    <t>Amalfi Lemon Print Hand Painted Silk Scarf Silk Head Scarf Foulard Yellow Blue Silk Scarf Large Silk Square Scarf Gift  Summer Scarf 35X35</t>
  </si>
  <si>
    <t>EuC25pa3wDRVwuglbb7sruhWQAb7</t>
  </si>
  <si>
    <t>ja</t>
  </si>
  <si>
    <t>intl-ja</t>
  </si>
  <si>
    <t>painting cartoon</t>
  </si>
  <si>
    <t>Custom Cartoon Portrait FROM YOUR PHOTO, Your Love Story in Art! Digital, Personalized cartoon portrait, Gift for couples</t>
  </si>
  <si>
    <t>Eub_3KEme_hqbxI6nDCFuj1EbTc5</t>
  </si>
  <si>
    <t>george russell</t>
  </si>
  <si>
    <t>Portachiavi Formula 1 - Edizione Piloti - Versione piccola</t>
  </si>
  <si>
    <t>Eu3FOBq94mTg1q7_99TJi7YydMa0</t>
  </si>
  <si>
    <t>these are trousers for babies</t>
  </si>
  <si>
    <t>broeken</t>
  </si>
  <si>
    <t>trousers</t>
  </si>
  <si>
    <t>Black Tipi Harems Teepee Pants Boys Harem Pants Organic cotton knit Cute fabric Popluar pants Relaxed Trousers New Baby outfit Newborn Gift</t>
  </si>
  <si>
    <t>Euc_5pdQB95rqdwaSXtoaLOAwb0a</t>
  </si>
  <si>
    <t>90s polo sport tags</t>
  </si>
  <si>
    <t>Vintage Y2K Budweiser Kasey Kane NASCAR T Shirt Tee Size XL</t>
  </si>
  <si>
    <t>EuVumdkYu-N0jNOGVKvS5kV2ru7f</t>
  </si>
  <si>
    <t>wedding gift</t>
  </si>
  <si>
    <t>Personalized Cutting Board With Handle, Custom Wooden Cheese Board, Engraved Serving Board for Engagement, Custom Gift for Bride Anniversary</t>
  </si>
  <si>
    <t>EuJ2-g2LX1-WpK4hwWbiNwka2Mde</t>
  </si>
  <si>
    <t>teacher appreciation gift</t>
  </si>
  <si>
    <t>A Parents Thank You Printable Nursery Teachers Teaching Teacher&amp;#39;s Day Wall Art Printable Gift Teacher Appreciation Letter End of Year gift</t>
  </si>
  <si>
    <t>EuuIAuFuQTGYA3VrjJEJlAZC_Q91</t>
  </si>
  <si>
    <t>MICHAEL CERA Shirt, Michael Cera Homage T-Shirt, Michael Austin Cera Canadian Actor Vintage Retro Bootleg Merch, Michael Cera Fans Gift #ARI</t>
  </si>
  <si>
    <t xml:space="preserve">buyer looking for CGM brand but etsy probably doesn't carry it. so it's an accessory and thus partially relevant </t>
  </si>
  <si>
    <t>freestyle libre 2</t>
  </si>
  <si>
    <t>freestyle free 2</t>
  </si>
  <si>
    <t xml:space="preserve">Armband to hold your CGM Guardian Enlite, Freestyle Libre, Medtrum, Dexcom, Sibionics and most insulin patch pump - Dia-Band </t>
  </si>
  <si>
    <t>EuEEN93tuc989lqywqiMEbewFs23</t>
  </si>
  <si>
    <t>maddycatquilts</t>
  </si>
  <si>
    <t>Heather Ross Hemingway Pouch Medium / mini IPad E-reader case</t>
  </si>
  <si>
    <t>EuiOwf55b57BcKA1PjdR-3IaZQf5</t>
  </si>
  <si>
    <t>Irregular Ombré Unique Hand-tufted Wool Area Rug Modern Colorful Mat Non Skid High Quality in Size 3x5 , 5x8 , 6x9 , 8x10 and 9x12- PM08</t>
  </si>
  <si>
    <t>Euo9BIov2hSyW1vmYpgDihlzspfb</t>
  </si>
  <si>
    <t>marti bracelet</t>
  </si>
  <si>
    <t>Martis Bracelet - Greek Spring Bracelet- March traditions - Spring is here - Red and White string- Evil Eye -</t>
  </si>
  <si>
    <t>Eui6z_NC2YaxGxdXpmyWP2aOoide</t>
  </si>
  <si>
    <t>home gift</t>
  </si>
  <si>
    <t>Round Personalized Charcuterie Board Set/19pcs Cheese Board And Knife Set, Realtor Closing gift, Custom Charcuterie board, Wedding Gift</t>
  </si>
  <si>
    <t>EuqLmuRY0wVH_cs4vC4rJXVEcW4c</t>
  </si>
  <si>
    <t>buyer looking for a monalisa clip but getting monalisa wall art</t>
  </si>
  <si>
    <t>Hypebeast Mona Lisa Wall Art | Digital Art Download | Digital Download| HypeDecor Poster Print I Street Art I Home Decor Gifts</t>
  </si>
  <si>
    <t>whole cow leather</t>
  </si>
  <si>
    <t>Black Cowhide Leather Vegetable Tanned Full Hide First Grade, Full Grain Thick 5 oz Smooth Leather For Crafting, Full / Half Hide,</t>
  </si>
  <si>
    <t>Eud8TbGch9x3PCLCVT_tqmfRSO3c</t>
  </si>
  <si>
    <t>small stained glass window film green</t>
  </si>
  <si>
    <t>Customize Frosted Stained Glass Films Static Cling Door Sticker Plants Flora Art Elegent Home Window Decor for Bathroom Kitchen Living Room</t>
  </si>
  <si>
    <t>EuaVcc9aPh1dIkVx1hCwl_n4KCe3</t>
  </si>
  <si>
    <t>this is not vinegar oil itself but it is a bottle for vinegar oil</t>
  </si>
  <si>
    <t>essig öl</t>
  </si>
  <si>
    <t>Vinegar oil</t>
  </si>
  <si>
    <t>Glass bottle with cork stopper &amp; vinegar / oil oil bottle</t>
  </si>
  <si>
    <t>EuKkJCqHBJ5-8Wil4ulM36oOiR7c</t>
  </si>
  <si>
    <t>gaze Servietten Hochzeit</t>
  </si>
  <si>
    <t>gauze napkins wedding</t>
  </si>
  <si>
    <t>Wedding Gauze Table Runner Cheesecloth Runner Bridal Shower Party Farm Table Wedding Centerpieces CheeseCloth Napkin Arch Decor Chair Cover</t>
  </si>
  <si>
    <t>Eu0rnblujBs91OoNil8nGC_ztP93</t>
  </si>
  <si>
    <t>it is a floating bedside table but not black</t>
  </si>
  <si>
    <t>Rattan Drawer Floating Nightstand, Modern Bedside Table, Solid Wood Nightstand, Mid Century, Handmade, Wall Mounted, Floating Bedside Shelf</t>
  </si>
  <si>
    <t>this is a general anatomy and physiology manual not specific for piercings</t>
  </si>
  <si>
    <t>beauty piercing manual</t>
  </si>
  <si>
    <t>Anatomy &amp; Physiology Digital Editable Training Manual Guide USA | Beauty Training Resources | Anatomy and Physiology Manual for Teaching</t>
  </si>
  <si>
    <t>EupXOJfLVSpUCyRLJ4cy0aYk_j4c</t>
  </si>
  <si>
    <t>bluffton sc art</t>
  </si>
  <si>
    <t>Handcrafted Bamboo South Carolina Ocean Art Serving Board or Wall art - South Carolina art, South Carolina Gift</t>
  </si>
  <si>
    <t>EuIzK7jP2_qlkx-1Q8CMhRjPoma4</t>
  </si>
  <si>
    <t>doesn't match product type but matches theme</t>
  </si>
  <si>
    <t>playstation hotas stick</t>
  </si>
  <si>
    <t>PLAYSTATION Led Lightbox Sign</t>
  </si>
  <si>
    <t>EulgkyCeWtXdgjv6miAcoMJOx1b7</t>
  </si>
  <si>
    <t>nintendo shadow box</t>
  </si>
  <si>
    <t>The Legend of Zelda Picture Frame GBA/GBC/SNES/N64</t>
  </si>
  <si>
    <t>EuIMx8mSGMxlFOhQknlo6Nm9xZb4</t>
  </si>
  <si>
    <t>once upon a time in hollywood</t>
  </si>
  <si>
    <t>Once Upon A Time in Hollywood Spark Plugs Distressed, BAMArtistry-Shirt</t>
  </si>
  <si>
    <t>EuJrFUxbdIJlvJpx16dyZ39Huydb</t>
  </si>
  <si>
    <t>wedding itenary template</t>
  </si>
  <si>
    <t>Welcome Letter &amp; Timeline Card, Minimalist Wedding Order of Events, Itinerary Card, Edit with TEMPLETT, Instant Download, WLP-SLI 3890</t>
  </si>
  <si>
    <t>EumkyCr0qVTgwuifGASvzNSmmr2b</t>
  </si>
  <si>
    <t>Blue Rebel Robot Magic Band Buddy - Disney MagicBand+ Plus Puck Holder Icon Keeper</t>
  </si>
  <si>
    <t>buyer looking for adidas not nike</t>
  </si>
  <si>
    <t>Adidas bild</t>
  </si>
  <si>
    <t>Adidas picture</t>
  </si>
  <si>
    <t>Nike Sneakerhead Printable Wall Art, Hypebeast Sneaker Poster Set of 3, Minimalist Hypebeast Shoe poster, Travis Scott Jordan 1 poster.</t>
  </si>
  <si>
    <t>EuJWV_2BFNJVi13-OTPsjkAL0hb0</t>
  </si>
  <si>
    <t>trauergeschenk</t>
  </si>
  <si>
    <t>sympathy gift</t>
  </si>
  <si>
    <t>Mourning light memorial light lantern farewell mourning gift death memory personalizable grave decoration grave light engraving with name and date</t>
  </si>
  <si>
    <t>EuaEY2rK-72xUPB70W2j0VzCiIc8</t>
  </si>
  <si>
    <t>this is a cover not an actual bean bag</t>
  </si>
  <si>
    <t>bean bag chair cover, Traditional Beanbag, chairs &amp; ottomans, bean bag chair adult</t>
  </si>
  <si>
    <t>ciondoli</t>
  </si>
  <si>
    <t>pendants</t>
  </si>
  <si>
    <t>Genesa Crystal Natural Purifier Orgone Device in 99% Pure Copper, 16 cm in Diameter, 2 Versions, SYMMETRICAL WEATHER</t>
  </si>
  <si>
    <t>EuZ3Rrd9qU5snxzU1yMUq6T4LZdd</t>
  </si>
  <si>
    <t>prénom bois</t>
  </si>
  <si>
    <t>first name wood</t>
  </si>
  <si>
    <t>Crochet baby rattle with grip ring made of beech wood</t>
  </si>
  <si>
    <t>Euv9u7zmrIn4UQe41Dv6mbyFzq4f</t>
  </si>
  <si>
    <t>16x16 chair cushions</t>
  </si>
  <si>
    <t>Quilted chair cushions / Seat cushions with flowers / Chair pads with ties/ Square chair cushion /Outdoor chair cushion/ cushion with ties</t>
  </si>
  <si>
    <t>EuvpWYUojdoAekYAA-q49d3lHZ16</t>
  </si>
  <si>
    <t>assume buyer is looking for yeti not yet</t>
  </si>
  <si>
    <t>yet stickers</t>
  </si>
  <si>
    <t>Cooler/Ice Chest Decal | Water Resistant Vinyl Stickers</t>
  </si>
  <si>
    <t>EuqMMmgX7cYXRxFEgMTP3VIecrcb</t>
  </si>
  <si>
    <t>not a bobblehead</t>
  </si>
  <si>
    <t>custom bobblehead mountain bike</t>
  </si>
  <si>
    <t>Personalized 3D Wooden Cartoon Bike Racer Figurine Trinket, Christmas Gift, Custom Cartoon Biker Portrait, Birthday Gift, Gift for Her</t>
  </si>
  <si>
    <t>EuT9kNmy4fzHDmGGvnGLsaTv8c93</t>
  </si>
  <si>
    <t>this is a ticket for ibiza</t>
  </si>
  <si>
    <t>Ibiza, Spain  Trip Surprise Gift Ticket - You&amp;#39;re Going to IBIZA - Printable, Flight, Boarding Pass, Editable, Instant, Travel Print</t>
  </si>
  <si>
    <t>this is not crochet</t>
  </si>
  <si>
    <t>crochet kookaburra</t>
  </si>
  <si>
    <t>Lorikeet foundation paper piecing FPP pattern DIGITAL DOWNLOAD A4</t>
  </si>
  <si>
    <t>EuT964tapu5NZWdQX6Nwc2BCi57b</t>
  </si>
  <si>
    <t>baby memory book boy</t>
  </si>
  <si>
    <t>Baby Book |  First Year Baby Book | Baby Memory Book | Baby Gift | Baby Shower Gift | Gender Neutral | Baby Announcement | Pregnancy</t>
  </si>
  <si>
    <t>EuwVWYDiWOfvioTSvZwSXnrixQ00</t>
  </si>
  <si>
    <t>Yuqing Zhang</t>
  </si>
  <si>
    <t>hello sign</t>
  </si>
  <si>
    <t>Welcome To Our Neck Of The Woods SVG, Welcome Sign, Country, Farm, Deer, Outdoors, Cabin, Quote, House Decor, Silhouette Cricut Cut File</t>
  </si>
  <si>
    <t>EuwLy-28sC27PEiBTGLvHmAm1ce6</t>
  </si>
  <si>
    <t>unique photo frames  &amp;quot;the wolf and the pig&amp;quot; &amp;quot;little pig&amp;quot; &amp;quot;little bear&amp;quot; &amp;quot;dog jewelry&amp;quot; 7.5X 5.5 inches</t>
  </si>
  <si>
    <t>pants turquoise</t>
  </si>
  <si>
    <t>this is a DIY</t>
  </si>
  <si>
    <t>doll house siding</t>
  </si>
  <si>
    <t>DOLLHOUSE white SHIPLAP wallpaper Miniature SIDING Printable clapboard Wooden plank Download for 1/12 Shelf insert Book nook Diorama Roombox</t>
  </si>
  <si>
    <t>EumTimWDyAwvioO3KmmmNwqWPZ29</t>
  </si>
  <si>
    <t>disco ball party</t>
  </si>
  <si>
    <t>Personalised Disco Party Invitations Purple Disco Ball Girls invites</t>
  </si>
  <si>
    <t>EuAjMqyKppOGp8hR5aKFdkcFeed9</t>
  </si>
  <si>
    <t>these are earrings</t>
  </si>
  <si>
    <t>fern resin necklace</t>
  </si>
  <si>
    <t>Handmade Real Fern Leves Earrings,  Pressed Leaves Earrings, Resin Fern Leaf Earrings, Natural Jewellry, Christmas Birthday Gifts For Women</t>
  </si>
  <si>
    <t>EujVa1pPnYkGZp0SLnxPS3-63V1d</t>
  </si>
  <si>
    <t>bob esponja invitacion</t>
  </si>
  <si>
    <t>spongebob invitation</t>
  </si>
  <si>
    <t>Superhero Cartoon Portrait, Kids Cartoon portrait,  Custom Cartoon portrait, Gift for kids, Birthday Fun Gift, Birthday ideas, Digital File</t>
  </si>
  <si>
    <t>EuVRsjDTrAYe5E7WsECe-diwMwd0</t>
  </si>
  <si>
    <t>bonvon</t>
  </si>
  <si>
    <t>bonbon</t>
  </si>
  <si>
    <t>Bon Bon Earrings. Ball drop earrings. Bonbons earrings. White color ball drop earrings, Beads dangle earrings with four crochet balls</t>
  </si>
  <si>
    <t>EuHkh2tpMYw809P34zqUx1C5cEb4</t>
  </si>
  <si>
    <t>pottery jug</t>
  </si>
  <si>
    <t>Stoneware Embossed Jug - Goose, Cow or Chicken</t>
  </si>
  <si>
    <t>Eu76SjgFWJeNBVAOW8lwyZqLCc87</t>
  </si>
  <si>
    <t>this is not exclusively a gratitude journal but it allows for it</t>
  </si>
  <si>
    <t>diario de gratitud</t>
  </si>
  <si>
    <t>gratitude journal</t>
  </si>
  <si>
    <t>All-in-One Digital Planner 2024, 2025, 2026, Undated Digital Planner, Digital Journal, Digital Goodnotes Template, Notability, Daily Planner</t>
  </si>
  <si>
    <t>EuVJNhsFzeQjPc1LbJs9n8Aojhf4</t>
  </si>
  <si>
    <t>engagement rings</t>
  </si>
  <si>
    <t>2.0 CT Radiant Cut Moissanite Halo Engagement Ring/14K Solid White Gold Ring Wedding Anniversary Gift/925 Sterling Silver Ring/Proposal Ring</t>
  </si>
  <si>
    <t>Eux549B2vFZlRFGBVaOtMph5k95e</t>
  </si>
  <si>
    <t>Set of 10 high-quality flower embroidery Korean traditional double-sided hand mirrors</t>
  </si>
  <si>
    <t>this has nothing to do with d&amp;d</t>
  </si>
  <si>
    <t>d &amp; d stained glass png</t>
  </si>
  <si>
    <t>Faux Stained Glass Patriotic American Flag Sublimation Design - July 4th Wreath Sign - Door Hanger - Printable - Download - Commercial Use</t>
  </si>
  <si>
    <t>EuuomExYs5kudZgBv1hye6oIIb1c</t>
  </si>
  <si>
    <t>custom handstamped keychain</t>
  </si>
  <si>
    <t>Photo Keychain, PU Leather Keychain, Car Accessories For Him, Personalized Photo Gift, Anniversary Gift For Boyfriend, For Husband, For Men</t>
  </si>
  <si>
    <t>Eu-MtdcOdi9KdWsxZy3IIZEL6s88</t>
  </si>
  <si>
    <t>friends pencil case</t>
  </si>
  <si>
    <t>Pencil Case  Storage Bag Canvas Makeup Bag  friends  friends themed  name/ personalised/ cosmetic</t>
  </si>
  <si>
    <t>EuEiUNsZ4jOOngGgJ9TGaqsdpd20</t>
  </si>
  <si>
    <t>crystal rings for women</t>
  </si>
  <si>
    <t>Gemstone Ring, statement ring irregular chunky gemstone ring, amber ring, 18k gold filled ring, natural gemstone ring, thick gold band agate</t>
  </si>
  <si>
    <t>EuzwWxvOGScA0rVcC5kd3I5BGfb8</t>
  </si>
  <si>
    <t>not a blanket and also not ponyo. but spirited away is tangentially related.</t>
  </si>
  <si>
    <t>ponyo blanket</t>
  </si>
  <si>
    <t>Studio Ghibli Spirited Away Poster Print Haku in the clouds Borderless Print Gift Idea Framed or Unframed</t>
  </si>
  <si>
    <t>EuLDbjLVLyToQQngkFIC2T8Ni2c1</t>
  </si>
  <si>
    <t>related to sza but not a poster</t>
  </si>
  <si>
    <t>sza poster</t>
  </si>
  <si>
    <t>SZA - CTRL T-shirt, sza Graphic Tee, sza Merch, Rap Shirt, SOS, sza unisex gift, Concert T Shirt, Rap Unisex</t>
  </si>
  <si>
    <t>EuU57AjjUvPHW5cnQG7_T7EPcl4c</t>
  </si>
  <si>
    <t>logo R300</t>
  </si>
  <si>
    <t>R300 logo</t>
  </si>
  <si>
    <t>Motorcycle car stickers smax nmax xmax tmax nvx r1 r3 r6 r7 r15 r25 decals Vinyl Material for yamaha</t>
  </si>
  <si>
    <t>Eu5EDdHf9cx304iu67_tohDrBb63</t>
  </si>
  <si>
    <t>Chinese  lingerie</t>
  </si>
  <si>
    <t>long black draped dress with hood - fishnet fabric - faux leather belt - o rings and harness chains - gothic fashion - MADE TO ORDER</t>
  </si>
  <si>
    <t>EuV1fSfIJ9EpG4BxweQ-Skquxv0a</t>
  </si>
  <si>
    <t>oak not mentioned anywhere in the listing</t>
  </si>
  <si>
    <t>carved oak side table</t>
  </si>
  <si>
    <t>Side Table | Modern Accent Table | Scandi Wood Bedside Table</t>
  </si>
  <si>
    <t>EuITEKLFzswmj7wFF6cMMCi5Jcde</t>
  </si>
  <si>
    <t>islam</t>
  </si>
  <si>
    <t>Islam</t>
  </si>
  <si>
    <t>Silver Mens Handmade Ring, Islamic Jewelry, Turkish Silver Man Ring, Ottoman Mens Ring, Gift for Him, 925k Sterling Silver Ring, Muslim Ring</t>
  </si>
  <si>
    <t>Euh5ygNw-TbCJNV7aPgOxwBUhy07</t>
  </si>
  <si>
    <t>personalized gifts for women</t>
  </si>
  <si>
    <t>You Choose Candle Message| Spa Box for Women| Personalized Gift</t>
  </si>
  <si>
    <t>Eu5aDy35bMoJTaF191l86tOsw-ba</t>
  </si>
  <si>
    <t>fun facts 1974 belgie</t>
  </si>
  <si>
    <t>fun facts 1974 belgium</t>
  </si>
  <si>
    <t>Birthday Newspaper | Back In The year They Were Born | Birthday Sign | Born In Any Year | Birthday Party Decor | Unique Birthday Ideas</t>
  </si>
  <si>
    <t>EuU7unOBSnmN8Vylz8ttIxlL96c9</t>
  </si>
  <si>
    <t>buyer likely looking for beast ring from elder ring</t>
  </si>
  <si>
    <t>Diamond Cluster Engagement Ring Split Shank Ring 0.48 ct Diamond 14k white gold</t>
  </si>
  <si>
    <t>wife hubby shirt</t>
  </si>
  <si>
    <t>Wifey est 2024, Hubby est 2023, Bridal Shower Gift, Engagement Gift, Gift for Bride, Gift for Fiance, Wedding Gift</t>
  </si>
  <si>
    <t>EunzkURPmKrBiHi39uy2y6pB51b0</t>
  </si>
  <si>
    <t>minnie urn</t>
  </si>
  <si>
    <t>Violet Angel Mini Keepsake Urn - Love Charms® Option</t>
  </si>
  <si>
    <t>EuSkIJyD3Z9hdvunHAna0V5r9k7d</t>
  </si>
  <si>
    <t>handmade gift</t>
  </si>
  <si>
    <t>The Geo Feeder | Geometric Window Hummingbird Feeder | Sweet Feeders | Copper | Aluminum | Modern | Home Decor | Glass Bottle | Suction Cup</t>
  </si>
  <si>
    <t>EuwEfYYAKAvboTX7tbMOkU1pOw64</t>
  </si>
  <si>
    <t>buyer probably looking for a jersey not a poster</t>
  </si>
  <si>
    <t>Lamine Yamal Poster Football Print Custom Football Wall Art Spain Fan Gift</t>
  </si>
  <si>
    <t>NEW ‣ 20G/18G/16G Tiny Sparkle Star Threadless Push Pin Labret Stud • Sparkle Star Cartilage earring • Tragus/Conch • FlatBack Earrings</t>
  </si>
  <si>
    <t>wrong product type</t>
  </si>
  <si>
    <t>studio ghibli mug jiji</t>
  </si>
  <si>
    <t>Kiki&amp;#39;s Delivery Service Inspired Kiki and Jiji Unisex Sweatshirt</t>
  </si>
  <si>
    <t>EuCZiK7UzLTXziYNFjEauZDDcI7f</t>
  </si>
  <si>
    <t>seems like a search for actress kajol</t>
  </si>
  <si>
    <t>kajol</t>
  </si>
  <si>
    <t>DDLJ Tshirt, Dilwale dulhania le jayenge Tshirt, Srk Shirt, Shahrukh Khan tshirt, Bollywood tshirt, Desi Indian tshirt</t>
  </si>
  <si>
    <t>EuWmCFch8_Kyj4yvApEKS9E9_6e4</t>
  </si>
  <si>
    <t>Fck Around And Find Out, Sarcastic Funny SVG, Wine Glass SVG, Funny SVG, Instant Download, Cricut Cut File, Fuck Around and Find Out Svg Png</t>
  </si>
  <si>
    <t>Eut0b-LHGxv7X9atpxpX1MuBKZed</t>
  </si>
  <si>
    <t>That&amp;#39;s where I find God Unisex Jersey Short Sleeve Tee</t>
  </si>
  <si>
    <t>EudLpv1nbMFhH1_eaDS7XuH1Jy8c</t>
  </si>
  <si>
    <t>Mobile folding wine table also suitable for champagne bottles, gift idea, outdoor wine table, portable, wood</t>
  </si>
  <si>
    <t>Fruity European Summer Collage Phone Case, La Dolce Vita, Spring Summer Themed, Cute &amp; Trendy Cover, iPhone 15 14 13 12 11 Pro Max 8 Plus X</t>
  </si>
  <si>
    <t>this is the deadpool sword, not guns</t>
  </si>
  <si>
    <t>PISTOLE ORO DEADPOOL</t>
  </si>
  <si>
    <t>DEADPOOL GOLD GUNS</t>
  </si>
  <si>
    <t>BEA &amp; ARTHUR Deadpool&amp;#39;s Katanas - 3D Printed Collapsible Sword Replica</t>
  </si>
  <si>
    <t>Eu-0o4e9dpZNcSzPZzNUXqfF4Q4e</t>
  </si>
  <si>
    <t>nudit</t>
  </si>
  <si>
    <t>Slightly imperfect Farm Girl signed 2024 calendar. Signed on the back cover.</t>
  </si>
  <si>
    <t>Eu8iqBM5o0CSx59BStDDleD6uD07</t>
  </si>
  <si>
    <t>ventaglio bambu uomo</t>
  </si>
  <si>
    <t>man's bamboo fan</t>
  </si>
  <si>
    <t>Records Vinyl Socks Music Lover - Men&amp;#39;s Bamboo Novelty Socks by Smiling Faces</t>
  </si>
  <si>
    <t>Eu6BS8CdQxPdrtTADPwYWuQarF5e</t>
  </si>
  <si>
    <t>buyer searched for assistant principal not principal</t>
  </si>
  <si>
    <t>valentines day shirt assistant principal</t>
  </si>
  <si>
    <t>Principal To The Cutest Sweethearts Shirt / Valentine Shirt / Cutest Sweethearts shirt / Valentine Principal shirt / Principal Valentine</t>
  </si>
  <si>
    <t>EuNg1pufvd-VgY8pMU5erXvDZ8d6</t>
  </si>
  <si>
    <t>trakers budget</t>
  </si>
  <si>
    <t>budget trakers</t>
  </si>
  <si>
    <t>CUSTOMIZABLE 10 title sheets budget envelopes binder + 10 budget trackers - Ready to print</t>
  </si>
  <si>
    <t>EuUpt7NOE_RGRKfClkMutLVLdo58</t>
  </si>
  <si>
    <t>buyer looking for changing table not changing mat</t>
  </si>
  <si>
    <t>wickeltisch</t>
  </si>
  <si>
    <t>changing table</t>
  </si>
  <si>
    <t>Changing mat changing table mat Ökotex Standard 100 organic cotton light beige corduroy terry cloth</t>
  </si>
  <si>
    <t>EuyKYcVsJH43RI1imCXjj3o-qs88</t>
  </si>
  <si>
    <t>Birthstone Necklace, Personalized Necklace, Birthstone Jewelry, Birthday Gift, Bridesmaid Gift, Sister Gift, BFF Gift, Gift for Her</t>
  </si>
  <si>
    <t>Eu_btmtZ_H__zzgEo04aBkt1m1c3</t>
  </si>
  <si>
    <t>these are pokemon stickers not pokemon cards</t>
  </si>
  <si>
    <t>pokemone japanese cards</t>
  </si>
  <si>
    <t>Johto Classics Mini Stickers + SHINY Set of 25 Generation Two Glossy Vinyl Stickers Meganium Typhlosion Feraligatr Suicune Lugia + more</t>
  </si>
  <si>
    <t>EuiJ9HCs4BHfq1src_VACyzGO366</t>
  </si>
  <si>
    <t>depop google sheets</t>
  </si>
  <si>
    <t>Simple Bucket Budget Spreadsheet - Google Sheets Instant Download</t>
  </si>
  <si>
    <t>EuVOC23TLB5Hk4WPIhIKUuU1k312</t>
  </si>
  <si>
    <t>william and mary antique furniture</t>
  </si>
  <si>
    <t>Antique Arts &amp;amp; Crafts Oak Hall Console Desk Table</t>
  </si>
  <si>
    <t>EuSAtqm3n1wyMGx6esWIKoXhRs8c</t>
  </si>
  <si>
    <t>Bottle opener brass fish, crown cap opener, crown cork opener, capsule lifter, crown cap lifter, fish shape, metal opener</t>
  </si>
  <si>
    <t>personalized romper women</t>
  </si>
  <si>
    <t>Auntie Bean and Auntie&amp;#39;s Lil Bean Sweatshirt, Auntie Me Sweatshirts, Aunt Sweatshirt, Aunt Niece Shirts, Best Gifts for Aunt, Aunt Nephew</t>
  </si>
  <si>
    <t>EunPSyrsCgpcpejJCEJBTB3bWIf9</t>
  </si>
  <si>
    <t>wooden name puzzle</t>
  </si>
  <si>
    <t>Personalized Gift Wooden Name Puzzle 1st Birthday name puzzle baby gift Easter  Gifts for kids baby shower gift first birthday gift girl</t>
  </si>
  <si>
    <t>Eu52-3l3GgL2nR22GoaMyLo1QCbc</t>
  </si>
  <si>
    <t>shell jewelry</t>
  </si>
  <si>
    <t>Gold/Silver Pearl Under the Sea Necklace | Unique Pearl Jewelry | Mother of Pearl Necklace | Elegant Statement Piece | Bridal Pearl Necklace</t>
  </si>
  <si>
    <t>EuJtSmv2YuXJk8CZX_wEY3zBUae2</t>
  </si>
  <si>
    <t>gamer gifts</t>
  </si>
  <si>
    <t>Personalized Peanut Butter Spoon, Custom Engraved Spoon, Peanut Butter Spoon, Teen Boy Gift, 21st Birthday gifts, Gift For Her, Gift For Him</t>
  </si>
  <si>
    <t>EuqkvbcTgfa8BkVzradvRFR34wac</t>
  </si>
  <si>
    <t>spieltisch Outdoor</t>
  </si>
  <si>
    <t>outdoor game table</t>
  </si>
  <si>
    <t>Chess design chair handwoven chair for chess table</t>
  </si>
  <si>
    <t>Eunrb27CUgcaJ5i5mok1zIkAdU64</t>
  </si>
  <si>
    <t>sword</t>
  </si>
  <si>
    <t>Functional sharp Hand Forged Viking Sword with Personalized engraved wooden box Birthday gift for Men or Women, Wedding Anniversary Gift</t>
  </si>
  <si>
    <t>EuNPgqUOrOIxWCUUOG6WvnQess08</t>
  </si>
  <si>
    <t>this is the doorbell</t>
  </si>
  <si>
    <t>Please do not ring the door bell, do not knock sign, dogs will bark, working from home, babies sleeping, door sign, farmhouse, custom sign</t>
  </si>
  <si>
    <t>EuFAbx6LKmfRMKLqVQMKAeXV6e25</t>
  </si>
  <si>
    <t>candle warmer</t>
  </si>
  <si>
    <t>Electric Candle Warmer With Timer, Wedding Decoration, Aroma Lamp, Warm Light, Bedside Lamp</t>
  </si>
  <si>
    <t>Eufvz-nTkA9_18fSaynrBDK_nK22</t>
  </si>
  <si>
    <t>fullcupwood works</t>
  </si>
  <si>
    <t>Redline K9 Biothane All Weather Long Line Black (3/8&amp;quot; x 33&amp;#39;)</t>
  </si>
  <si>
    <t>EunzBWqHt6xM8Fm-a1M09awFsCe7</t>
  </si>
  <si>
    <t>kitten heels</t>
  </si>
  <si>
    <t>Light Blue Crochet Lace Pointy Toe Wedding Low Heels with Wrapped Ankle Tie, Bridal Shoes, Bridal Low Heels, Kitten Heels</t>
  </si>
  <si>
    <t>EuINAivPUDfsFO7v4rMbW5YdXv60</t>
  </si>
  <si>
    <t>umrah</t>
  </si>
  <si>
    <t>Personalized Islamic Stationery: Arabic Name &amp; Hijabi Notebook, muslim journal, Dua Journal</t>
  </si>
  <si>
    <t>Eu0H176h2a1iIipcAelnlJDlNY50</t>
  </si>
  <si>
    <t>labradorite bracelet</t>
  </si>
  <si>
    <t>Labradorite leather cuff</t>
  </si>
  <si>
    <t>Eutc-ZS4Tc_HSUscnFcqSqRHE458</t>
  </si>
  <si>
    <t>kersmik kugel wand</t>
  </si>
  <si>
    <t>ceramic ball wall</t>
  </si>
  <si>
    <t>3 Coat hooks-wall hooks for functional home decor. Zen Garden exclusive collection of 3 hand painted ceramic hooks . 4.5 by 2 inches.</t>
  </si>
  <si>
    <t>Euy_GUcU5QTjXAm4gRUJhm8YMz48</t>
  </si>
  <si>
    <t>rowe bag</t>
  </si>
  <si>
    <t>Women Half Moon Chest Bag ,Designer Crossbody Bags , PU Leather Shoulder Bags ,Handbag Charms, ,Aesthetic Tote Bag , Small Leather Bag,</t>
  </si>
  <si>
    <t>EuGhmOyarDdES-6t_lSQt4yF01b1</t>
  </si>
  <si>
    <t>pink striped scarf</t>
  </si>
  <si>
    <t>Hand Knitted Children&amp;#39;s Scarf</t>
  </si>
  <si>
    <t>EuG1TlcwuiX46HYHmxGxdjUhhnde</t>
  </si>
  <si>
    <t>80s wood necklace</t>
  </si>
  <si>
    <t>Wood Jewelry - Ombre Wood Necklace, Laser Cut Jewelry, Gift Women, Natural Jewelry, Wood Pendant, Small Wood Necklace</t>
  </si>
  <si>
    <t>EuGo6xfUwwQKlIR9oTseKwpMG907</t>
  </si>
  <si>
    <t>handwritten greeting card original modern calligraphy thank you love congratulations handlettering pen ink customizable handlettering</t>
  </si>
  <si>
    <t>Personalised Bunny Rabbit, New Baby Gift, Personalised Plush Soft Toy, Your Name Teddy, Cuddly Toy, Girls and Boys Teddy Baby Shower Gift</t>
  </si>
  <si>
    <t>EuMbAYrPQboD98ICpYwokwu8BM75</t>
  </si>
  <si>
    <t>Custom Cookie Cutter Jungle, Custom Fondant, Customise with first name</t>
  </si>
  <si>
    <t>60th birthday gifts for her</t>
  </si>
  <si>
    <t>60th Birthday Gift for Women, 60th Bracelet, Milestone Birthday Gifts for Her</t>
  </si>
  <si>
    <t>Eu0zIiWcqYgQIEnDwbYKKSorpNb5</t>
  </si>
  <si>
    <t>not customizable</t>
  </si>
  <si>
    <t>custom womens clothing</t>
  </si>
  <si>
    <t>Rings of Saturn Planet Off the Shoulder Shirt, Fashion Gift for Her, Sustainable Clothing Bamboo Organic Cotton Top, Slouchy Fit Gray Blouse</t>
  </si>
  <si>
    <t>EuHY2mB5KibM8HbUv_dDzCxzNg5b</t>
  </si>
  <si>
    <t>traumfänger</t>
  </si>
  <si>
    <t>dreamcatcher</t>
  </si>
  <si>
    <t>Dream catcher, size L, dream catcher &amp;quot;white dream&amp;quot;, crocheted, white feathers, wooden beads, white edge.</t>
  </si>
  <si>
    <t>EuyfJ7KYi909dhHEMRwOLCmBxa27</t>
  </si>
  <si>
    <t>this is jewelry but buyer is looking for brand mango which is likely not sold on etsy. i would say this is irrelevant since it is not close to the style mango offers.</t>
  </si>
  <si>
    <t>mango jewellery</t>
  </si>
  <si>
    <t>Wooden Sunflower earrings</t>
  </si>
  <si>
    <t>EugYpnQhNCg_auylFdg-Ax4kdB3d</t>
  </si>
  <si>
    <t>Porsche sticker for Thrustmaster Ferrari SF1000 steering wheel - Add-On F1 - Fanatec Podium / CSL McLaren - SIMAGIC - Moza GS</t>
  </si>
  <si>
    <t>polymer clay cutters</t>
  </si>
  <si>
    <t>Heart Clay Cutter Bundle | Heart Polymer Clay Cutter Bundle Set Polymer Clay Heart Cutter Valentine’s Day Clay Micro Cutter Heart Shaped Set</t>
  </si>
  <si>
    <t>EudJE3YDPdxwZCGFOr7AgXLbrYee</t>
  </si>
  <si>
    <t>Beige Wasserabweisende Wickelauflage Libelle, Baby changing mat with Dragonfly, Water repellent changing pad</t>
  </si>
  <si>
    <t>EunXz0v91uhrJ3eG4tQQFFqTM-59</t>
  </si>
  <si>
    <t>1000+ Premiere Pro Transitions Bundle Pack 2024, Easy Drag &amp; Drop, Motion Design Presets, Transitions Effects, Glitch Effects, Resizable</t>
  </si>
  <si>
    <t>this probably doesn't qualify as sustainable</t>
  </si>
  <si>
    <t>sustainable bookcases</t>
  </si>
  <si>
    <t>Rustic Bookcase Unique Bookshelf Tree Bookcase Wood Bookshelf for Living Room Book Case Reading Corner Book Shelf Freestanding Display Unit</t>
  </si>
  <si>
    <t>EuKiO2JAa7rRicTr3uTc0mdFU11d</t>
  </si>
  <si>
    <t>poster xxl carte du monde animaux</t>
  </si>
  <si>
    <t>poster xxl world map animals</t>
  </si>
  <si>
    <t xml:space="preserve">ENGLISH VERSION  - World Map Poster | World Map Wall Art 50x70 cm | Nursery Art | Illustrated Poster | Kids Room | World Map for Children | </t>
  </si>
  <si>
    <t>EuHoCAoOqIA1qk96xYbxTU3THx40</t>
  </si>
  <si>
    <t>Custom Anime Air Force 1’s (Goku x Vegeta)</t>
  </si>
  <si>
    <t>black madonna</t>
  </si>
  <si>
    <t>Mary Magdalene &amp; the Risen Christ</t>
  </si>
  <si>
    <t>EuY-vUO22zu4zHGTAVs4uZ4XcE31</t>
  </si>
  <si>
    <t>blue thistle gift</t>
  </si>
  <si>
    <t>Vintage cobalt blue small pressed glass basket - hearts and thistle pattern - Adorable!</t>
  </si>
  <si>
    <t>Euryg9ehwwI66u6O1ffkAWX-Hv61</t>
  </si>
  <si>
    <t>ivanka studio</t>
  </si>
  <si>
    <t>Mother and Child Painting, Nursing Mother, Vintage Nursery Print, Mother Portrait Painting, Mother Feeding Her Baby, Motherhood</t>
  </si>
  <si>
    <t>EuGz8aQ2Se2ZSIYe-6IWUmfiu3e6</t>
  </si>
  <si>
    <t>i'm guessing the buyer is referring to actual birdcages, not birdcage design of bridcal caps</t>
  </si>
  <si>
    <t>birdcages</t>
  </si>
  <si>
    <t>Elegant Bridal Cap Headpiece with birdcage veil - Half Hat Style Wedding 1950s wedding hat - 1940s wedding headpiece- Bridal hat with leaves</t>
  </si>
  <si>
    <t>EuFhO3bH6iylhrqJloGga3m_df66</t>
  </si>
  <si>
    <t>matches sexy but not puzzle</t>
  </si>
  <si>
    <t>sexy puzzles</t>
  </si>
  <si>
    <t>Lesbian, Gay, LGBT, Vintage, Retro, Pulp Art Poker cards, Playing Cards, Unique, Full deck. Gift, Girlfriend. Gay Pride</t>
  </si>
  <si>
    <t>Euxx1_DbM6Ycwr4EGrtJvWQ0cY99</t>
  </si>
  <si>
    <t>for aquariums but these aren't statues</t>
  </si>
  <si>
    <t>aquarium statue</t>
  </si>
  <si>
    <t>Aquarium Hex Walls | Create an adventure zone for your fish, shrimp, pleco etc | Aquascape</t>
  </si>
  <si>
    <t>Eu0d9TsA0-nb7E8YILBUjL_2Bte6</t>
  </si>
  <si>
    <t>different heart svg</t>
  </si>
  <si>
    <t>Heart Svg Bundle, Heart Svg, Hand Drawn Heart svg, Open Heart Svg, Doodle Heart Svg, Sketch Heart Svg, Love Svg,Valentine Svg,Cricut,Png,</t>
  </si>
  <si>
    <t>Euk4ySQcYBY_jfh6TxayJiDXoI94</t>
  </si>
  <si>
    <t>iphone 12 pro max case</t>
  </si>
  <si>
    <t>STUNNING! Opal iPhone Case for iPhone 14 Case, 14 Pro Max, 12, 13 Pro, 12 Pro Max, 11 Pro Max Case - 6 Foot Drop Protection CUTE iPhone Case</t>
  </si>
  <si>
    <t>EuyQAfzGBfTldJbRsxdLl21Sa4a2</t>
  </si>
  <si>
    <t>20 digital paper  mockup</t>
  </si>
  <si>
    <t>Wrapping paper mockup on wooden background, Folded Fabrics Mockup, SeamLess Patterns mockup, Elegant wrapping paper mockup Psd and Jpg</t>
  </si>
  <si>
    <t>Eul0lL7Vho4HiJCX4mtWOODOMgfd</t>
  </si>
  <si>
    <t>although this is harry potter themed, buyer is looking for a specific quote that is not on the item</t>
  </si>
  <si>
    <t>i solemnly swear that i am up to no good svg</t>
  </si>
  <si>
    <t>Potter Glasses / silhouette / HP wizard world PNG SVG digital download instant</t>
  </si>
  <si>
    <t>EujhUjGbByxlXkdzSqJ0dlZJiq8d</t>
  </si>
  <si>
    <t>Segreta by Emmanuel Schmitt Blue White Striped Shirt with Cocker Spaniel Dog Patches Gift for Dog Lover</t>
  </si>
  <si>
    <t>EutaaqRH0xA1Ru25ykVYJh12jpd6</t>
  </si>
  <si>
    <t>this is 1966 pontiac and not a blanket</t>
  </si>
  <si>
    <t>1967 gto blanket</t>
  </si>
  <si>
    <t>1966 Pontiac GTO Back View Silhouette T Shirt</t>
  </si>
  <si>
    <t>EuwsKHXR2CxCKp3z5Q6aNKAoIY9e</t>
  </si>
  <si>
    <t>dungeons and dragons</t>
  </si>
  <si>
    <t>DnD 5e Dragon Character Sheet / Fillable PDF Digital Download / Dungeon and Dragons gifts / Fantasy GM Gift</t>
  </si>
  <si>
    <t>EuoONh6PVzdtTD2qgQNtVliv7y86</t>
  </si>
  <si>
    <t>bluey</t>
  </si>
  <si>
    <t>230 Bluee-y Premium Png-Svg Mega Bundle design Font Ble-ey Birthday Png Blu-ey Font Cut Files for Cricut Silhouette Sublimation Designs</t>
  </si>
  <si>
    <t>EuweB36J3VvIzljdwUCLvot6Jte2</t>
  </si>
  <si>
    <t>Yu-Gi-Oh Card Uria Toon Lord Searing Flames Holographic V ANG</t>
  </si>
  <si>
    <t>Natural Cotton Yoga Pants | Flexible Waistband | Natural Fabric | Lightweight and Perfect for Warm Days and Cool Fall Nights</t>
  </si>
  <si>
    <t>orecchini in titanio</t>
  </si>
  <si>
    <t>titanium earrings</t>
  </si>
  <si>
    <t>16G Titanium CZ Internally Threaded Studs/Monroe/Tragus Stud/Labret Stud/Cartilage Earring/Stud Earrings/Nose Stud/Conch Stud/Lobe Studs</t>
  </si>
  <si>
    <t>EupflULKTBG1_-3tIgHglcjiCoc9</t>
  </si>
  <si>
    <t>pampas grasses are a type of plant</t>
  </si>
  <si>
    <t>pampas grasses</t>
  </si>
  <si>
    <t>Espresso Martini Candle</t>
  </si>
  <si>
    <t>EuRGml2CNWkocjrU6uYcv8-yI-3c</t>
  </si>
  <si>
    <t>wedding bra</t>
  </si>
  <si>
    <t>Jogger Honeymoon Set, Mrs. Quarter Zip, Mr. Quarter Zip, Newly Married Set, Honeymoon Outfit, Mr. and Mrs. Joggers. Bridal Gift.</t>
  </si>
  <si>
    <t>Eu_jaxxY4ZTIQq7_56gienmS_Cbb</t>
  </si>
  <si>
    <t>gold filled lira</t>
  </si>
  <si>
    <t>Hanging Earrings, 24k Dubai Gold Filled Coin Earrings, Coin Earrings, Arab Jewelry Earrings, Earrings</t>
  </si>
  <si>
    <t>EuKOsBHQjMqwrQBIb0VpWI4q7C34</t>
  </si>
  <si>
    <t>Wooden Cupcake Topper For Weddings Or Engagements - Cake Topper - Party Decoration - Wedding Favours - Engagement Rings Cupcake Topper</t>
  </si>
  <si>
    <t>EuZKgVbH5a0pznIh08mNVAB4AZ5c</t>
  </si>
  <si>
    <t>be curious not judgemental print</t>
  </si>
  <si>
    <t>Keely Jones and Rebecca Welton Sticker</t>
  </si>
  <si>
    <t>EujHxdH1EBfr0iunfLijEAmmHEe9</t>
  </si>
  <si>
    <t>this is likely referrring to lisboa from brand rosarios 4 which is a yarn</t>
  </si>
  <si>
    <t>lisboa rosarios 4</t>
  </si>
  <si>
    <t>Lisbon Watercolor Digital Stickers for Goodnotes, Lisbon Digital clipart, Lisbon Diary, Portugal Digital Planning, Lisbon Journal Stickers</t>
  </si>
  <si>
    <t>EuQQYoFPkVTQIh86Kb68U-3tKIa7</t>
  </si>
  <si>
    <t>cat scratcher uk</t>
  </si>
  <si>
    <t>Cat Basket Wall Mounted Cat Bed, Cat Bed Cave, Cat Wall Furniture, Cat Wall Play Furniture, Cat Perch, Cat Owner Gift New Home Gift CatsMode</t>
  </si>
  <si>
    <t>EuJA2j0YFH4EZ8Plv4hS-Z6Gwva3</t>
  </si>
  <si>
    <t>related to stray kids</t>
  </si>
  <si>
    <t>stray kids album</t>
  </si>
  <si>
    <t>Stray Kids Bias Hoodie</t>
  </si>
  <si>
    <t>Eui2E2lQ1T6Nvu4B0upRhg8VmF93</t>
  </si>
  <si>
    <t>dänemark</t>
  </si>
  <si>
    <t>Denmark</t>
  </si>
  <si>
    <t>Toiletry bag, cosmetic bag, Denmark, anchor, maritime</t>
  </si>
  <si>
    <t>Eu5gjSNysm1c9qKgzxRL9-PxxH6f</t>
  </si>
  <si>
    <t>Personalised Lucky Basketball Socks - Personalised with Your Name for a Winning look - Perfect Gift for Basketball Fans and Players - NBA</t>
  </si>
  <si>
    <t>sugar amethyst</t>
  </si>
  <si>
    <t>Sparkly Pink Amethyst Sphere (extra rich and sparkly)</t>
  </si>
  <si>
    <t>Eu7_FCAvDmhS7phWJtMVVkOh9gf8</t>
  </si>
  <si>
    <t>botão de volume de teclado</t>
  </si>
  <si>
    <t>keyboard volume button</t>
  </si>
  <si>
    <t>Uniqlo x Ines De La Fressange Jacket</t>
  </si>
  <si>
    <t>Eu343zkq6rVPjoRi5MONK6xwoCa1</t>
  </si>
  <si>
    <t>wall art living room</t>
  </si>
  <si>
    <t>Large Yarn Wall Art, Modern Macrame Wall Hanging, Fiber Wall Art, Boho Office Decor, Housewarming Gifts, Handmade Gift, Mid Century Home V28</t>
  </si>
  <si>
    <t>EuIcZtUdYvmk7qFNvqa-tc88kNc6</t>
  </si>
  <si>
    <t>buyer is probably looking for flipper zero device</t>
  </si>
  <si>
    <t>flipper zero</t>
  </si>
  <si>
    <t>Computer hacker. Cut files for Cricut. Clip Art silhouettes (eps, svg, pdf, png, dxf, jpeg).</t>
  </si>
  <si>
    <t>EucFveYGRwtpzFlJATznm3rz19da</t>
  </si>
  <si>
    <t>cotton satin pajamas bridesmaid</t>
  </si>
  <si>
    <t>Bridesmaid Silky Pajamas | Personalized Pajama Short Set | Bridesmaid Proposal | Getting Ready Pajama | Gifts for Mother of Bride</t>
  </si>
  <si>
    <t>EuJ0CyW-49eE_tZg6emmOX_ykq56</t>
  </si>
  <si>
    <t>scp</t>
  </si>
  <si>
    <t>SCP-096 17&amp;quot; Shy Guy Large toy Monster Plush Toy Protection Amulet</t>
  </si>
  <si>
    <t>EuD0NoJiRPbLPt1k0JuOIKWEqe23</t>
  </si>
  <si>
    <t>not sure what a boar school is</t>
  </si>
  <si>
    <t>Wild Boar Pewter Keyring with Gift Pouch</t>
  </si>
  <si>
    <t>pennsylvania railroad locomotive sticker</t>
  </si>
  <si>
    <t>Pennsylvania Railroad Logo Wood Plaque / Sign</t>
  </si>
  <si>
    <t>Eu1tduBl4XKI3oPGWHf5PGO1xi5e</t>
  </si>
  <si>
    <t>herramientas carpinteria</t>
  </si>
  <si>
    <t>carpentry tools</t>
  </si>
  <si>
    <t>HEXAGONAL RULER 2.0 | Redefine Your Sketch Tool |Black Ruler | stationery |Drawing Draft | Craft Tool |metal</t>
  </si>
  <si>
    <t>Eu-HmoHqKL-LoBQZsnoBmS4-Md37</t>
  </si>
  <si>
    <t>not blue glitter</t>
  </si>
  <si>
    <t>abendtasche blau glitzer</t>
  </si>
  <si>
    <t>evening bag blue glitter</t>
  </si>
  <si>
    <t>Silver Sparkly Crystal Diamond Top Handle Embellished Evening Clutch Bag</t>
  </si>
  <si>
    <t>Eu1VSvfajn6XfZC280O0s0VF7hf9</t>
  </si>
  <si>
    <t>college school supplies</t>
  </si>
  <si>
    <t>Personalized Vinyl Record with Photo - Acrylic Song Plaque - Anniversary Gift for Friends - Birthday Gift for Her Him - Christmas Gifts</t>
  </si>
  <si>
    <t>Eu1ciETe9ixV56B5zrlrmZZ2sZ35</t>
  </si>
  <si>
    <t>bonburtonsupply</t>
  </si>
  <si>
    <t>Pack of 100ml Cardboard Cosmetic Shaker Tubes - Biodegradable Eco-Friendly Tubes</t>
  </si>
  <si>
    <t>Euf9aKEHaIlwekdH3485yYOoFx17</t>
  </si>
  <si>
    <t>this is an accessory</t>
  </si>
  <si>
    <t>bridesmaid engraved robe</t>
  </si>
  <si>
    <t>engraved bridesmaid dress</t>
  </si>
  <si>
    <t>Personalised Bridal Wedding Hanger in Wood or White - Hanger Engraved Wedding Gift Bride, Bridesmaids and more</t>
  </si>
  <si>
    <t>EuLh_b1sVwYwIM5OnPCRSAeyNOe2</t>
  </si>
  <si>
    <t>not seeds</t>
  </si>
  <si>
    <t>damiana seeds</t>
  </si>
  <si>
    <t>Damiana Dried</t>
  </si>
  <si>
    <t>EuF45kzXGPTHUVym7_1WKyrTcv72</t>
  </si>
  <si>
    <t>inkmakers</t>
  </si>
  <si>
    <t>Framed Canvas Wall Art Set of 3 Birds in Tree Silhouette Rustic Landscape Prints Minimalist Vintage Art Modern Farmhouse Wall Decor</t>
  </si>
  <si>
    <t>Eu_yzKwsHI7dhkb-V7R-aAwhLpa1</t>
  </si>
  <si>
    <t>royal box</t>
  </si>
  <si>
    <t>Sky Diamond Spoon Pendant, pendant, spoon, glow-in-the-dark pendant</t>
  </si>
  <si>
    <t>EutwMZDozqTbUGe-KAy4DtwDdBab</t>
  </si>
  <si>
    <t>i don't think this is what they meant by dogpool but this listing is related to deadpool</t>
  </si>
  <si>
    <t>dogpool marvel</t>
  </si>
  <si>
    <t>SkelePool warning Tumbler Wrap Seamless 20oz/30oz, Skinny Tumbler Sublimation Design Digital Download PNG, Deadpool inspired geek comics art</t>
  </si>
  <si>
    <t>Eu7XvVYD4dIpAplhePvWrjR9ql8d</t>
  </si>
  <si>
    <t>not sure if this is the style buyer is looking for</t>
  </si>
  <si>
    <t>art deco opal wall lights</t>
  </si>
  <si>
    <t>Vintage 1920s style brass wall light fitting with etched glass fringed shade</t>
  </si>
  <si>
    <t>EuJIlIrWVCxIxp-VZBs2ATUuqu9d</t>
  </si>
  <si>
    <t>Nail care tools</t>
  </si>
  <si>
    <t>2pcs Dead Skin Nail Push Cuticle Remover/ Nails Cuticle Pusher Manicure Fork Care Tool</t>
  </si>
  <si>
    <t>EuZ_WRaMKbblVCvmKDMlJ1E8L90e</t>
  </si>
  <si>
    <t>wall decor office</t>
  </si>
  <si>
    <t>Office Wall Decal,Office Decal, Office Wall Art,Office Decor,Typography Wall Decal, Office Wall Decor, Office Decals,Motivational Art TM0075</t>
  </si>
  <si>
    <t>Eu30VQne089lnhQzeN6ZdWqipX42</t>
  </si>
  <si>
    <t>bioli</t>
  </si>
  <si>
    <t>Bifilar Coli, Radionic Coli Scalar Coli Energy Disc DNS Spirit Coli Infinity Coli Harmonizer Coli Energy Coli Bifilar coil Tesla technology</t>
  </si>
  <si>
    <t>Eub-Og2GHhxmBkOUCas0P15HSL94</t>
  </si>
  <si>
    <t>basketball mousepad nome</t>
  </si>
  <si>
    <t>basketball mousepad name</t>
  </si>
  <si>
    <t>Personalized Mouse Pad Custom Name Basketball Team Chicago License Plate Square</t>
  </si>
  <si>
    <t>EuhfKewGnq5uIkuwiMz7jZJiIS22</t>
  </si>
  <si>
    <t>Implant Titanium CZ Cluster Push Fit Threadless flatback Piercing· Cartilage/Helix/Conch/Pinna · 20g/18g/16g/14g Flatback Stud</t>
  </si>
  <si>
    <t>not a beanie</t>
  </si>
  <si>
    <t>womens beanie montana</t>
  </si>
  <si>
    <t>Montana Sweatshirt | Montana Hoodie | Montana State Souvenir Sweatshirt | Montana Vacation Crewneck | Montana Gifts - 5713p</t>
  </si>
  <si>
    <t>EuTfcg1C1P6TaSJq6Dx2JSZLp76e</t>
  </si>
  <si>
    <t>Pink Graduation Invitation Template, DIY Editable Class of 2024 Grad Party Invite, Modern Digital Printable Graduation Announcement, GP10</t>
  </si>
  <si>
    <t>Eu0lhp7J2hDJqbDALyJM8gp20u97</t>
  </si>
  <si>
    <t>rowan knitting pattern</t>
  </si>
  <si>
    <t>The Rowan tree</t>
  </si>
  <si>
    <t>EuuLR24ht88XFxjSbkqt8bWdpQ20</t>
  </si>
  <si>
    <t>vintage style</t>
  </si>
  <si>
    <t>vintage-style</t>
  </si>
  <si>
    <t>French vintage bridal gown, 1960s wedding dress with train</t>
  </si>
  <si>
    <t>EuKbeKItjG0sb8u9Egf_zZG4d-ba</t>
  </si>
  <si>
    <t>Personalized Wooden Guitar Picks Box,Custom Engraved Guitar Pick Holder Storage,Guitar Plectrum Case Organizer,Gift for Guitarist Musician</t>
  </si>
  <si>
    <t>frame clay cutter</t>
  </si>
  <si>
    <t>Grounded Teapot Template // Slab Pottery Template // pottery tools</t>
  </si>
  <si>
    <t>EuvrYqOECbPrWJgOYSR-WdJfXva4</t>
  </si>
  <si>
    <t>coffee table base</t>
  </si>
  <si>
    <t>Bespoke concrete coffee table with live edge timber and powder coated steel base.  Concrete lounge furniture.</t>
  </si>
  <si>
    <t>EuylRWMMgdNmoOew7-q_daSBaC75</t>
  </si>
  <si>
    <t>people one star</t>
  </si>
  <si>
    <t>Little People Unisex Tee (featuring the classic and iconic toys from the 1980s)</t>
  </si>
  <si>
    <t>Eu2Go42PztTM1VzYbWfhur-PFx6b</t>
  </si>
  <si>
    <t>not a shirt</t>
  </si>
  <si>
    <t>Fuck Around and Find Out Mug| Funny Math Coffee Mug | Graph Chart Humor Gift</t>
  </si>
  <si>
    <t>EukjWzaa8TF7k-r8hsHrgYeexN20</t>
  </si>
  <si>
    <t>Women&amp;#39;s linen sleepwear Linen pajama Sleepwear set Linen tank and shorts Flax home wear Organic pajama women Bride nightgown White pajama</t>
  </si>
  <si>
    <t>EuiGXlIxRDdUZ-wiuGJfI5Qyj-5a</t>
  </si>
  <si>
    <t>easter cookies</t>
  </si>
  <si>
    <t>Easter Sugar Cookies (1 dozen) Bunny Peeps, Carrots, Eggs</t>
  </si>
  <si>
    <t>Eu6CxpEzqaRR0Uh_lGXTTyWztPe0</t>
  </si>
  <si>
    <t>hanging driftwood succulents</t>
  </si>
  <si>
    <t>Artificial Succulent Wall Garden ~ FREE SHIPPING!</t>
  </si>
  <si>
    <t>EuhvX1y2Bj8lc5lYhIwzJH4xacc6</t>
  </si>
  <si>
    <t>Pendant mother with child, valuable real gemstone gem in modern photo medallion setting in silver or gold-plated as a pendant</t>
  </si>
  <si>
    <t>car air freshener</t>
  </si>
  <si>
    <t>Getaway Car | Car Sticker | Car Mirror Decal | Passenger Mirror | Vinyl Decal | Mirror Decal | Mirror Sticker | Car Decoration | Aesthetic</t>
  </si>
  <si>
    <t>Eua_ZDEO6n-CaEfcgkUgcR8UL3f0</t>
  </si>
  <si>
    <t>Pendientes de aro</t>
  </si>
  <si>
    <t>Hoop Earrings</t>
  </si>
  <si>
    <t>SPIRAL HOOP EARRINGS in Silver Rose Yellow Gold Trending Boho Tribal Greek Festival Large Hoop Statement Jewelry Birthday Gift Her</t>
  </si>
  <si>
    <t>Eu6yx8v1pmeaRx8iBohf5mQZV_c0</t>
  </si>
  <si>
    <t>ww1</t>
  </si>
  <si>
    <t>WW1 British War &amp; Victory Medal Pair 359039 PTE S. G. Turner</t>
  </si>
  <si>
    <t>EugCMg1XlWyAIXvwaEVJ7QzIiXdd</t>
  </si>
  <si>
    <t>Acuity Scheduling Site Template, Editable DIY Booking Site Template, PMU Artist Booking Site Template, Brow Artist Acuity Template, Canva</t>
  </si>
  <si>
    <t>container</t>
  </si>
  <si>
    <t>3D Print Hexagonal Dice Container (Hexagon Compartments)</t>
  </si>
  <si>
    <t>Eu-IuHYlIctHkhp4IPa_quZWSXfa</t>
  </si>
  <si>
    <t>vegetarian cookbook</t>
  </si>
  <si>
    <t>Vintage 80s 1980s Holly Hobbie Photo Album</t>
  </si>
  <si>
    <t>EufgpmRLIEn4YDAhLSUEqkB_YM29</t>
  </si>
  <si>
    <t>glamrock bonnie</t>
  </si>
  <si>
    <t>glam rock bonnie</t>
  </si>
  <si>
    <t>Cosplay Foxy FNAF 5 Nights with Freddy Costume</t>
  </si>
  <si>
    <t>EudEoBi0FjVQgR1xx9HQvSEsQL1f</t>
  </si>
  <si>
    <t>state police retirement gifts</t>
  </si>
  <si>
    <t>3d file CNC model - Circle 7 point star badge with Texas Seal- Digital file download - not a physical item</t>
  </si>
  <si>
    <t>EuewfLsVXYE59GVuJasu7mbu7ua8</t>
  </si>
  <si>
    <t>best gifts for him</t>
  </si>
  <si>
    <t>Christmas gift for her gift for Mum gift for Girlfriend Christmas gift ideas gift for wife gift for sister gift for woman Custom Jewelry box</t>
  </si>
  <si>
    <t>EuQ-mk4LA_Ucd02bmIH0GCNxlF08</t>
  </si>
  <si>
    <t>1973 not 1974</t>
  </si>
  <si>
    <t>German Birthday Poster 1973 | 50th Anniversary Gift | Birthday Gift 50 years | Born in 1973 | Printable Newspaper / Sign | Instant Download</t>
  </si>
  <si>
    <t>gifts for book club</t>
  </si>
  <si>
    <t>Hello I&amp;#39;m mentally at the bookstore Sticker, bookish Sticker, book lover gift, bookish Merch, Tablet Sticker, Smut Reader, reading lover</t>
  </si>
  <si>
    <t>Euw05GCpoBsbpb2IN-UF64id4V6c</t>
  </si>
  <si>
    <t>sauna wall decor</t>
  </si>
  <si>
    <t>Pool and Hot Tub Sign, Pool Décor Signs, Hot Tub Signs, Sauna Signs, Whirlpool Custom Signs, Flamingo House Sign</t>
  </si>
  <si>
    <t>EubvtrArlqogZhVD4k2FiCUxQx0e</t>
  </si>
  <si>
    <t>noodle and pals</t>
  </si>
  <si>
    <t>8&amp;quot; Handmade Doll With 6 Outfit, Handmade Rag Doll With Outfit,  Doll Princess Dress, Handmade Gift For Her, Birthday Gift</t>
  </si>
  <si>
    <t>EuNZDMP9GLA-qmrl0LQPDClnH-7a</t>
  </si>
  <si>
    <t>Fuck Around Find Out Groovy T-Shirt, Funny Quote Shirt, Funny Shirt, Sarcastic Shirt, Shirt For Women, Girlfriend Gift, Adult Humor Shirt</t>
  </si>
  <si>
    <t>EuPzoxc-qcpCkb-qtVa8WkctNofe</t>
  </si>
  <si>
    <t>keto donuts</t>
  </si>
  <si>
    <t>Keto, Hot Cocoa Peppermint, Donut Stick, Vegan Collagen, Gluten Free, No Erythritol, Egg Free, Dairy Free, Almond Free, Sugar Free, Low Carb</t>
  </si>
  <si>
    <t>EubymAAmBYuZ8Ck_3yLb44D95Q92</t>
  </si>
  <si>
    <t>Акрил</t>
  </si>
  <si>
    <t>Acrylic</t>
  </si>
  <si>
    <t>Acrylic Painting Palm Tree Island Seascape</t>
  </si>
  <si>
    <t>EuvgMU_zURiXMwqmVVH6eF41qVe3</t>
  </si>
  <si>
    <t>ru</t>
  </si>
  <si>
    <t>intl-ru</t>
  </si>
  <si>
    <t>Leather Camera Bag for Fujifilm XT5, Personailized Caemra Case for Fujifilm, Leather Camera Holder</t>
  </si>
  <si>
    <t>this is baseball not lacrosse</t>
  </si>
  <si>
    <t>lacrosse mom DTF transfers</t>
  </si>
  <si>
    <t>Baseball Mom DTF TRANSFER Direct To Film Ready To Press Cold Peel Transfer 4281</t>
  </si>
  <si>
    <t>EuqSIT6Zt0Yvv8m6li61EcmlnT80</t>
  </si>
  <si>
    <t>Glamrock Undies</t>
  </si>
  <si>
    <t>jungle gift box</t>
  </si>
  <si>
    <t>Watercolour jungle pink animals Personalised Children’s Party Box Gift Bag Favour</t>
  </si>
  <si>
    <t>EuxzMa7wam04ZRoO6i5BHfgFZac2</t>
  </si>
  <si>
    <t>thong mesh</t>
  </si>
  <si>
    <t>Embroidery and Mesh  thongs</t>
  </si>
  <si>
    <t>Eu7bFh09tQexTzxDYmbPDJilEY20</t>
  </si>
  <si>
    <t>personalized gift for mum</t>
  </si>
  <si>
    <t>Personalised Birth Flower Jug|Ceramic Floral Vase|Grandparent Mothers Day Birthday Gift Idea for Her|Two Sizes|Limited Product</t>
  </si>
  <si>
    <t>EuWlBLu6_c1UkQPVJ7A4TpzoY207</t>
  </si>
  <si>
    <t>this is a bridal set but not related to heidi lace</t>
  </si>
  <si>
    <t>Heidi Lace Bridal Set</t>
  </si>
  <si>
    <t>Premium Quality bridal set comes with all accessories/ Indian bridal jewelry/ high quality kundan and Polki jewellery</t>
  </si>
  <si>
    <t>EuPJqHl38YHu_AHGXyrMc4yCos7f</t>
  </si>
  <si>
    <t>piracetam</t>
  </si>
  <si>
    <t>100% Pure Grade &amp;quot;A&amp;quot; Himalayan Shilajit Soft Resin - Sourced at 16,000+ feet in Himalayan Mountains</t>
  </si>
  <si>
    <t>EuqF6RbRK08CLIiBnl8AV-PDZEf7</t>
  </si>
  <si>
    <t>this is a 2 euro coin</t>
  </si>
  <si>
    <t>10 euro cent</t>
  </si>
  <si>
    <t>10 euro cents</t>
  </si>
  <si>
    <t>2 Euro Coin 2001 France Liberte Egalite Fraternite Rare Error - Mint Error -</t>
  </si>
  <si>
    <t>EuowA--1Z8EAm_C6hp9R-HS0fId3</t>
  </si>
  <si>
    <t>25 Party Favors Deluxe, Party Bundle, Blue inspired Themed, Kids Party Favors, Keepy Uppy, Sticky Gecko, Magic Asparagus, Granny Glasses</t>
  </si>
  <si>
    <t>st patrick&amp;#39;s tier tray decor uk</t>
  </si>
  <si>
    <t>St Patricks Day Tiered Tray Decor Bundle, St Patricks Day Decor, St Patricks Day Mini Sign, March 17 Sign, Kiss Me Im Irish, Tiered Tray Set</t>
  </si>
  <si>
    <t>EuDTVBLydLYDWAnsQ7CR_PsiD2fc</t>
  </si>
  <si>
    <t>bag but it's mot wool</t>
  </si>
  <si>
    <t>wool bag</t>
  </si>
  <si>
    <t>Sock Love Stories! Knitting Project Bag, Crochet Zippered Pouch, Yarn Sock Tote</t>
  </si>
  <si>
    <t>EuxgIC6P1cz5FsWU7oWJMe__lk3f</t>
  </si>
  <si>
    <t>Burnt orange linen table runner, Washed linen table runner, Rust orange table runner, Handmade table runner, Natural linen table decor.</t>
  </si>
  <si>
    <t>EubH71ei_zs_W8U7X_ZA8hHGDK67</t>
  </si>
  <si>
    <t>this is shark leather not crocodile leather</t>
  </si>
  <si>
    <t>Genuine Shark Wallet, Men&amp;#39;s Leather Wallet., Personalized Leather Wallet, Perfect gift for him, custom alligator wallet, bifold wallet</t>
  </si>
  <si>
    <t>giant paper flowers wedding</t>
  </si>
  <si>
    <t>50 PDF PRINTABLE Paper Flower PETAL Templates, diy large Paper Flower Templates, molde de flores de papel / print-cut-trace flower templates</t>
  </si>
  <si>
    <t>EuOxx3gVX-LNo9p8XnAYqWwfmM45</t>
  </si>
  <si>
    <t>groomsmen gifts</t>
  </si>
  <si>
    <t>Personalized Leather Duffle Bag Travel Carry on Luggage Overnight Gym Weekender Handmade Duffel Bag Groomsmen Gift smallsized Christmas Gift</t>
  </si>
  <si>
    <t>EuSfM0CcbfFNp5GamxSmy7E-jx38</t>
  </si>
  <si>
    <t>moissanite rapper pendant</t>
  </si>
  <si>
    <t>Hip hop Moissanite Diamond face pendant/ Iced out bling Shinny Pendant/ Vendetta Clown Moissanite Face For rapper/ Gift for rapper</t>
  </si>
  <si>
    <t>EuHO6cYaKFKWb3lBSc1QNkw7kZ5a</t>
  </si>
  <si>
    <t>this is another nightclub in ibiza</t>
  </si>
  <si>
    <t>Manumission at Ku Ibiza 1995 Season Flyer Poster (A2)</t>
  </si>
  <si>
    <t>Amazonite Silver Pendant Necklace, Genuine Amazonite Pendant, Green Stone Pendant, Gift for Women, Natural Amazonite Jewelry, Mint Necklace</t>
  </si>
  <si>
    <t>wandschablonen bordüre</t>
  </si>
  <si>
    <t>wall stencils border</t>
  </si>
  <si>
    <t>Wall Stencils Border Stencil Pattern Reusable Template for DIY wall decor 420_297_0121</t>
  </si>
  <si>
    <t>EuRSPzKOrN5-HtrUJc7ROHNRPl41</t>
  </si>
  <si>
    <t>Set Mountain and Weaves Hot Shoe Cover, Custom Threaded Shutter Button, Customizable Hotshoe and Shutter, Unique Gift for Photographers</t>
  </si>
  <si>
    <t>eagles svg</t>
  </si>
  <si>
    <t>Preppy Blue Patriot Mascot PNG Star Eyes Great for Team Shirts High School  and College Gifts  Sublimation DTF PNG  Word Text Letters</t>
  </si>
  <si>
    <t>EuX-X50b2AagI0YNjWYi6QyVv392</t>
  </si>
  <si>
    <t>Extra Large tote bag, Shopping leather bag, Tote leather bag, Leather tote bag, Woman leather tote, Woman shoulder bag, Travel bag</t>
  </si>
  <si>
    <t>Personalized Busy Board - Montessori Board For Toddler - Activity Board For 1 Year Old - Educational Sensory Board - 1st Birthday Gift</t>
  </si>
  <si>
    <t>valentines day gift for him sports</t>
  </si>
  <si>
    <t>Custom Personalized Fishing and Hunting Gift for Him, Pocket Knive with Bass or Elk Etched Blade</t>
  </si>
  <si>
    <t>EuW21NUgjVUM7_IdDLdd7_hJVV11</t>
  </si>
  <si>
    <t>princess wands</t>
  </si>
  <si>
    <t>Princess Wand, Fairy Wand, Magic Wand, Party Wand, Star Wand in Gold or Silver</t>
  </si>
  <si>
    <t>EuVYDpE08B3r5MHwkM6DyLa2xV89</t>
  </si>
  <si>
    <t>Vintage Limited Edition Boudoir (Parfum) by Vivienne Westwood (1998) 20 ml</t>
  </si>
  <si>
    <t>tavolo giardino ferro</t>
  </si>
  <si>
    <t>iron garden table</t>
  </si>
  <si>
    <t>Italian Outdoor Table + Iron Base | Volcanic Table | Lemon Outdoor Table | Hand Painted Table | Italian Patio Table | Lemon Patio Decor</t>
  </si>
  <si>
    <t>Eu6nZ5W6Aqn23hOkwdGmZRWevhfc</t>
  </si>
  <si>
    <t>Shahrukh khan shirt, Shahrukh khan vintage t-shirt, bollywood shirt, desi clothing, desi shirt, indian shirt, King of Bollywood</t>
  </si>
  <si>
    <t>vestido de novia</t>
  </si>
  <si>
    <t>wedding dress</t>
  </si>
  <si>
    <t>Maggie Lace boho dress, bohemian Wedding, Maternity boho dress, Maternity lace gown, dress for maternity session/ queen design</t>
  </si>
  <si>
    <t>EuOD4FdOmJpVC2mljEb7XVOelV5e</t>
  </si>
  <si>
    <t>doesn't have glitter</t>
  </si>
  <si>
    <t>Navy blue suedette wedding clutch bag, golden sequins / Customizable evening clutch bag with or without chain /  women&amp;#39;s handbag</t>
  </si>
  <si>
    <t>Loose Linen Pants Tilda, elastic waist pants, women linen trousers, casual trousers, soft linen pants, linen trousers | Optional Embroidery</t>
  </si>
  <si>
    <t>EuD2W1icGa_fisQX8dqq9ct9WMd9</t>
  </si>
  <si>
    <t>correct theme wrong product type</t>
  </si>
  <si>
    <t>mitski shoulder bag</t>
  </si>
  <si>
    <t>Mitski My love mine all mine purple poster aesthetic</t>
  </si>
  <si>
    <t>Euikbd6paUeZAZUT1ycgqt_usW6a</t>
  </si>
  <si>
    <t>Silver Tiny Ladybug Stud Earrings - Sterling Silver</t>
  </si>
  <si>
    <t>Ramona Flowers sticker</t>
  </si>
  <si>
    <t>ヤギ毛</t>
  </si>
  <si>
    <t>Goat hair</t>
  </si>
  <si>
    <t>For vinyl fans ! Goat Hair Plate Brush | With desired engraving</t>
  </si>
  <si>
    <t>EuiyDvJc_ctSHD6v1rrk9Ca9Nf0b</t>
  </si>
  <si>
    <t>Brown tapered pleated corduroy high waisted pants, Velvet pants, Corduroy trousers women IPANTS BA30051</t>
  </si>
  <si>
    <t>Eurzil0uQLnvX1UxRPYn8pszPjed</t>
  </si>
  <si>
    <t>Hu Tao&amp;#39;s Ghost Plush Keychain</t>
  </si>
  <si>
    <t>funny gaming sticker</t>
  </si>
  <si>
    <t>Karlach Baldur&amp;#39;s Gate I Want My Mommy Shirt, Baulders Baldur Shirt, Baldurs Gate Bulders Karlach Merch</t>
  </si>
  <si>
    <t>EuGNoyxqRQbr-N_9ES8kXLppm33c</t>
  </si>
  <si>
    <t>cat harry potter</t>
  </si>
  <si>
    <t>Soup Bowl Cozy</t>
  </si>
  <si>
    <t>EuoY74SCzKmAzsWhRVEgK5BYWk2b</t>
  </si>
  <si>
    <t>toilet prints funny</t>
  </si>
  <si>
    <t>Funny bathroom , Bathroom bum, Bathroom wall art, framed prints, , funny bathroom prints, bathroom art, home decor prints, bathroom poster</t>
  </si>
  <si>
    <t>EuRiCRBYACI2TyHB7cAtIPSAbOff</t>
  </si>
  <si>
    <t>kids valentines</t>
  </si>
  <si>
    <t>Personalised Easter Chocolate Cadbury Dairy Milk for Son Daughter Husband</t>
  </si>
  <si>
    <t>Euv5w1W5blnPrVkFeFkLzKeU13ec</t>
  </si>
  <si>
    <t>this is not a tray but it is a carrier</t>
  </si>
  <si>
    <t>custom carrier trays</t>
  </si>
  <si>
    <t>Postal Vehicle Cup Holder</t>
  </si>
  <si>
    <t>EuQ0sniheYtRuA4Yd-Al17pWDs9e</t>
  </si>
  <si>
    <t>gift basket for women</t>
  </si>
  <si>
    <t>Personalized Galentine&amp;#39;s Day Gift For Her, Valentines Gift Box Spa Set For Women, Self Care Gift for Best Friend BFF, Mom, Coworker (Va1)</t>
  </si>
  <si>
    <t>EuBQeCjPX44p9Dw1H4tmW8NNbJ01</t>
  </si>
  <si>
    <t>hoja para pluma</t>
  </si>
  <si>
    <t>pen sheet</t>
  </si>
  <si>
    <t>Fox on the Dunes A5 letter writing paper, Pen pal supplies, Stationery lined or unlined letter sheets, Cute notepaper with or without lines</t>
  </si>
  <si>
    <t>EuUT1c-N3wd4tEwRzl1yKSTFi113</t>
  </si>
  <si>
    <t>not belgium</t>
  </si>
  <si>
    <t>1974 Birthday Sign, Birthday Sign, Peace and Love, Hippie, Boho, Facts, Instant Download</t>
  </si>
  <si>
    <t>couple gift</t>
  </si>
  <si>
    <t>Personalised Engagement Bottle Box Personalised Cork Collector Engagement Gift Present Engaged Champagne Cork Wooden Bottle Box Couple Gifts</t>
  </si>
  <si>
    <t>EuRzLzYJYIxaqzOUhjCpaY34r2da</t>
  </si>
  <si>
    <t>Real Metal Coins with Dragon Design for D&amp;D TTRPGS LARP</t>
  </si>
  <si>
    <t>xaden riorson merch</t>
  </si>
  <si>
    <t>Shadow Daddy Book Club Sweatshirt, Your Favorite Shadow Daddies Personalized Crewneck, Smut Bookish Merch, Romantasy Reader, Book Boyfriends</t>
  </si>
  <si>
    <t>EuOxnmW-lhL9kP-kydgcxOmLVP1e</t>
  </si>
  <si>
    <t>Clown fish, small statue, coral reef, sea water, anemone, gift for birthdays</t>
  </si>
  <si>
    <t>toddler girl mississippi state shirt</t>
  </si>
  <si>
    <t>Gold Foil Preppy Pink Bulldog Pillow || Mississippi State Bully Pillow || MSU Dorm Pillow - 842</t>
  </si>
  <si>
    <t>Euwj24-99-hIS3-iFVvrl9CUOq2b</t>
  </si>
  <si>
    <t>hacienda bench</t>
  </si>
  <si>
    <t>Haussmann® Wood Double Twist Stool Table 12 in SQ x 20 in H Walnut Oil</t>
  </si>
  <si>
    <t>Eu8IURZRzPApUigpHZUkacW5o59b</t>
  </si>
  <si>
    <t>Green moss agate bracelet, women&amp;#39;s bracelet, natural stone bracelet, Christmas gift for women.</t>
  </si>
  <si>
    <t>babyshower favors</t>
  </si>
  <si>
    <t>Wedding Magnet Bottle Opener, Wedding Souvenir, Custom Gift Favor, Engagement Party Souvenir, Rustic Wedding Announcement, Cheap Souvenir</t>
  </si>
  <si>
    <t>EuLUL22NyrLx4HI40zaXHrilchd9</t>
  </si>
  <si>
    <t>soft shutter release button concave silver metal FUJIFILM X20 X30 X100F X100T X100V</t>
  </si>
  <si>
    <t>patch cube</t>
  </si>
  <si>
    <t>Applique design for Kids in 3 size. Easy applique. Design for dolphin. Machine Embroidery Digital Pattern</t>
  </si>
  <si>
    <t>EuxaxtsDOi0vkyr-NIODx6ZxuWf0</t>
  </si>
  <si>
    <t>giraffe blanket</t>
  </si>
  <si>
    <t>Baby girl giraffe swaddle blanket, giraffe baby gift, pink mint personalized baby girl blanket, custom name giraffe blanket, (CHOOSE COLORS)</t>
  </si>
  <si>
    <t>EuoZHapucomJM5rGuduenhG1txaf</t>
  </si>
  <si>
    <t>wedding heels</t>
  </si>
  <si>
    <t>Fuchsia Satin High Heel Wedding Sandals with Perla Applique, Wedding Heels Sandals, Bridesmaids Shoes, Heels Sandals, Bridal Heels</t>
  </si>
  <si>
    <t>Euk4n9qXC4KmbvkY6n53eXaHFQ67</t>
  </si>
  <si>
    <t>iinside my head</t>
  </si>
  <si>
    <t>inside my head</t>
  </si>
  <si>
    <t>Communication Cards - Pixel Art Holographic Acrylic Booklet Keychain</t>
  </si>
  <si>
    <t>EuEmlWnoeSwsd7mZoIEpTtB08_d4</t>
  </si>
  <si>
    <t>ceramic ashtray</t>
  </si>
  <si>
    <t>Pink Leopard print | Novelty |Multifunctional Ashtray | Trinket dish</t>
  </si>
  <si>
    <t>EuJGWtl9xrwqPGFuaGxXR6c1vWff</t>
  </si>
  <si>
    <t>this is unisex</t>
  </si>
  <si>
    <t>Unisex Custom Name Socks - Personalised Embroidered Name on Soft Cotton Crew Socks - Made to Order &amp; Made in Britain - Made for Him and Her</t>
  </si>
  <si>
    <t>Eu9p9d4VugBaThBiNFdjdyFBms50</t>
  </si>
  <si>
    <t>framed kitchen art</t>
  </si>
  <si>
    <t>Dining Room Prints | Dining Room Wall Art | Kitchen Prints | Family Prints | Home Decor | Set of 3 Prints | Home Prints Inspiration | Sign</t>
  </si>
  <si>
    <t>Eum7rGEHyS41vOC7GM1Y3B7n2Ibc</t>
  </si>
  <si>
    <t>wandbehang boho</t>
  </si>
  <si>
    <t>wall hanging boho</t>
  </si>
  <si>
    <t>Wall Decor | Wall Basket | Wall Hanging | Fruit Bowl | Decorative Bowl MADALA made of Banana Fibre (2 sizes)</t>
  </si>
  <si>
    <t>Eu9dSL4aUXrRa-sSTHrwoX0f6gff</t>
  </si>
  <si>
    <t>no feather</t>
  </si>
  <si>
    <t>Confirmation lettering with fish made of natural wood, optionally with stand</t>
  </si>
  <si>
    <t>green frog</t>
  </si>
  <si>
    <t>Crochet Doll Pattern, Maris Doll, Amigurumi Doll Pattern,  PDF in English, Spanish</t>
  </si>
  <si>
    <t>EuLoiXxQqnZ45Am1CjyBWoIcje6b</t>
  </si>
  <si>
    <t>princess sweatsuit</t>
  </si>
  <si>
    <t>Princess Tangled Sweatshirt</t>
  </si>
  <si>
    <t>EuPS50Deknb3Q5tteRhtjDdCcnde</t>
  </si>
  <si>
    <t>Boar SVG, Wild boar vector clipart design EPS PNG Dxf Pdf, Svg File for Cricut, Boar Head Silhouette, Wildlife Animals Svg, Boar Sublimation</t>
  </si>
  <si>
    <t>abschiedsgeschenk kollegen</t>
  </si>
  <si>
    <t>farewell gift colleagues</t>
  </si>
  <si>
    <t>Storage jar with engraving &amp;quot;Nervennahrung&amp;quot; for teachers, educators, colleagues, trainers, parents - customizable - 600 ml volume</t>
  </si>
  <si>
    <t>EuhzMx0ffOH7B3fkB1RSM1JngM2e</t>
  </si>
  <si>
    <t>Premium Shrimp and Fish Cave, aquarium decor, Shelter for shrimp and fry. Loach and Cory catfish hide</t>
  </si>
  <si>
    <t>this is for wife not bride techinically</t>
  </si>
  <si>
    <t>bride to be gift</t>
  </si>
  <si>
    <t>Boujee Wife PNG Leopard Print Wife Shirt Sublimation Design Boujee Wedding Party PNG Bride PNG Wedding Gift Marriage Shirt Design</t>
  </si>
  <si>
    <t>Eu8rhXNB6XBKUHmrMECShuIO-uab</t>
  </si>
  <si>
    <t>segment ring chirugenstahm</t>
  </si>
  <si>
    <t>segment ring surgical stem</t>
  </si>
  <si>
    <t>Nose ring nose piercing septum ring nose segment ring chest lip ear hinge clicker surgical steel black thin thick thickness: 1.0-1.6 mm</t>
  </si>
  <si>
    <t>EuVp7tzLjANE5_qCJlBdDrVF8R7b</t>
  </si>
  <si>
    <t>Never Underestimate The Difference You Made Appreciation Gift Last Day of School Teacher Keepsake from Students End of the Year Midwife gift</t>
  </si>
  <si>
    <t>Atsushi Sakurai - Buck Tick - Visual Kei - High quality gothic print fine art</t>
  </si>
  <si>
    <t>tattoo teddy bear</t>
  </si>
  <si>
    <t>Humble Hustle Pink Teddy Bear Cute Horror Face Button Eyes Stitches Cash Stuffed Money Stacks Tattoo Hip Hop Rap Art Logo JPG PNG SVG Cut</t>
  </si>
  <si>
    <t>EuFb3MOcfttEXaWtn_nGOWcsC-e2</t>
  </si>
  <si>
    <t>mushroom bulk substrate</t>
  </si>
  <si>
    <t>Gypsum Powder Calcium Sulphate for Mushroom Substrate Grain Spawn Mycology 500g - **BUY 3 GET 1 FREE**</t>
  </si>
  <si>
    <t>EuTAARte_IXlKH7d3jU867NhL67c</t>
  </si>
  <si>
    <t>0.50ct Solitaire Engagement Ring Solid Gold Ring, Womens Wedding Ring Low Profile Setting Simulated Diamond Ring 14K Solid Gold Promise Ring</t>
  </si>
  <si>
    <t>movie prop kits</t>
  </si>
  <si>
    <t>Star Wars Darth Vader Chest Lights LED Display - HK9950</t>
  </si>
  <si>
    <t>Eu6D-tuOt4G5uNQrBr2ie9YJz335</t>
  </si>
  <si>
    <t>thank you gift</t>
  </si>
  <si>
    <t>Editable Eucalyptus Greenery Baby Shower favors, Eucalyptus Shower Thank you tags, Gift tags Template digital download corjl</t>
  </si>
  <si>
    <t>Euij388thwBdfDc0aizlHPe6t399</t>
  </si>
  <si>
    <t>blondie</t>
  </si>
  <si>
    <t>As worn by Debbie Harry - Vultures Unisex shirt</t>
  </si>
  <si>
    <t>EukkL-uuLPoHQIarcy21gDi_RW95</t>
  </si>
  <si>
    <t>ganci in gerro</t>
  </si>
  <si>
    <t>Gerro hooks</t>
  </si>
  <si>
    <t>Metal Mounted Single Wall Hooks for clothes, Metal Wall Art Metal Decoration, Wall Hat Key Hooks, Wall Mounted Bathroom Towel Hooks</t>
  </si>
  <si>
    <t>Euc_KTDF4h2Y-n87JJb1EYQCWj63</t>
  </si>
  <si>
    <t>Blue Water repellent diaper changing pad, Changing pad for boys, Abwaschbare Wickelauflage</t>
  </si>
  <si>
    <t>womens pink design scrub cap</t>
  </si>
  <si>
    <t>Women&amp;#39;s Ponytail OB/GYN Words Scrub Cap, Labor Delivery Scrub Hat, Option for Euro, Men&amp;#39;s Surgical Cap, Buttons. Nurse Gift Louis + Phil</t>
  </si>
  <si>
    <t>EuulwmUoR3-jk856EMsn4VgBUmf9</t>
  </si>
  <si>
    <t>Custom Neon Sign | Neon Sign | Room Decor | LED Neon Light| Neon Bar Sign| Neon Bedroom Sign | Neon Light | Wedding Neon | Personalized Gift</t>
  </si>
  <si>
    <t>gift bag and bow</t>
  </si>
  <si>
    <t>Luxury MILKSHAKES Gift, Birthday, Unicorn, Chocolate Hamper, Children, Teens Gift, Ready for Christmas. Stocking Filler, Easter Gift</t>
  </si>
  <si>
    <t>EufNy4R5vH8hxQvxRInxmjJrkib4</t>
  </si>
  <si>
    <t>product type mismatch</t>
  </si>
  <si>
    <t>heavy metal premium hoodies</t>
  </si>
  <si>
    <t>Women&amp;#39;s Heavy Metal Swimsuit/ALL SIZES/Heavy Metal/Heavy Metal Bikini/Rock N Roll Style/Unique Gifts For Her/Heavy Metal Lingerie</t>
  </si>
  <si>
    <t>EuBf1ydn1px8MicVcXuse0LN7sa9</t>
  </si>
  <si>
    <t>bomboniere nascita bimbo</t>
  </si>
  <si>
    <t>baby birth favors</t>
  </si>
  <si>
    <t>Personalized soaps</t>
  </si>
  <si>
    <t>EuIq_G73JSzw4WC8PSyR_qx6G6d0</t>
  </si>
  <si>
    <t>4 Pen Wraps Man, Father&amp;#39;s day, Dad Gift Wood Pattern Design, waterslide epoxy pen wrap, 300 DPI, 4 PNG Files on individual and on full sheet</t>
  </si>
  <si>
    <t>Freestyle Libre 3 Fixation Strap Fixation Holder with Adjustable Wristband **BASIC**</t>
  </si>
  <si>
    <t>Gobog coins frame</t>
  </si>
  <si>
    <t>8 Trading Card Frame for Raw Cards with Optional UV Protection, Mtg, Pokemon, Yu-Gi-Oh! TCG, High Quality Display Wall Hanging</t>
  </si>
  <si>
    <t>EuLP28ksgDesHWefilnVypveX680</t>
  </si>
  <si>
    <t>taylor swift invisible string</t>
  </si>
  <si>
    <t>Galentine&amp;#39;s Favorite Things Party Invite, Valentines Day Brunch, Galentine&amp;#39;s Brunch Invitation, Printable Template, Instant Download Digital</t>
  </si>
  <si>
    <t>EudmPWBkGgwvH6Ko4aLqK5p1gZ8f</t>
  </si>
  <si>
    <t>Animal Jam spikes</t>
  </si>
  <si>
    <t>rat semi toony head base with moving jaw (3D printed)</t>
  </si>
  <si>
    <t>EuuCuLYhYC8Szna7WoZroNMsSMfa</t>
  </si>
  <si>
    <t>right theme wrong product type</t>
  </si>
  <si>
    <t>costumized invitations of hello kitty</t>
  </si>
  <si>
    <t>Hello kitty outfit, tutu outfit many sizes available</t>
  </si>
  <si>
    <t>Euv3yzTQBSDSMv2Gzn0qAVQex2a6</t>
  </si>
  <si>
    <t>this is not for a dress</t>
  </si>
  <si>
    <t>dress pattern</t>
  </si>
  <si>
    <t>Milkmaid Top Sewing Pattern, Cottagecore Lace Tie Top, XXS - XXL, Easy Sewing Pattern, A0, A4 &amp; US-Letter + Detailed Instruction</t>
  </si>
  <si>
    <t>EuCgnVKhZItQq7zt73CQ3_AxO45b</t>
  </si>
  <si>
    <t>laptop stickers</t>
  </si>
  <si>
    <t>100 Stickers Cartoon TV Shows Internet Memes Emoji Theme Design Cute Aestheic Stickers Collection</t>
  </si>
  <si>
    <t>EuvXdXcML-UBbO_LNq0zK6kCzx3d</t>
  </si>
  <si>
    <t>dtf transfer</t>
  </si>
  <si>
    <t>Stich Love Png, Happy Valentine&amp;#39;s Day Stitch Png, Pink print, Valentines Day Png, Sublimation Design, Valentine Png, Instant Download</t>
  </si>
  <si>
    <t>EugPnQa-RC3xA5eH8EKaqf11rW21</t>
  </si>
  <si>
    <t>Daughter card, funny card for Daughter, thank you for being</t>
  </si>
  <si>
    <t>Day You Were Born Our Daughter Personalised Birthday Cards, Birthday Card for Daughter, Birthday Gift Ideas, Birthday Card</t>
  </si>
  <si>
    <t>EumsGUuT8ixyViBFHzFXh_LjMZ61</t>
  </si>
  <si>
    <t>david yarrow</t>
  </si>
  <si>
    <t>Achillea Oertel&amp;#39;s Rose Yarrow - 5 Landscape Sized Bare Root Plants</t>
  </si>
  <si>
    <t>Eu6o73tAsYVdqNmW1egT98Vl9ae1</t>
  </si>
  <si>
    <t>Luxury Wedding Hamper/Personalised Wedding Frame/Pamper Hamper/Mr And Mrs Gift/Engagement/His and</t>
  </si>
  <si>
    <t>Personalised Couples Passport Cover &amp; Suitcase Tag with Personalised Sunglasses Case in Personalised Presentation Box</t>
  </si>
  <si>
    <t>EulNk4E7roqBnFyTPzaFEzevxxdc</t>
  </si>
  <si>
    <t>shogun warriors</t>
  </si>
  <si>
    <t>Rocket Fist Pendant</t>
  </si>
  <si>
    <t>Euo_h4SOOjlPuKPi9ac3AiNacAf1</t>
  </si>
  <si>
    <t>camp painting</t>
  </si>
  <si>
    <t>Quiet book for 2 years old, felt busy board  for toddlers ,activity board for preschool ,Montessori inspired toy ,sensory travel toy.</t>
  </si>
  <si>
    <t>Eu-2SDmdwRDwdiOWngjpyWFuWr9b</t>
  </si>
  <si>
    <t>valentines for her</t>
  </si>
  <si>
    <t>Love Card SPICY ASS Pun, Funny Birthday Card, Card For Boyfriend, Card For Girlfriend, Anniversary Card, Valentines Day Gift For Him, Kawaii</t>
  </si>
  <si>
    <t>Euqd60IrznSBJNT04zSutm9hoLa4</t>
  </si>
  <si>
    <t>bingo tumbler</t>
  </si>
  <si>
    <t>Clipart Bundles, Bingo Gnome png, Digital Download, Sublimation Designs, Crazy Bingo Lady, Cute Characters, Gnome PNG, Clipart Bundles</t>
  </si>
  <si>
    <t>Eu-ubtcRwZ9vixXK_oTJWXXIr4db</t>
  </si>
  <si>
    <t>sea life linocut</t>
  </si>
  <si>
    <t>Antique Original Vintage BAKER Microscope Made in London - 1895</t>
  </si>
  <si>
    <t>Eu6BfUIeIt6dDDunyxY39G0d3d4f</t>
  </si>
  <si>
    <t>art canvas original</t>
  </si>
  <si>
    <t>Original Beige Geometric Wall Art, Textured 3D Acrylic Canvas Painting, Wabi-Sabi Canvas Wall Art, Large Minimalist Decor for Home &amp; Office</t>
  </si>
  <si>
    <t>EuDANLCaBZKsfi-gXywsqkZEou54</t>
  </si>
  <si>
    <t>15 KRAFT GIFT POUCHES 7X12 cm fUSHIA made in France for packaging small objects jewelry packaging to personalize spring summer packaging</t>
  </si>
  <si>
    <t>air bnb welcome book</t>
  </si>
  <si>
    <t>Undated Goodnotes Planner, Monthly Digital Planner, Goodnotes Template, iPad Planner, Digital Journal Pdf, Goodnotes Stickers Boho, Simple</t>
  </si>
  <si>
    <t>EuNQU0PjbM6TK_QWz-nBu3BWJW38</t>
  </si>
  <si>
    <t>margarita joyas</t>
  </si>
  <si>
    <t>daisy jewelry</t>
  </si>
  <si>
    <t>Colourful Pearl Necklace, Statement Pearl Necklace, Flower Pearl Choker, Mixed Bead Necklace, Beaded Pearl Necklace, Chunky Pearl Necklace</t>
  </si>
  <si>
    <t>EugCpVERFATBw266-aN-8lPVCO42</t>
  </si>
  <si>
    <t>kobiety  strój</t>
  </si>
  <si>
    <t>women outfit</t>
  </si>
  <si>
    <t>Sequin peacock dress. Ethically handmade, original beautiful design. Perfect for festival wear or glamorous party outfit.</t>
  </si>
  <si>
    <t>EuWu-faiMN1Lm0IB2DnuRGWidwcb</t>
  </si>
  <si>
    <t>magic wand table numbers</t>
  </si>
  <si>
    <t>Eucalyptus &amp; Floral Wood Wedding Table Numbers, Rustic Wedding Wooden Table Numbers, 100% Birch Wood Double-sided 4x6&amp;#39;&amp;#39;</t>
  </si>
  <si>
    <t>EuHs_YFreipb0hSVxcRhlhjfIr4d</t>
  </si>
  <si>
    <t>back to college gift</t>
  </si>
  <si>
    <t>Notebook Paper bow tie. College Ruled bow tie. Wide Ruled lined paper tie. Silkscreen bowtie. Perfect teacher or writer gift.</t>
  </si>
  <si>
    <t>EuSQe95s6IWDgXgZqIxUNdTJQ-bc</t>
  </si>
  <si>
    <t>greenlampkin yarn</t>
  </si>
  <si>
    <t>Autumn Zebra Sock Skein 80% SuperWash Merino and 20 Nylon Hand Dyed Zebra Yarn 100g</t>
  </si>
  <si>
    <t>EukSLx8r10SEb2dks9Y2VbOOFE25</t>
  </si>
  <si>
    <t>Communication Visual Board Non Verbal  Flash Cards Special Needs Kids Toddler School Autism Children ASD</t>
  </si>
  <si>
    <t>not personalized</t>
  </si>
  <si>
    <t>Personalized gift card envelopes</t>
  </si>
  <si>
    <t>Christmas Gift Card Holders, Christmas Gift Card Envelope, Gift Card Holder, Gift Card Envelope, Mini Envelope, Christmas Gift Wrapping, CM2</t>
  </si>
  <si>
    <t>Eufh7PptMMg_yKafV95mWoK6CXad</t>
  </si>
  <si>
    <t>wonderlands war is a different board game</t>
  </si>
  <si>
    <t>spirit island</t>
  </si>
  <si>
    <t>Wonderland&amp;#39;s War DELUX Meeple Stickers upgrade pack • Decals Kit for Wonderland&amp;#39;s War Kickstarter edition boardgame</t>
  </si>
  <si>
    <t>EuABNbyaOdUHcwG8eAAAg3nfAhae</t>
  </si>
  <si>
    <t>pillow cases standard</t>
  </si>
  <si>
    <t>Linen Pillowcases with ruffles and ties, Linen shabby chic pillow case Standard pillow cover Queen pillow shams linen bedding euro sham</t>
  </si>
  <si>
    <t>Eut_uFHcHrjHxv81Q4Xotygcar3b</t>
  </si>
  <si>
    <t>rouge à levres sans titane</t>
  </si>
  <si>
    <t>lipstick without titanium</t>
  </si>
  <si>
    <t>Lip Studs, Pink Lip Studs, Red Lip Studs, Valentines Studs, Red Lip Earrings, Pink Lip Earrings, Kiss Earrings, Titanium Studs</t>
  </si>
  <si>
    <t>EuzBD9_lcW02dTyqZUguflcwPmf3</t>
  </si>
  <si>
    <t>this is a different pokemon</t>
  </si>
  <si>
    <t>poltchageist</t>
  </si>
  <si>
    <t>Slakoth Enamel Pin - Pokemon GO Community Day June 2019</t>
  </si>
  <si>
    <t>Eu-wp5pZ6oNWiwttGzVMjar_P319</t>
  </si>
  <si>
    <t>nurse hair clip</t>
  </si>
  <si>
    <t>Nurse gift, thank you NHS, medical, Christmas decoration, gingerbread ornaments, hanging tree decor, personalised nurse present</t>
  </si>
  <si>
    <t>Eu6FasEb-rawBKwN44SaYXzbB191</t>
  </si>
  <si>
    <t>Knitted Triangle Warm Winter Shawl, Handmade with Kauni gradient yarn - Pure Wool</t>
  </si>
  <si>
    <t>bikini aheer pantie</t>
  </si>
  <si>
    <t>bikini aheer panties</t>
  </si>
  <si>
    <t>Basic Lace Women Bikini, Super soft material comfortable bikini</t>
  </si>
  <si>
    <t>EuiZsd4BMrKWi1uWKb9GgPq9JO08</t>
  </si>
  <si>
    <t>little lamb raleigh tricycle sticker</t>
  </si>
  <si>
    <t>Retro Raleigh Grifter Vinyl Stickers</t>
  </si>
  <si>
    <t>EuOIM7zB73oX2PeoKM2QE9mCHg14</t>
  </si>
  <si>
    <t>yellow plant pot</t>
  </si>
  <si>
    <t>Yellow Hanging Planter, Mojave Planter, Succulent Planter, Ivy Planter</t>
  </si>
  <si>
    <t>EuvP-QAy0PcsWRMcioUJT1WBaKc1</t>
  </si>
  <si>
    <t>alec monopoly</t>
  </si>
  <si>
    <t>30x24 Inches Alec Monopoly inspired Art Print. New HD print. Canvas ready to hang. Large poster. Pop Art canvas. Home decor wall painting</t>
  </si>
  <si>
    <t>Euv4J3amWoOv7V2409NinRd37If1</t>
  </si>
  <si>
    <t>valentines canva</t>
  </si>
  <si>
    <t>February Braid Sale Flyer, Valentines Day Flyer, Braid Prices Flyer, Braids Sale Flyer, Hair Flyer, Lashes Flyer, Instagram Post Template</t>
  </si>
  <si>
    <t>Eu5I1e8bXu5eNtQC5a5Lajzg-yd7</t>
  </si>
  <si>
    <t>red black and silver party bags</t>
  </si>
  <si>
    <t>Floating Metallic Red Confetti - 2000pc - Fills 1 Gallon For Vases-Option: 3 Submersible Fairy Lights Strings- Vase Decorations</t>
  </si>
  <si>
    <t>EubOyw5_j48MB5e6j4tegQgUki46</t>
  </si>
  <si>
    <t>custom portrait</t>
  </si>
  <si>
    <t>Hand Painted, Photo to Highly Detailed Watercolor.  Family, House, Person, Family, or Dogs &amp; More! Perfect Personalized Gift, Combine Photos</t>
  </si>
  <si>
    <t>EuVpZs0W2L-K3azgFgf1QD27C949</t>
  </si>
  <si>
    <t>blackstone asset management</t>
  </si>
  <si>
    <t>19in1 Social Media Manager Bundle | Social Media Manager | Social Media Manager Template | Social Media Agency Bundle | Client Onboarding</t>
  </si>
  <si>
    <t>EuKGDCzJZXAYNoL8ltwwPSNcqr4b</t>
  </si>
  <si>
    <t>I am selling a 20 euro Cent 2002 Italia coin</t>
  </si>
  <si>
    <t>matching bracelets</t>
  </si>
  <si>
    <t>Couple Bracelets ,Love Bracelets Besties Bracelets, Gifts for Him, Gifts for Her, Matching Bracelets set, Friendship Bracelets, Beaded Brace</t>
  </si>
  <si>
    <t>EukmCJU7cP6rmmfQulfoDwzlsj89</t>
  </si>
  <si>
    <t>Hummingbird Necklace - Bird Necklace - Bird Jewellery - Gift For Bird Lover - Gift For Mum - Hummingbird Jewellery - Gifts For Women</t>
  </si>
  <si>
    <t>EubeL6FJU5HydItGMGpt3lhtYle5</t>
  </si>
  <si>
    <t>personalized jewelry</t>
  </si>
  <si>
    <t>Heart Birthstone Bracelet, Personalized Gemstone Family Diamond Charm Chain Bracelet For Grandma Mom Jewelry Gift Mothers Bridesmaid Gifts</t>
  </si>
  <si>
    <t>Eut5MwaVk_r0wR_yY851nbH_uE0f</t>
  </si>
  <si>
    <t>Black Wrap Trousers || Free Size Fluid Pants || Bohemian Beach Pants || Floral Pattern Pareo Pants || Fisherman Pants Open On The Sides</t>
  </si>
  <si>
    <t>whore</t>
  </si>
  <si>
    <t>Property Of Daddy Women&amp;#39;s Crop Shirt</t>
  </si>
  <si>
    <t>EuTfQgJGvAS9RMb8Jp9RnkAAnK36</t>
  </si>
  <si>
    <t>balloon backdrop stand</t>
  </si>
  <si>
    <t>Photography Background Support System Kit, Heavy Duty Adjustable Pipe &amp; Drape Photography Backdrop Stand for Photo, Video, Studio</t>
  </si>
  <si>
    <t>EuLnA4r9V9hyl7C3BXOPOzi1xT63</t>
  </si>
  <si>
    <t>master chief armor</t>
  </si>
  <si>
    <t>3d Print Halo M1 Combat Knife Prop! Physical Item! Model Kit! DIY!</t>
  </si>
  <si>
    <t>EuvZ-81yjzFvBfTQvA0gQrO0FO28</t>
  </si>
  <si>
    <t>25 inch chain</t>
  </si>
  <si>
    <t>Machine embroidery designs 2&amp;quot;/5cm Heirloom NUMBERS OF LEAVES botanical Birthday Wedding Nummer Stickdatei Ricamo Numeri Broderie nombres</t>
  </si>
  <si>
    <t>Eue5qcMz9TTWzD2HWIVxnsuUM502</t>
  </si>
  <si>
    <t>also a kids themed invitation but not spongebob</t>
  </si>
  <si>
    <t>Plants vs Zombies, Video Invitation, Birthday Party, First Birthday, Kids party, Birthday celebration Digital Invite</t>
  </si>
  <si>
    <t>best friend birthday gift</t>
  </si>
  <si>
    <t>Seven Tea Mug, Wildflower 70th Birthday Mug, Personalized Gift for 70th Birthday, Custom Grandma Gift, Mom Gifts, 70th Birthday Woman, 1953</t>
  </si>
  <si>
    <t>EuOsuPN2KrYtNTMg-zPx2EmCqYaa</t>
  </si>
  <si>
    <t>this is not personalizable</t>
  </si>
  <si>
    <t>personalized</t>
  </si>
  <si>
    <t>Holiday Kitchen Towels, Corporate Holiday Gifts, Holiday Hand Towel for Xmas Gift for Coworker, Oven Door Towel with Button</t>
  </si>
  <si>
    <t>EuHUOTAs6l4yINeN0THYMw4RbZ0e</t>
  </si>
  <si>
    <t>nursery bookshelf</t>
  </si>
  <si>
    <t>where the wild one sleeps signage, wall art, wooden/ acrylics name sign, nursery decor, photo prop, sign</t>
  </si>
  <si>
    <t>EuWkEbO1X1MYsmyq8FpzSUpN4C1d</t>
  </si>
  <si>
    <t>Tissue paper pom poms (set of 5), Mexican party decorations, Mexican fiesta, Mexican paper flowers, bridal shower, baby shower decorations</t>
  </si>
  <si>
    <t>climbing panel 36 inch</t>
  </si>
  <si>
    <t>Small Pinch Climbing Holds</t>
  </si>
  <si>
    <t>EuaCb6Yb9f96NlISD_SRHi2T19cc</t>
  </si>
  <si>
    <t>60th birthday cards for women</t>
  </si>
  <si>
    <t>60th Birthday Card for Woman with Intricate Flower Design | Pink Floral 3D Pop-Up 60th Birthday Card Mum 60th Birthday Card for Dad Gift</t>
  </si>
  <si>
    <t>EuKWNCbem1ebo6g8yVDIo9sL71ae</t>
  </si>
  <si>
    <t>trofeo primer grado</t>
  </si>
  <si>
    <t>first grade trophy</t>
  </si>
  <si>
    <t>Personalized Graduation Bears-7.5inches- graduation gift- preschool-Kindergarten-5th grade-8th grade-high school-college-2022 gift</t>
  </si>
  <si>
    <t>EuvDw8AI3AbJ1gJ2TwV3Qt4ugo5e</t>
  </si>
  <si>
    <t>apple decor</t>
  </si>
  <si>
    <t>Mini Oranges for Tiered TrayMini Fruit Pail for TierFake FruitMini White Flowers for TierMini Love Sign for TierFruit &amp; Flowers Tier</t>
  </si>
  <si>
    <t>EuUpHDftdGkkpXHbIRNcCO3PdJ38</t>
  </si>
  <si>
    <t>set of 3 paintings Flowers painting abstraction</t>
  </si>
  <si>
    <t>Bloom Flower Painting Set of 3 Wall Art - White Orange Color Flower Wall Art Canvas Painting - Cotton Canvas Oil Painting Original Art</t>
  </si>
  <si>
    <t>Eux4eR4a3lTyrg3nhl939ym1_bef</t>
  </si>
  <si>
    <t>gem stones</t>
  </si>
  <si>
    <t>Crystals, stones 20oz tumbler wrap png digital download</t>
  </si>
  <si>
    <t>EuUh-xF1bCqg5gFBUtZmhelJWb0a</t>
  </si>
  <si>
    <t>wrong character correct product type</t>
  </si>
  <si>
    <t>appa plush keychain</t>
  </si>
  <si>
    <t>Totoro plush keychains</t>
  </si>
  <si>
    <t>Eum4__AhUv5_kS4H6okLtu2mLtac</t>
  </si>
  <si>
    <t>a7 spaarchallenge</t>
  </si>
  <si>
    <t>a7 savings challenge</t>
  </si>
  <si>
    <t>A7 Cute Guilty Cats 12 Month Cash Tracker, A7 Money Savings Challenge, A7 Cash Envelope, Mini Money Tracker, 52 Week Savings Challenge</t>
  </si>
  <si>
    <t>EuzXh7zU23_q2lqyHQjZfoSlpSbb</t>
  </si>
  <si>
    <t>BIRTHDay card for him northern soul</t>
  </si>
  <si>
    <t>Yorkshire Birthday Card - Eeh by Gum Birthday Card - Happy Birthday Card - Yorkshire Gift - Lancashire Gift - Northern Gift - Northern Card</t>
  </si>
  <si>
    <t>EuvijxHjt3I8SUrcnfXLSmhZPtcc</t>
  </si>
  <si>
    <t>YGO Playmat Red-Eyes Ultimate Dragon with Free Carry Bag | Premium Fabric Custom Duel TCG Mat | Ultra HD Print with Anti-Slip Surface |</t>
  </si>
  <si>
    <t>Recycled Newspaper Coasters and Holder, Boho Style set of 6 Drink Coaster, Sustainable New Home Eco friendly gift, Upcycled Papermade  Decor</t>
  </si>
  <si>
    <t>Euv5abBw2XCbPb8vvIKxNl_Q94eb</t>
  </si>
  <si>
    <t>Altered Vintage Art Gift Funny Bathroom Wall Art Decor Woman Stink Oil Painting Toilet Classic Art Humor Alter Portrait Digital Download</t>
  </si>
  <si>
    <t>stickers</t>
  </si>
  <si>
    <t>Create Your Own Small Sticker Pack|Mini Sticker Pack|Tiny Sticker|Phone Case Sticker|1 inch Sticker|Mini Vinyl Sticker|Small Vinyl Stickers</t>
  </si>
  <si>
    <t>EuydCWR_9XJnsbeM6kjKh4nsYR06</t>
  </si>
  <si>
    <t>not horse stained</t>
  </si>
  <si>
    <t>horse stained glass pattern</t>
  </si>
  <si>
    <t>Digital Stained Glass Pattern for Download - Honeycomb</t>
  </si>
  <si>
    <t>Euo4WDjTNZ6BxHPzZWWLQd_hFhf4</t>
  </si>
  <si>
    <t>Wedding Cake Thank You, Dried Flowers, Thank You For Making Our Wedding Cake, Wedding Thank you Cards, Pastri, Home Decor, Personalized Gift</t>
  </si>
  <si>
    <t>don't think these are meant for doors</t>
  </si>
  <si>
    <t>funny door sticker</t>
  </si>
  <si>
    <t>funny by sticker</t>
  </si>
  <si>
    <t>remember your why sticker, funny stickers, motivation laptop decals, motivational tumbler stickers, water bottle sticker, water bottle decal</t>
  </si>
  <si>
    <t>EuKhYHFcUVGVtusqNizWZp9-wNb7</t>
  </si>
  <si>
    <t>vintage wallpaper peel and stick</t>
  </si>
  <si>
    <t>vintage landscape wallpaper, scenic wall mural wallpaper landscape, dark landscape wall paper, removable peel and stick vintage wallpaper</t>
  </si>
  <si>
    <t>EuGw29ZCKyRDorZ4s7cJk3Inr308</t>
  </si>
  <si>
    <t>debra schoch</t>
  </si>
  <si>
    <t>Vintage Weathered Salvage Wood Furniture Spindle Leg, Salvage Legs, Furniture Restoration Hardware Supplies, DIY, Architectural Salvage</t>
  </si>
  <si>
    <t>EuHLAA84u5SsjiHQiHoY5JV0kN87</t>
  </si>
  <si>
    <t>not christmas themed</t>
  </si>
  <si>
    <t>personalized wedding gifts christmas ornaments</t>
  </si>
  <si>
    <t>Heart holiday ornament - Personalized felt embroidered decoration - Family ornament - Mothers day gift</t>
  </si>
  <si>
    <t>Eu8eHCbofHWkeDaDQvhb3MNwtM0c</t>
  </si>
  <si>
    <t>targhetta non toccare passeggino</t>
  </si>
  <si>
    <t>do not touch stroller label</t>
  </si>
  <si>
    <t>Mutsy Universal Footmuff for Car Seat</t>
  </si>
  <si>
    <t>Eu2PJbwTTOAR7PlIZLSwbWh2OJa8</t>
  </si>
  <si>
    <t>valentines goodie bags</t>
  </si>
  <si>
    <t>Happy Valentine&amp;#39;s Day Gift Card Holder, Coffee Cup Gift Card Holder, Valentines Day Teacher Gift, How Sweet it is to be Taught by You</t>
  </si>
  <si>
    <t>EumlRhlDr-ibHeuYPLzt8R-jZj1b</t>
  </si>
  <si>
    <t>Orange Bon Bon earrings Ball drop Pom Pom Earrings Long thread earrings Les bonbons Earrings Thread fringed earrings Yellow BonBon earrings</t>
  </si>
  <si>
    <t>Tool Rack Plywood Tool Storage Rack Tools Knives Chisels Holder Modular Brown Organizer BeaverCraft OFFICIAL TH20</t>
  </si>
  <si>
    <t>knitting gifts for women</t>
  </si>
  <si>
    <t>Knitting Tote Bag, Personalized Knitting Tote Bag, Knitting Gifts For Women, Gift For Mom, Custom Tote, Custom Knitting Bag, Mother Gift</t>
  </si>
  <si>
    <t>Eu0IF6r7mgd2NL4EZ0EiCLAHNp69</t>
  </si>
  <si>
    <t>produit digital</t>
  </si>
  <si>
    <t>digital product</t>
  </si>
  <si>
    <t>530PCS Vintage Concert Poster, Retro Band Poster, Classic Rock Posters, Vintage Music Posters, Aesthetic Wall Collage Kit, Rock Musıc Decor</t>
  </si>
  <si>
    <t>Eu9hp731R9oqdyXEEj8dBtT2CX07</t>
  </si>
  <si>
    <t>correct video game franchise</t>
  </si>
  <si>
    <t>pillow persona 5</t>
  </si>
  <si>
    <t>Persona 3 Pin Buttons 2.25&amp;quot;</t>
  </si>
  <si>
    <t>EuLO-fVyanWyIASWpHDOGI14OF79</t>
  </si>
  <si>
    <t>not birthday themed</t>
  </si>
  <si>
    <t>Personalized birthday gift mug</t>
  </si>
  <si>
    <t>Mug 11oz personalized printable custom, modern ceramic mug, best friend print pottery mug, friendship mug best friend gift</t>
  </si>
  <si>
    <t>Eu7IoC8f8W-2F6qNyUb3H6FkQJ89</t>
  </si>
  <si>
    <t>Personalized jute bag MOM-GRANDMA | Market bag | Gift | Individual gifts | Mother&amp;#39;s Day | Gift for mom | Mother&amp;#39;s Day gift</t>
  </si>
  <si>
    <t>Eu0dyTXhwPmHk4lRivKvpavhmi22</t>
  </si>
  <si>
    <t>Custom Animated TikTok Follow Overlay for Videos</t>
  </si>
  <si>
    <t>happy birthday floral pop up</t>
  </si>
  <si>
    <t>Personalised Juke Box 3D Pop Up Greeting card, 3D Dancer card for him and her,  laser cut- hand assembled, paper art, Make someone smile</t>
  </si>
  <si>
    <t>EuF2gD3s0GmDDf7TWcHUEFp5AKe7</t>
  </si>
  <si>
    <t>dekko nordisch</t>
  </si>
  <si>
    <t>dekko nordic</t>
  </si>
  <si>
    <t>Folk Art Blue Flowers Clipart, Scandinavian Prints, Bedroom Living Room Cafe Decor, 30 PNG Instant Download for Commercial Use</t>
  </si>
  <si>
    <t>EuMMUd674S6uO9GWwt1hPalCwp4f</t>
  </si>
  <si>
    <t>zone 9</t>
  </si>
  <si>
    <t>Fairy Dust Hibiscus Seeds - Perennial Flower Seed - Easy to Grow - Huge 10-12 Inch Flowers</t>
  </si>
  <si>
    <t>Eu1T44bwU1Uhlh1asgdRhWCx7w05</t>
  </si>
  <si>
    <t>lego gifts</t>
  </si>
  <si>
    <t>Personalized Master Builder Ornament, Building Blocks Christmas Ornament 2023, Custom Xmas Gift for Kids Toddler</t>
  </si>
  <si>
    <t>Eubi6n7YU-3qOeYhHTiZoyTn4U5d</t>
  </si>
  <si>
    <t>Find N Out Gender Reveal, Squad Logos, PNG images! Personal Use Only! Transparent Background. Teal/Aqua Blue and Purple! Personal Use ONLY!</t>
  </si>
  <si>
    <t>EuAy8ikzNbC_CkToP0f_7FtEVyd3</t>
  </si>
  <si>
    <t>Sleek Metal Floating Nightstand - Modern Bedside Table, Minimalist Shelf, Bedroom Organizer, White bedside table</t>
  </si>
  <si>
    <t>wrong size and not the right brand</t>
  </si>
  <si>
    <t>charles and colvard moissanite 6mm</t>
  </si>
  <si>
    <t>3.00CT Moissanite Engagement Ring Cushion Cut Moissanite Engagement Ring 14K White Gold Engagement Ring Hidden Halo Moissanite Ring For Her</t>
  </si>
  <si>
    <t>EuaSkqTMQRMwgH_g-Qugoec17-20</t>
  </si>
  <si>
    <t>sewn items</t>
  </si>
  <si>
    <t>You Can Learn A Lot Of Things From The Flowers</t>
  </si>
  <si>
    <t>EuCow_GXgiiVxmjXMwJtpZfM3Aaa</t>
  </si>
  <si>
    <t>reusable perfume bottle</t>
  </si>
  <si>
    <t>10ml Travel Perfume Atomiser Bottle Spray Twist Pocket-Size Refillable Alcohol Spray Fragrance</t>
  </si>
  <si>
    <t>EuUYB3YxEyxuLPSScvuLSmlaYm5c</t>
  </si>
  <si>
    <t>don't think this is vintage</t>
  </si>
  <si>
    <t>vintage usa trucker hat</t>
  </si>
  <si>
    <t>Support Day Drinking Hat | Day Drinking | 4th of July Trucker Hat | 4th of July | America Hat | USA Hat | 4th Of July | USA Trucker Hat</t>
  </si>
  <si>
    <t>Euvd6-Bfalt8deyXu983C9VeaPe7</t>
  </si>
  <si>
    <t>Smartphone stand, steampunk, business card holder, mobile phone stand, mobile phone holder, tablet stand, industrial decor, anniversary</t>
  </si>
  <si>
    <t>this is not a frame</t>
  </si>
  <si>
    <t>family portrait poster, personalized family poster for a gift to give on a birthday or as a Christmas gift, family poster</t>
  </si>
  <si>
    <t>Dainty Engraved Flower Ring by CaitlynMinimalist • Personalized Stackable Ring • Custom Friendship Ring • Best Friend Gift for Her • RM21</t>
  </si>
  <si>
    <t>EueSyUI185RVEzaxgrRBAQsWFu1f</t>
  </si>
  <si>
    <t>tweedelig shorts blazer</t>
  </si>
  <si>
    <t>two piece shorts blazer</t>
  </si>
  <si>
    <t>Vintage Eastern European Embroidered Folk Skirt Set Small to Medium | Bohemian Black Cotton Geometric Motif Shirt &amp; Midi Skirt</t>
  </si>
  <si>
    <t>EuwofDP1Qk6FwXI1N2snRaDafNde</t>
  </si>
  <si>
    <t>curta calculator</t>
  </si>
  <si>
    <t>Vintage Chicago Comptometer Flag Pin developed 1887 premium advertising</t>
  </si>
  <si>
    <t>EuXd2g6QoPESy9maBe2Inrxi2S78</t>
  </si>
  <si>
    <t>Non-Verbal Communication Cards for Selective Mutism, Adults and Children, Basic Conversation Tool, Speaking Difficulties, Non Speaking AAC,</t>
  </si>
  <si>
    <t>Ghostbusters LifeGard II - Replica Prop</t>
  </si>
  <si>
    <t>this is not FOR traveling, but it is decor related to travel</t>
  </si>
  <si>
    <t>US Travel Map, Push Pin Map, Wood Map Of United States, Apartment Decor New Apartment Gift, USA Wooden Wall Map</t>
  </si>
  <si>
    <t>Eu08CiTJQphd4vaAjmpblJbgo382</t>
  </si>
  <si>
    <t>digital download prints</t>
  </si>
  <si>
    <t>More Amor Por Favor Print Minimalist Heart Poster Aesthetic Living Room Art Love Wall Decor Eclectic Art Print Digital Download 1 Print</t>
  </si>
  <si>
    <t>Eu2eMnFhwj53khnVKR57WxmirR2a</t>
  </si>
  <si>
    <t>Ohrringe, Ohrhänger, filigran, Schneeflocke, Stern, Weihnachten, Winter, Edelstahl-Ohrringe, Schmuck, goldfarben, Damenohrring,</t>
  </si>
  <si>
    <t>EuEB9qkWeookvx8t_txN098gCCcd</t>
  </si>
  <si>
    <t>12 Low budget FLOWER OF THE MONTH Challenge + Zipped envelope (Budget envelope challenge // Mini challenge for A6 zipped envelope)</t>
  </si>
  <si>
    <t>baby hair slides</t>
  </si>
  <si>
    <t>Baby Mulberry Silk Scrunchies</t>
  </si>
  <si>
    <t>Eu_SxaYC40TA0HLh_rWgm4FvDica</t>
  </si>
  <si>
    <t>metal camisetas</t>
  </si>
  <si>
    <t>metal t-shirts</t>
  </si>
  <si>
    <t>Vintage 90s 1992 THE PIXIES trompe le monde album tour singles american rock band indie grunge punk metal shoegaze rare nice promo t-shirts</t>
  </si>
  <si>
    <t>EuUNX9CQcESbav0EuqmZFAtWiD09</t>
  </si>
  <si>
    <t>Farewell gift colleague cup, gift colleague farewell mug thank you, job change colleagues, retirement | Christmas present colleagues</t>
  </si>
  <si>
    <t>sidewalk sign</t>
  </si>
  <si>
    <t>Realistic Reflection Storefront Store Vinyl Window Decal PSD Mockup | Smart Object Mockup | Retail Store Branding Template for Photoshop</t>
  </si>
  <si>
    <t>Eu37fAT6VvhP0b8MP3KPzhn8p7e1</t>
  </si>
  <si>
    <t>elephant crochet</t>
  </si>
  <si>
    <t>Line Art Elephant Sculpture, Minimalist Home Decor, Tabletop Ornament, Housewarming Gift</t>
  </si>
  <si>
    <t>EuA-96lGPtvlo59xB9MAarjFDR7c</t>
  </si>
  <si>
    <t>Mahogany wood desk organizer, two watch jewelry tray, docking station, watch case, personalized box, watch jewelry display, holder box</t>
  </si>
  <si>
    <t>Thrustmaster T300 pedals magnet MOD 4pcs - 10x3mm N42 magnets glued! FORCE - 1,8kg each magnet, GENUINE 3M tape</t>
  </si>
  <si>
    <t>fallout 4 onsie</t>
  </si>
  <si>
    <t>Vault Boy Embroidered Hoodie</t>
  </si>
  <si>
    <t>Eu98AO-2FHJrMeDvs26BgVdMUvaa</t>
  </si>
  <si>
    <t>wood dragon pin</t>
  </si>
  <si>
    <t>Dragon Toothless  STL File 3D Printable</t>
  </si>
  <si>
    <t>EuyIZLyeGWuXgoNUUHEZdYZDjfdb</t>
  </si>
  <si>
    <t>savon mariage</t>
  </si>
  <si>
    <t>wedding soap</t>
  </si>
  <si>
    <t>Handmade Baby Shower Scented Soap Favors, Wedding Favors for Guests in Bulk, Rustic Wedding Favors, Bridal Shower Soaps, Baptism Soap Favors</t>
  </si>
  <si>
    <t>EuQzNVYd_9PwCMcI4lRmdW3veR0d</t>
  </si>
  <si>
    <t>Custom Papel Picado Banner, Personalized Banner, Party Decoration Banner, Baby Banner, Wedding Banner, Latin Vibes Decor, Fiesta Decoration</t>
  </si>
  <si>
    <t>point de croix abeille</t>
  </si>
  <si>
    <t>bee cross stitch</t>
  </si>
  <si>
    <t>Bumble Bee Cross Stitch Pattern Sewing Modern Embroidery Instant Download Dark X-Stitch Cottagecore Witchy Witchcraft Goth Floral Boho</t>
  </si>
  <si>
    <t>EuDdNtjhWpchsSzpRpTBR2H0Nm55</t>
  </si>
  <si>
    <t>barcelona</t>
  </si>
  <si>
    <t>Barcelona Print, Barcelona Poster, Barcelona Wall Art, Spain Art Print, Barcelona Photo</t>
  </si>
  <si>
    <t>EutioNWUU9clK7bmFFdmrBglayc4</t>
  </si>
  <si>
    <t>custom printed insoles</t>
  </si>
  <si>
    <t>Customize Your Style with Printed Name and Picture LOGO for Sneakers Shoelace,for Fit All Sneakers,Boots,Gift For Him/Her</t>
  </si>
  <si>
    <t>EuGffQBPzIAz_-MHGIvFFcYbd230</t>
  </si>
  <si>
    <t>Adventure TShirt, Adventure Shirt, Camping Shirts, Mountain TShirt, Hiker TShirts, Nature Lover Shirt, Camping Gift, Vacation Shirt</t>
  </si>
  <si>
    <t>womens clergy stole</t>
  </si>
  <si>
    <t>Lovely minister&amp;#39;s Christmas stole in rich red Gingko leaf print, with gold metallic outlines</t>
  </si>
  <si>
    <t>EuNmrkNdzE53zYTc_o4OM3bmxMad</t>
  </si>
  <si>
    <t>15 Different Color pieces Linen Cotton Fabric Solid Color Bundle Patchwork Squares Of 20*25cm(CTJZ21-FSLS-202515)</t>
  </si>
  <si>
    <t>Trust in New Beginnings Gift, Affirmation Uplifting Gifts For Women, Scented Frosted Candle</t>
  </si>
  <si>
    <t>EupABLg2jX8g3N07r4VghCcauu61</t>
  </si>
  <si>
    <t>cowgirl brooches</t>
  </si>
  <si>
    <t>Vintage Cowboy Boot Brooch Pin Teal Enamel with Rhinestones Western Mate 18K Gold FInish</t>
  </si>
  <si>
    <t>Eu6gF_mgeZcXjunN8YXMmiupt191</t>
  </si>
  <si>
    <t>cigar band ribg</t>
  </si>
  <si>
    <t>3 Set Dome Ring, 925 Sterling Silver, Minimalist Ring, Designer Unique Style Ring, Handmade Ring , Chunky Dome Ring, Wide Band Ring Jewelry</t>
  </si>
  <si>
    <t>EuH4SrzW9q3a0xLzjUCbD4yzfb2f</t>
  </si>
  <si>
    <t>family calendar</t>
  </si>
  <si>
    <t>2024 Magnet Calendar | Home Decor | Fridge Magnet</t>
  </si>
  <si>
    <t>Eu048tMmuoLLp1ChU9FJVavxGX40</t>
  </si>
  <si>
    <t>only the charm no necklace</t>
  </si>
  <si>
    <t>g initial necklace</t>
  </si>
  <si>
    <t>Tiny Letter G Charms with Zircon, Cute Letter Pendant, Initials Pendants, 14K Gold Plated, 2 Pieces</t>
  </si>
  <si>
    <t>EuSbiqu6jwcgcDnBvos3o1UQDHd0</t>
  </si>
  <si>
    <t>dog tshirt</t>
  </si>
  <si>
    <t>Weimaraner Dog Shirt - Book Shirt, Dog Shirt, Personalised Shirt, Reading Shirt, Dog Lovers, Book Lovers, Dog Mom Shirt</t>
  </si>
  <si>
    <t>EuWUt1LEcNtH0fdQ3KlPGQUjvg02</t>
  </si>
  <si>
    <t>gold herringbone necklace</t>
  </si>
  <si>
    <t>9ct Yellow Gold 1.7mm Flat Snake Link Chain Various Lengths 16&amp;quot; to 18&amp;quot; (577)</t>
  </si>
  <si>
    <t>EuvWobQZBncN6uqKUFSE48ggF3dd</t>
  </si>
  <si>
    <t>crash dummies toy</t>
  </si>
  <si>
    <t>James Root Mask All Hope Is Gone Slipknot</t>
  </si>
  <si>
    <t>Eu__nqFOyamV-NnYYVgsrdVfDq91</t>
  </si>
  <si>
    <t>100 pcs Personalized Wedding bubble Labels Bubble Wand Clear Label ,party Favor Stickers -not include tube</t>
  </si>
  <si>
    <t>procreate brushes desert</t>
  </si>
  <si>
    <t>Hand drawn Western Desert Elements</t>
  </si>
  <si>
    <t>EuAYlhb7jys0zBUEECtlGVQJ_f22</t>
  </si>
  <si>
    <t>related to fallout</t>
  </si>
  <si>
    <t>pip boy</t>
  </si>
  <si>
    <t>pulowski preservation shelter fallout shaker acrylic charm fallout 76 fallout 4</t>
  </si>
  <si>
    <t>EuYDmQm48uRP0Y2FxqCQJsGtjn6b</t>
  </si>
  <si>
    <t>1.5CT Oval Natural Moss Agate Engagement Ring  Cluster Diamond Aquatic Agate Wedding Ring Art Deco Marquise Moissanite Green Crystal Ring</t>
  </si>
  <si>
    <t>Eu5NQGaS-cHqZIJJ9IVwgCkMOD42</t>
  </si>
  <si>
    <t>paper theater anime</t>
  </si>
  <si>
    <t>Teddy bear baby Paper doll digital Dress up paper doll Honey bear bee Woodland theme Woodland birthday Woodland centerpiece Bumble Bear</t>
  </si>
  <si>
    <t>Euq1E_QG45sxZ-fzsYvnDYwHnR1b</t>
  </si>
  <si>
    <t>ephod ring</t>
  </si>
  <si>
    <t>Kabbalah Ring, Ani Ledodi, Men Women Ring, Engagement Ring, Jewish Ring jewelry, Proposal Ring, Gold Silver Ring, Hebrew Ring, 72 names</t>
  </si>
  <si>
    <t>EusTH43OP-rOwG0g6v5es-gb2M04</t>
  </si>
  <si>
    <t>mosaic art</t>
  </si>
  <si>
    <t>Beginner macrame wall hanging kit. Craft kits for adults and kids. Bohemian home and wall decor diy kit</t>
  </si>
  <si>
    <t>EuaKKv1HylHPRoDUBBcHWyzmKq15</t>
  </si>
  <si>
    <t>ottoman vest</t>
  </si>
  <si>
    <t>Antique Ottoman Hand Embroidered Cropped Jacket, traditional clothing, local women&amp;#39;s clothing with hand stitched, Antique Ethnic Jacket</t>
  </si>
  <si>
    <t>EuqgpWxibRCUCH3KN0uZfsxV5t1b</t>
  </si>
  <si>
    <t>dont' think this is bubs brand</t>
  </si>
  <si>
    <t>swedish candy bubs</t>
  </si>
  <si>
    <t>Pick n Mix box</t>
  </si>
  <si>
    <t>EujokvvB0IWJ9lnSz3nzQMl24H42</t>
  </si>
  <si>
    <t>Wish Christmas Font | Wish Textured Font | Wishes Font | SVG | AI | OTF | Musical Typography | Wish Letters | Instant Download</t>
  </si>
  <si>
    <t>Mammon</t>
  </si>
  <si>
    <t>2&amp;quot; Enamel Pins: Alastor Heart</t>
  </si>
  <si>
    <t>EuXzczWhE5M0740IBitgiV2CIwab</t>
  </si>
  <si>
    <t>Wallet and backpacks</t>
  </si>
  <si>
    <t>Leaf Wallet , Gift Birthday Anniversary , Christmas , Summer bag</t>
  </si>
  <si>
    <t>EuKy7QJBWRIwGKMB28-M7-o5D8a4</t>
  </si>
  <si>
    <t>nanny and grandad baby grow</t>
  </si>
  <si>
    <t>Only The Best Parents Get Promoted To Grandparents Wooden Disc | You&amp;#39;re Going To Be Grandparents | Pregnancy Announcement Gift Present Idea</t>
  </si>
  <si>
    <t>EuOsgdKf3tdWWkt3oP9aq3thB367</t>
  </si>
  <si>
    <t>pet memorial gift</t>
  </si>
  <si>
    <t>Red flowers hair memorial ring, Bespoke keepsake jewellery, Lock of hair ring, Custom Memorial Gift, Horse hair ring, Loss of Mum Dad</t>
  </si>
  <si>
    <t>Eu5JqUcq6Gpz90KoaoETru8ux5b7</t>
  </si>
  <si>
    <t>Vintage Twin Size Headboard with Faux Bamboo Carving and Castors - 2 of 2</t>
  </si>
  <si>
    <t>golden wedding garden gifts</t>
  </si>
  <si>
    <t>Clear Gold Zircon &amp; Mirrors Organza Zari Embroidered Indian Embellished Lace Trim for Dupatta Sari Lehenga Gown Dress Plazo, 5 Cm Wide</t>
  </si>
  <si>
    <t>Eu4_gde60jASZg0KWiBkAm6Ztbc2</t>
  </si>
  <si>
    <t>jga verlauf</t>
  </si>
  <si>
    <t>jga course</t>
  </si>
  <si>
    <t>5 JGA games, set; JGA women; printable games; Digital templates in DIN A4; Hen party games</t>
  </si>
  <si>
    <t>Eur4uITzQx0t9r0UkLpsoxHE8x7e</t>
  </si>
  <si>
    <t xml:space="preserve">Custom Family Portrait, Family Illustration, Personalized Portrait, Anniversary Gift, Fathers Day, Mothers Day, Family Art Print </t>
  </si>
  <si>
    <t>baseball card binder</t>
  </si>
  <si>
    <t>Personalized Christmas Card Holder, Greeting Card Keeper, Birthday, Wedding Card Display Storage, Card Album, Christmas Keepsake Card book</t>
  </si>
  <si>
    <t>EurjskWLzhcMR1IVUYAcsRgv15bd</t>
  </si>
  <si>
    <t>engraved dog tag</t>
  </si>
  <si>
    <t>Personalised Dogtag Necklace for a Man, Paw, Cat, Dog Loss, Memorial,  Engraved, Sympathy  Gift</t>
  </si>
  <si>
    <t>Euk0dPODxLH2yvXmHG3rIVYX4685</t>
  </si>
  <si>
    <t>rectangular cushion covers uk</t>
  </si>
  <si>
    <t>Satin TEAL Cushion Cover Rectangle Bolster Size 12&amp;quot;x20&amp;quot; Luxury Collection Harlequin Fabric Double Sided Handmade in UK Satin Textured Look</t>
  </si>
  <si>
    <t>EuGtgPFuJZNy7abLpqR78YC57Qc8</t>
  </si>
  <si>
    <t>sissy lingerie</t>
  </si>
  <si>
    <t>Sissy Lingerie / Femboy Panty With Pouch and Stockings / Men&amp;#39;s Femboy Panty / Femboy Lingerie / Sissy Lingerie For Men</t>
  </si>
  <si>
    <t>EuJC-IS3Fxu2DMu5U0DuiATrZce2</t>
  </si>
  <si>
    <t>éventail personnalisé</t>
  </si>
  <si>
    <t>personalized fan</t>
  </si>
  <si>
    <t>Primavera red handcrafted fan in pear wood and cotton fabric, hand fan for women, personalized engraving offered!</t>
  </si>
  <si>
    <t>EuJOPDcjnF_Mj59KOyeb9UJ2kW15</t>
  </si>
  <si>
    <t>porta volantini pelle</t>
  </si>
  <si>
    <t>leather flyer holder</t>
  </si>
  <si>
    <t>NEW - JW Ministry organizer for tracts - Faux leather tract holder, RED color, Pockets for tracts and for business card, Pioneer gift</t>
  </si>
  <si>
    <t>EudtVcJ8CAoHwf1feLMgmqysQRaf</t>
  </si>
  <si>
    <t>new wife initial stuff</t>
  </si>
  <si>
    <t>WIFEY est 2022, HUBBY est 2022 T Shirt , Engagement Gift, Wedding Gift, Engagement Announcement, Wife Tee, Personalised wedding hen do gift</t>
  </si>
  <si>
    <t>Eu42BQXIefxHvivOkNpbBOEBjIf3</t>
  </si>
  <si>
    <t>fits panerai watch</t>
  </si>
  <si>
    <t>panerai watch</t>
  </si>
  <si>
    <t>MA watch strap 26 24 22 mm Old Malaga Black I Genuine Calf Saddle Leather Vintage Band fits Panerai etc</t>
  </si>
  <si>
    <t>EumTLP50oiAMWm1dXdrztoQ0mC65</t>
  </si>
  <si>
    <t>not nike and not a gift box but this could go in a gift box</t>
  </si>
  <si>
    <t>groomsmen gifts box nike</t>
  </si>
  <si>
    <t>GROOMSDAY Boxer Briefs! Printed Groomsman Boxer Briefs / Groomsmen Underwear</t>
  </si>
  <si>
    <t>EuNqkMR9rS4Q6_b7QD08DY3Xk22a</t>
  </si>
  <si>
    <t>Searching for vintage items on Etsy</t>
  </si>
  <si>
    <t>3/4” or larger matte Trinkets for I Spy Bags and Bottles, sensory bins, teaching, education, games, tiny toys- No Duplicates</t>
  </si>
  <si>
    <t>Eu947E76laA8Kzg0t0li1kEG4Hc7</t>
  </si>
  <si>
    <t>party crackers</t>
  </si>
  <si>
    <t>Safari Guess How Many Game Sign, Animal Crackers in a jar, Wild one Safari Birthday, Safari animals Birthday Signs, Girl Party Safari Theme</t>
  </si>
  <si>
    <t>Eu-G7OMSr-iM5tHiLmKdQPGmEVd5</t>
  </si>
  <si>
    <t>mothersday hand</t>
  </si>
  <si>
    <t>Pink Peony Tablecloth for the perfect table setting. It has a vibrant floral pattern like no other!</t>
  </si>
  <si>
    <t>EuXLomRRjEW3AC4-iF5LL-iNhyf9</t>
  </si>
  <si>
    <t>blaze double bridge</t>
  </si>
  <si>
    <t>Leather Double Wrap Watch Band Fit for Apple Ultra, SE, 44mm, 42mm, 41mm, 40mm, 38mm, Badalassi Carlo Pueblo Olmo Leather 2.5 mm Thick</t>
  </si>
  <si>
    <t>EuBR35QU6uXQY-5OKdXN_Ho7nAae</t>
  </si>
  <si>
    <t>gumpaste flower spray for birthday cake</t>
  </si>
  <si>
    <t>Triple Rose Cake Topper with buds and leaves</t>
  </si>
  <si>
    <t>Eut2aImSGZZj5ri8gbGUxlTMkGe5</t>
  </si>
  <si>
    <t>easter egg hunt cards</t>
  </si>
  <si>
    <t>Easter Eggs SVG files for Silhouette Cameo and Cricut. Easter Eggs clipart PNG transparent included. Spring cutting files. Decorative Eggs.</t>
  </si>
  <si>
    <t>EuNQEmj4Me_CjBHnaeNDZFmqHN9c</t>
  </si>
  <si>
    <t>personalised gin glass stemless</t>
  </si>
  <si>
    <t>Personalised Engraved 21oz Pure Stemless Gin Tumbler with Gift Box, Personalise with Any Message</t>
  </si>
  <si>
    <t>EuPBd3C3aSZwRnlarMTre4sQVM52</t>
  </si>
  <si>
    <t>College student gift, wooden robot toy, funny office decor, steampunk decor dorm room, decor desk accessories, geek</t>
  </si>
  <si>
    <t>mortal kombat</t>
  </si>
  <si>
    <t>Liu Kang Hand Headphone Stand | Headphone Holder, Gaming, Room Decor, Office, Desktop | Mortal Kombat Liu Kang Hand Paintable Bust</t>
  </si>
  <si>
    <t>Euspoc-QsQc4m5NQwDIVRb6X3y4f</t>
  </si>
  <si>
    <t>trinket box 60th birthday</t>
  </si>
  <si>
    <t>Personalised Car Enthusiast gift / Mechanic / Fathers Day / Best Man. Also available as a Print, Canvas, Framed or Coaster</t>
  </si>
  <si>
    <t>Eu7o5JkEMqMRSkWe9Z3ueDD_V64c</t>
  </si>
  <si>
    <t>wedding gift bar sign</t>
  </si>
  <si>
    <t>Espresso Martini Bar Sign, Espresso Martini Cocktail Print, Signature Drink Bar Menu Template, Cocktail Poster, Modern Baby Shower bar sign</t>
  </si>
  <si>
    <t>EuPwiMmiCUXwytCOZwIIBIN5IBcb</t>
  </si>
  <si>
    <t>gold earrings</t>
  </si>
  <si>
    <t>Everyday Huggie Earrings by Caitlyn Minimalist • Minimalist Small Hoop Earrings, Perfect for Stacking • Cartilage Hoop • Sister Gift for Her</t>
  </si>
  <si>
    <t>EuA1ooV4Q0sTsZaCYp4no9xMgg66</t>
  </si>
  <si>
    <t>first holy communion</t>
  </si>
  <si>
    <t>First Holy Communion Decorations, Gold Holy Communion Decorations</t>
  </si>
  <si>
    <t>Eu_26Pu7ZiE_e2MyoCnzjaYQABf9</t>
  </si>
  <si>
    <t>related to taylor swift</t>
  </si>
  <si>
    <t>taylor swift lunch box</t>
  </si>
  <si>
    <t>Smells like TAYLOR SWIFT perfume Highly Scented Wax Melts 100% Vegan, Recyclable, Biodegradable glitter for her for him gift Christmas</t>
  </si>
  <si>
    <t>EuNCv38UKSMNCLXkmzeKdi3hOf44</t>
  </si>
  <si>
    <t>lumberjill tshirt</t>
  </si>
  <si>
    <t>No Rest For The Women Crewneck, Feminist girl power sweatshirt, comfort colors vintage wash sweatshirt</t>
  </si>
  <si>
    <t>Eu7cY35Ep9gpL938xYwPZqxhDg93</t>
  </si>
  <si>
    <t>Vintage Eiffel Tower Fob Compact | 1910 Paris Powder Compact | Santos Dumont Powder Compact | Aviation Compact |</t>
  </si>
  <si>
    <t>harry styles car accessories</t>
  </si>
  <si>
    <t>Cute simplistic house / home silver necklace perfect layering necklace valentines gift present necklace gifts for her gift for fangirl</t>
  </si>
  <si>
    <t>EuhAwpJooHmCI-WpZ_JkpdOoAS2f</t>
  </si>
  <si>
    <t>IKEA Antilop Highchair Full Cover Tray Silicone Placemat - Peach</t>
  </si>
  <si>
    <t>Bamboo Leg Wraps for IKEA Antilop Highchair</t>
  </si>
  <si>
    <t>EuuYlGjXT0fcNSkRzoUgvBjNHCb9</t>
  </si>
  <si>
    <t>korean outfit sets</t>
  </si>
  <si>
    <t>Korean Style Morrie Pleated Wrap Knit Dress</t>
  </si>
  <si>
    <t>Eu3KjSyn0XTsLZs4BXjAuhD74E0d</t>
  </si>
  <si>
    <t>Embroidery</t>
  </si>
  <si>
    <t>Purple Pansy Panache Floral Phone Case | 3D Embroidery Effect Pansy Flowers Phone Cover For iPhone | Pixel | Samsung | iPhone 15</t>
  </si>
  <si>
    <t>EuUFpAYl-7qyOMIJa9MBH6INnu71</t>
  </si>
  <si>
    <t>juego ps1 clock</t>
  </si>
  <si>
    <t>ps1 clock game</t>
  </si>
  <si>
    <t>Shadowbox diorama black frame for Ps1 ps psx controller wall decor game room</t>
  </si>
  <si>
    <t>EuC3t5JJWg63m0Ulvovo4jwTHdbf</t>
  </si>
  <si>
    <t>FATIMA MIDAXI MULTICOLOURED dress</t>
  </si>
  <si>
    <t>EuCddC6C2q-UN6FEEwNbIe5S-68d</t>
  </si>
  <si>
    <t>Towel Rack (Modern Rustic Style- Beveled Edges) Farm House, Bathroom storage, Shower, Wet room, Wood shelf, Poolside cabana, Guest room, Gym</t>
  </si>
  <si>
    <t>zuria</t>
  </si>
  <si>
    <t>Golden Ethiopian &amp; Eritrean dress |Hahilwe Kemis |የሐበሻ የሐገር ባህል ልብስ|Ethiopian new year dress |Habesha Kemis|Zuria|</t>
  </si>
  <si>
    <t>EudXwOp4IeQ9VsYkYmqMdwFoc5a8</t>
  </si>
  <si>
    <t>meme stickers</t>
  </si>
  <si>
    <t>Book Sticker Main Character Energy</t>
  </si>
  <si>
    <t>Eu91-x1VuRkBaQ7NIpx8G2tovT40</t>
  </si>
  <si>
    <t>meal planner digital</t>
  </si>
  <si>
    <t>Meal Planner Printable PDF, Weekly Meal Planner, Monthly Meal Plan, Recipe Binder | A4 A5 Letter Half Letter Happy Planner</t>
  </si>
  <si>
    <t>EuewV22UFZgNeuxE2mzroPyOEca9</t>
  </si>
  <si>
    <t>the mummy the daddy shirt</t>
  </si>
  <si>
    <t>brendan Fraser Vintage Unisex Shirt, Vintage brendan Fraser Shirt Gift For Him and Her, Best brendan Fraser- Express Shipping Available</t>
  </si>
  <si>
    <t>EuOgVJvzQaysofE293v2cDJSsLc6</t>
  </si>
  <si>
    <t>Wooden Door Tag Blank Rectangle Wooden Tags Unfinished Nature Wood Slice DIY Crafts Bookmark Garment Clothing Tag Gift Bags Hanging Label</t>
  </si>
  <si>
    <t>dog birthday pup cup</t>
  </si>
  <si>
    <t>Happy Holidays From the puppies, 20 oz  Tumbler Sublimation, Instant Digital Download, Cute Puppies cup wrap, Santa Pups cup</t>
  </si>
  <si>
    <t>EuXdzHSj0ywF5q5xemvCoLK7cJd6</t>
  </si>
  <si>
    <t>this is a belt not belt display</t>
  </si>
  <si>
    <t>wwe uv protected belt display</t>
  </si>
  <si>
    <t>United States Champion Replica Belt WWE World Heavyweight Champ US Flag Print</t>
  </si>
  <si>
    <t>EuohuXfAir9VC1Hn4qqsqI5yLO81</t>
  </si>
  <si>
    <t>Minimalist green sapphire ring sterling silver princess cut bypass anniversary ring for women</t>
  </si>
  <si>
    <t>buffet with drawers</t>
  </si>
  <si>
    <t>2 Door Cabinet - Fully Assembled - TV Stand - Primitive - Storage -  TV Cabinet - Home Décor- Amish Handmade - Multipurpose Cabinet - Rustic</t>
  </si>
  <si>
    <t>EugooJXX-U_7t9gOxHDv3sDbgy46</t>
  </si>
  <si>
    <t>brass link bracelet for women</t>
  </si>
  <si>
    <t>Quality Brass Chain Necklace, Nickel &amp; Lead Free, Soldered Links, Custom Length, Raw Solid Brass Plain Chain Necklace</t>
  </si>
  <si>
    <t>Euyvw6JgttETgnE8O4TLUv9hDUd7</t>
  </si>
  <si>
    <t>muursticker frieda kalo</t>
  </si>
  <si>
    <t>wall sticker frieda kalo</t>
  </si>
  <si>
    <t>FRIEDA Font</t>
  </si>
  <si>
    <t>EuCuTOr9O_4ZA1evnl94JNwUtS77</t>
  </si>
  <si>
    <t>chain guard adapter bracket</t>
  </si>
  <si>
    <t>Sterling Silver Jewelry Extender, Magnetic Clasp Converter For Bracelets, Chain</t>
  </si>
  <si>
    <t>Eu23WEIlJ8fRerTIuWdkxc7w0g8f</t>
  </si>
  <si>
    <t>bracelet personnalisé</t>
  </si>
  <si>
    <t>personalized bracelet</t>
  </si>
  <si>
    <t>Personalized Liberty Bracelet, Custom Women Bracelet, Engraved Bracelet, Personalized Name Bracelet, Bachelorette Party Gift, Mother&amp;#39;s Day</t>
  </si>
  <si>
    <t>Eu_Qf9SZmvc_0jmwgPaVH3rTPw12</t>
  </si>
  <si>
    <t>Personalized Graduation Guest Book As Gift | Graduation Party Gift | Memory guest book | Instax wishes book | Graduation Wishes Book</t>
  </si>
  <si>
    <t>EuE-m8ckwEPKZHyl5G_CHoXA6q1c</t>
  </si>
  <si>
    <t>congrats neon</t>
  </si>
  <si>
    <t>Custom Name Neon Sign, Congrats Neon Sign, Birthday Gifts, Kids Name Sign, Neon Sign For Kids, Bedroom Decor, Bedroom Neon Sig,Unique Decorn</t>
  </si>
  <si>
    <t>EuIklq5RSIVK28HOzuJ_pG1mykae</t>
  </si>
  <si>
    <t>Jordan idol</t>
  </si>
  <si>
    <t>Billy Idol autographed card with COA</t>
  </si>
  <si>
    <t>EuEJV8aqEiJmKse3qVyncB00aLd9</t>
  </si>
  <si>
    <t>tote bag</t>
  </si>
  <si>
    <t>totebag</t>
  </si>
  <si>
    <t>Aesthetic tote bag art jute bag William Morris shopping bag with zipper</t>
  </si>
  <si>
    <t>EudJ9wo-XR6HltHY3haGU6c4N00f</t>
  </si>
  <si>
    <t>semi mount for asscher cut 2 carats</t>
  </si>
  <si>
    <t>Classic Pave Diamond Halo Ring Semi Mount in Solid 14K Gold | Emerald Cut 14x10mm 15x10mm | Radiant Cut | Statement | Customizable | Setting</t>
  </si>
  <si>
    <t>EuxAKTSXhkXGp2CQSh3VPKOHCw57</t>
  </si>
  <si>
    <t>Animal World Map Poster. DIGITAL DOWNLOAD. Boho Playroom Educational Print. Toddler printables. Blue World Map wall art. Kids room map print</t>
  </si>
  <si>
    <t>Ourbaby sandpit 120 x 120 cm - sandbox, childs sandbox, wood sandbox, sand box with seats</t>
  </si>
  <si>
    <t>golden pc</t>
  </si>
  <si>
    <t>Love Yourself Hoodie, Love Hoodie, Love Yourself Sweatshirt, Love Sweatshirt, Christmas Gift, Fan Gift, Soft Hoodie, Heart Hoodie</t>
  </si>
  <si>
    <t>Eu9fvm4Cw2BZ1y0JCRCtTPwC2Fc4</t>
  </si>
  <si>
    <t>spinning garden ornament</t>
  </si>
  <si>
    <t>Rocking Robin And Leaf Garden Spinner Stake Gift</t>
  </si>
  <si>
    <t>EutjdvnB4ppeA2yeoas-Rpi4E_f3</t>
  </si>
  <si>
    <t>axel rose is part of guns n roses who released the album appetite for destruction</t>
  </si>
  <si>
    <t>appetite for destruction  vinyl</t>
  </si>
  <si>
    <t>Where&amp;#39;s Axl Rose? (fan art) Guns n&amp;#39; Roses</t>
  </si>
  <si>
    <t>Eu5jh8R9zru9yL7gZXUfsy9jlK26</t>
  </si>
  <si>
    <t>Nickelodeon Themed Food Labels/Tents - Set of 8</t>
  </si>
  <si>
    <t>st patricks day gift</t>
  </si>
  <si>
    <t>St. Patrick’s Day earrings | shamrock earrings | green earrings | three leaf clover | clover earrings | Irish jewelry</t>
  </si>
  <si>
    <t>EuCEmypOJGrRwdbRJOf1BpHiwp22</t>
  </si>
  <si>
    <t>AUSTRALIA Back in 1974 Poster, 50th Birthday Sign, Party Decoration Idea, Fun Facts Poster, Gift for Him, 1974 Milestone Sign, Digital File</t>
  </si>
  <si>
    <t>Pfotenabdruck Herz Mütze Herz Tierpfote Hundepfote Katzenpfote Herz Tierliebe Cappi - Hundebesitzer Mama Papa Katzenbesitzer Snapback</t>
  </si>
  <si>
    <t>not a stool</t>
  </si>
  <si>
    <t>crochet animal stool</t>
  </si>
  <si>
    <t>Crochet PATTERN Lil&amp;#39;Xeno | Cute and little scary amigurumi alien from outer space | With opened and cracked alien egg</t>
  </si>
  <si>
    <t>Eue0KK6j7d_xDqZs4snrtdE9iU9e</t>
  </si>
  <si>
    <t>1950s barbie</t>
  </si>
  <si>
    <t>PDF Vintage Barbie 11-1/2&amp;quot; Sewing Pattern | Wardrobe Clothes for Dolls 11-1/2&amp;quot; | ENGLISH | Digital Download</t>
  </si>
  <si>
    <t>EuRT7W4Uij1z8jWXPU9F-jdv1804</t>
  </si>
  <si>
    <t>anniversary gifts for him</t>
  </si>
  <si>
    <t>Cute Space Cat Anniversary Card | My World, My Moon &amp; My Stars | Wedding or Dating Anniversary | For Husband, Wife, Boyfriend - Her or Him</t>
  </si>
  <si>
    <t>EuAbi1jDlW9GHLOwqTcJhPWlLMb2</t>
  </si>
  <si>
    <t>no purple option</t>
  </si>
  <si>
    <t>purple necklace</t>
  </si>
  <si>
    <t>14K Solid Gold Family Birthstone Necklace, Birthstone Gift, Christmas Gift, Bridesmaid Gift, Gift for Mom, Birthday Gift, Birthstone Jewelry</t>
  </si>
  <si>
    <t>EuCS6Zu2v9IIpHZ79vASVugPDR81</t>
  </si>
  <si>
    <t>Wish Clipart PNG Instant Digital Download, Wish Printables, Wish Printable, 0008</t>
  </si>
  <si>
    <t>joint holder</t>
  </si>
  <si>
    <t>Blazy Susan Coffin Kit (King Size)</t>
  </si>
  <si>
    <t>EuJI2kzHYwcMXk78FZhnkg7k06cf</t>
  </si>
  <si>
    <t>Brushed Hoop Earrings, Delicate Round Earrings, Flat Hoop Earrings, 925 Sterling Silver Earrings, Various Options</t>
  </si>
  <si>
    <t>Work Your Magic Shopping Bag, Witchy Tote Bag, Magic, Shopping Bag</t>
  </si>
  <si>
    <t>this is coyote tail not raccoon tail</t>
  </si>
  <si>
    <t>raccoon tail keychain</t>
  </si>
  <si>
    <t>Coyote tail keychain</t>
  </si>
  <si>
    <t>EuX9Ij9l0DRgVIj_yGQ-ox0QLSe5</t>
  </si>
  <si>
    <t>this is preschool not 1st grade</t>
  </si>
  <si>
    <t>Preschool Graduation Name Necklace Personalized, Kindergarten Here I Come Graduation Ceremony, Graduation Preschool Pre-K Grad Notecard Gift</t>
  </si>
  <si>
    <t>toller</t>
  </si>
  <si>
    <t>Happy Birthday Sausage Dog Card</t>
  </si>
  <si>
    <t>EuTN4soJXXiQXGu1Y6g8f96j59d3</t>
  </si>
  <si>
    <t>Beaded Bracelets</t>
  </si>
  <si>
    <t>Rainbow Bracelet, Seed Bead Bracelet, Stretch Bracelet, Smiley Bracelet, Gold Bead Bracelet, Happy Face Bracelet, Yellow Smiley Bracelet</t>
  </si>
  <si>
    <t>Eu0IJyDsKOgDw7ll9_M8NLy1K08c</t>
  </si>
  <si>
    <t>geschenk opa geburtstag</t>
  </si>
  <si>
    <t>gift grandpa birthday</t>
  </si>
  <si>
    <t>Grandpa Fathers Day, Grandpa Birthday Gift, Personalized Grandpa Gift, Grandfather Birthday Gift, Grandpa Christmas Gift, Grandparent Gifts</t>
  </si>
  <si>
    <t>EuT-XiPv--EkxAXCiuN0tPFDCee5</t>
  </si>
  <si>
    <t>Wine table, picnic table, serving tray oval oak, couch bar, beach table, wedding, birthday gift, folding table, wine lover.</t>
  </si>
  <si>
    <t>Eu1WpEEhzfkICNsf0vk87QEA0sd2</t>
  </si>
  <si>
    <t>fox onesie</t>
  </si>
  <si>
    <t>First Birthday Outfit Girl, Woodland Birthday Onesie, Woodland Birthday Party Shirt, Personalized Bear Fox Deer Onesie</t>
  </si>
  <si>
    <t>Eue8VPaKwO5OEAvRJvM_cAN8s-38</t>
  </si>
  <si>
    <t>old ceramic dish LA BOURGUIGNONNE french vitage 1970</t>
  </si>
  <si>
    <t>anello dentizione</t>
  </si>
  <si>
    <t>teething ring</t>
  </si>
  <si>
    <t>Teething ring grasping ring wood muslin bunny ears 100% cotton</t>
  </si>
  <si>
    <t>Euqw_3pY6gYPmP7TGFqmNfTSk4a6</t>
  </si>
  <si>
    <t>turning red</t>
  </si>
  <si>
    <t>Schleich red panda in party hat, includes mini flag with wording of your choice. Add extra accessories.</t>
  </si>
  <si>
    <t>EuK8oQPu5ODw-X31mWNo3vs5d-a7</t>
  </si>
  <si>
    <t>italian charm bracelet gold</t>
  </si>
  <si>
    <t>Dainty Opal Moon Bracelet, Crescent Moon and Star Sterling Silver Bracelet, Gift for Her</t>
  </si>
  <si>
    <t>EuuWWjWiYQxT9OeasbGWjqHQ_Ge2</t>
  </si>
  <si>
    <t>tulle dress mesh</t>
  </si>
  <si>
    <t>Vintage Style Mesh Embroidered Dress- Size S to XL</t>
  </si>
  <si>
    <t>EuSgJQ1Qbsfs-9zQWvsQfbcIL-46</t>
  </si>
  <si>
    <t>one peice tumbler</t>
  </si>
  <si>
    <t>Laser Engraved Anime Lover Water Bottle Stainless Steel Bottle Leak Proof Anime Gift for Friend Family Jujutsu Kaisen. 1 Side/image</t>
  </si>
  <si>
    <t>EuHKPaDyuo59DGCfrEH28ydztO81</t>
  </si>
  <si>
    <t>Bracelet for Xiaomi Mi Band 8 Sport Watch Strap Silicone Replacement strap Fitness tracker band</t>
  </si>
  <si>
    <t>twitch sunset overlays</t>
  </si>
  <si>
    <t>Twitch Overlay Beachy Vibes | Stream Package Beach Theme | Customizable Overlays For Twitch | Vtuber Overlay &amp; Panels</t>
  </si>
  <si>
    <t>EuuGvaSD_B2ciYJXz7LI2t4WYce7</t>
  </si>
  <si>
    <t>this is silver not gold</t>
  </si>
  <si>
    <t>amoniet hanger goud</t>
  </si>
  <si>
    <t>amonite pendant gold</t>
  </si>
  <si>
    <t>Ammonite Fossil Gemstone Handmade Pendant 925 Sterling Silver Pendant Gemstone Decent Jewelry Ammonite Fossil Pendant For Mom Gift For Her</t>
  </si>
  <si>
    <t>EuW-HFv8vWIPB3AEEz9N8_eF3084</t>
  </si>
  <si>
    <t>cheese board</t>
  </si>
  <si>
    <t>Personalized slate Cheese Board,engraved Service platter,Gift for wedding,Custom Name,Xmas Gift CH196</t>
  </si>
  <si>
    <t>Eu0DOzkxJiEJmFp5wBRcS4ShMr84</t>
  </si>
  <si>
    <t>Natural Boutique ox Horn Comb Hair Brush,Handle Horn Massage Comb, cattle horns 100% Genuine Horn Pocket Beard Comb Anti Static Scalp Brush</t>
  </si>
  <si>
    <t>beautiful svg</t>
  </si>
  <si>
    <t>Beautiful crazy svg, Country, svg, Beautiful crazy svg, Beautiful svg, Country t shirt svg, Cricut cut file, Silhouette</t>
  </si>
  <si>
    <t>EusVMXUhl5aHOuyeMokh8LIPCSd7</t>
  </si>
  <si>
    <t>decorasion de super simple songs</t>
  </si>
  <si>
    <t>decoration of super simple songs</t>
  </si>
  <si>
    <t>Name That Baby Song | Name That Baby Tune | Baby Song Game | Name That Baby Game | Baby Shower Game Printable | Editable Template | A1</t>
  </si>
  <si>
    <t>Euhm3YQH1rW-RCn0JEt0__YuAF7d</t>
  </si>
  <si>
    <t>Eu06eh84nntprIUcBB5AXMgoiu6c</t>
  </si>
  <si>
    <t>Pink maternity dresses</t>
  </si>
  <si>
    <t>SUNRISE Bohemian Lace Maternity dress, Lace dress for elopement wedding, Maternity gown for photoshoot or Babyshower, Pregnancy dress</t>
  </si>
  <si>
    <t>Eus9bms61ZsByYmiW2sbyBmUff33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</si>
</sst>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Arial"/>
    </font>
    <font>
      <sz val="11.0"/>
      <color theme="1"/>
      <name val="Arial"/>
    </font>
    <font>
      <color theme="1"/>
      <name val="Calibri"/>
      <scheme val="minor"/>
    </font>
    <font>
      <u/>
      <sz val="11.0"/>
      <color rgb="FF0000FF"/>
      <name val="Arial"/>
    </font>
    <font>
      <u/>
      <sz val="11.0"/>
      <color theme="1"/>
      <name val="Arial"/>
    </font>
    <font>
      <u/>
      <sz val="11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mailto:csu@etsy.com" TargetMode="External"/><Relationship Id="rId391" Type="http://schemas.openxmlformats.org/officeDocument/2006/relationships/hyperlink" Target="mailto:whuang@etsy.com" TargetMode="External"/><Relationship Id="rId390" Type="http://schemas.openxmlformats.org/officeDocument/2006/relationships/hyperlink" Target="mailto:ebenjamin@etsy.com" TargetMode="External"/><Relationship Id="rId1" Type="http://schemas.openxmlformats.org/officeDocument/2006/relationships/hyperlink" Target="mailto:whuang@etsy.com" TargetMode="External"/><Relationship Id="rId2" Type="http://schemas.openxmlformats.org/officeDocument/2006/relationships/hyperlink" Target="mailto:csu@etsy.com" TargetMode="External"/><Relationship Id="rId3" Type="http://schemas.openxmlformats.org/officeDocument/2006/relationships/hyperlink" Target="mailto:aangeleas@etsy.com" TargetMode="External"/><Relationship Id="rId4" Type="http://schemas.openxmlformats.org/officeDocument/2006/relationships/hyperlink" Target="mailto:whuang@etsy.com" TargetMode="External"/><Relationship Id="rId9" Type="http://schemas.openxmlformats.org/officeDocument/2006/relationships/hyperlink" Target="mailto:aangeleas@etsy.com" TargetMode="External"/><Relationship Id="rId385" Type="http://schemas.openxmlformats.org/officeDocument/2006/relationships/hyperlink" Target="mailto:whuang@etsy.com" TargetMode="External"/><Relationship Id="rId384" Type="http://schemas.openxmlformats.org/officeDocument/2006/relationships/hyperlink" Target="mailto:ebenjamin@etsy.com" TargetMode="External"/><Relationship Id="rId383" Type="http://schemas.openxmlformats.org/officeDocument/2006/relationships/hyperlink" Target="mailto:csu@etsy.com" TargetMode="External"/><Relationship Id="rId382" Type="http://schemas.openxmlformats.org/officeDocument/2006/relationships/hyperlink" Target="mailto:whuang@etsy.com" TargetMode="External"/><Relationship Id="rId5" Type="http://schemas.openxmlformats.org/officeDocument/2006/relationships/hyperlink" Target="mailto:csu@etsy.com" TargetMode="External"/><Relationship Id="rId389" Type="http://schemas.openxmlformats.org/officeDocument/2006/relationships/hyperlink" Target="mailto:csu@etsy.com" TargetMode="External"/><Relationship Id="rId6" Type="http://schemas.openxmlformats.org/officeDocument/2006/relationships/hyperlink" Target="mailto:aangeleas@etsy.com" TargetMode="External"/><Relationship Id="rId388" Type="http://schemas.openxmlformats.org/officeDocument/2006/relationships/hyperlink" Target="mailto:whuang@etsy.com" TargetMode="External"/><Relationship Id="rId7" Type="http://schemas.openxmlformats.org/officeDocument/2006/relationships/hyperlink" Target="mailto:whuang@etsy.com" TargetMode="External"/><Relationship Id="rId387" Type="http://schemas.openxmlformats.org/officeDocument/2006/relationships/hyperlink" Target="mailto:ebenjamin@etsy.com" TargetMode="External"/><Relationship Id="rId8" Type="http://schemas.openxmlformats.org/officeDocument/2006/relationships/hyperlink" Target="mailto:csu@etsy.com" TargetMode="External"/><Relationship Id="rId386" Type="http://schemas.openxmlformats.org/officeDocument/2006/relationships/hyperlink" Target="mailto:csu@etsy.com" TargetMode="External"/><Relationship Id="rId381" Type="http://schemas.openxmlformats.org/officeDocument/2006/relationships/hyperlink" Target="mailto:ebenjamin@etsy.com" TargetMode="External"/><Relationship Id="rId380" Type="http://schemas.openxmlformats.org/officeDocument/2006/relationships/hyperlink" Target="mailto:csu@etsy.com" TargetMode="External"/><Relationship Id="rId379" Type="http://schemas.openxmlformats.org/officeDocument/2006/relationships/hyperlink" Target="mailto:whuang@etsy.com" TargetMode="External"/><Relationship Id="rId374" Type="http://schemas.openxmlformats.org/officeDocument/2006/relationships/hyperlink" Target="mailto:csu@etsy.com" TargetMode="External"/><Relationship Id="rId373" Type="http://schemas.openxmlformats.org/officeDocument/2006/relationships/hyperlink" Target="mailto:whuang@etsy.com" TargetMode="External"/><Relationship Id="rId372" Type="http://schemas.openxmlformats.org/officeDocument/2006/relationships/hyperlink" Target="mailto:ebenjamin@etsy.com" TargetMode="External"/><Relationship Id="rId371" Type="http://schemas.openxmlformats.org/officeDocument/2006/relationships/hyperlink" Target="mailto:csu@etsy.com" TargetMode="External"/><Relationship Id="rId378" Type="http://schemas.openxmlformats.org/officeDocument/2006/relationships/hyperlink" Target="mailto:ebenjamin@etsy.com" TargetMode="External"/><Relationship Id="rId377" Type="http://schemas.openxmlformats.org/officeDocument/2006/relationships/hyperlink" Target="mailto:csu@etsy.com" TargetMode="External"/><Relationship Id="rId376" Type="http://schemas.openxmlformats.org/officeDocument/2006/relationships/hyperlink" Target="mailto:whuang@etsy.com" TargetMode="External"/><Relationship Id="rId375" Type="http://schemas.openxmlformats.org/officeDocument/2006/relationships/hyperlink" Target="mailto:ebenjamin@etsy.com" TargetMode="External"/><Relationship Id="rId396" Type="http://schemas.openxmlformats.org/officeDocument/2006/relationships/hyperlink" Target="mailto:ebenjamin@etsy.com" TargetMode="External"/><Relationship Id="rId395" Type="http://schemas.openxmlformats.org/officeDocument/2006/relationships/hyperlink" Target="mailto:csu@etsy.com" TargetMode="External"/><Relationship Id="rId394" Type="http://schemas.openxmlformats.org/officeDocument/2006/relationships/hyperlink" Target="mailto:whuang@etsy.com" TargetMode="External"/><Relationship Id="rId393" Type="http://schemas.openxmlformats.org/officeDocument/2006/relationships/hyperlink" Target="mailto:ebenjamin@etsy.com" TargetMode="External"/><Relationship Id="rId399" Type="http://schemas.openxmlformats.org/officeDocument/2006/relationships/hyperlink" Target="mailto:ebenjamin@etsy.com" TargetMode="External"/><Relationship Id="rId398" Type="http://schemas.openxmlformats.org/officeDocument/2006/relationships/hyperlink" Target="mailto:csu@etsy.com" TargetMode="External"/><Relationship Id="rId397" Type="http://schemas.openxmlformats.org/officeDocument/2006/relationships/hyperlink" Target="mailto:whuang@etsy.com" TargetMode="External"/><Relationship Id="rId1730" Type="http://schemas.openxmlformats.org/officeDocument/2006/relationships/hyperlink" Target="mailto:aangeleas@etsy.com" TargetMode="External"/><Relationship Id="rId1731" Type="http://schemas.openxmlformats.org/officeDocument/2006/relationships/hyperlink" Target="mailto:ebenjamin@etsy.com" TargetMode="External"/><Relationship Id="rId1732" Type="http://schemas.openxmlformats.org/officeDocument/2006/relationships/hyperlink" Target="mailto:whuang@etsy.com" TargetMode="External"/><Relationship Id="rId1733" Type="http://schemas.openxmlformats.org/officeDocument/2006/relationships/hyperlink" Target="mailto:aangeleas@etsy.com" TargetMode="External"/><Relationship Id="rId1734" Type="http://schemas.openxmlformats.org/officeDocument/2006/relationships/hyperlink" Target="mailto:ebenjamin@etsy.com" TargetMode="External"/><Relationship Id="rId1735" Type="http://schemas.openxmlformats.org/officeDocument/2006/relationships/hyperlink" Target="mailto:whuang@etsy.com" TargetMode="External"/><Relationship Id="rId1736" Type="http://schemas.openxmlformats.org/officeDocument/2006/relationships/hyperlink" Target="mailto:aangeleas@etsy.com" TargetMode="External"/><Relationship Id="rId1737" Type="http://schemas.openxmlformats.org/officeDocument/2006/relationships/hyperlink" Target="mailto:ebenjamin@etsy.com" TargetMode="External"/><Relationship Id="rId1738" Type="http://schemas.openxmlformats.org/officeDocument/2006/relationships/hyperlink" Target="mailto:whuang@etsy.com" TargetMode="External"/><Relationship Id="rId1739" Type="http://schemas.openxmlformats.org/officeDocument/2006/relationships/hyperlink" Target="mailto:aangeleas@etsy.com" TargetMode="External"/><Relationship Id="rId1720" Type="http://schemas.openxmlformats.org/officeDocument/2006/relationships/hyperlink" Target="mailto:whuang@etsy.com" TargetMode="External"/><Relationship Id="rId1721" Type="http://schemas.openxmlformats.org/officeDocument/2006/relationships/hyperlink" Target="mailto:aangeleas@etsy.com" TargetMode="External"/><Relationship Id="rId1722" Type="http://schemas.openxmlformats.org/officeDocument/2006/relationships/hyperlink" Target="mailto:ebenjamin@etsy.com" TargetMode="External"/><Relationship Id="rId1723" Type="http://schemas.openxmlformats.org/officeDocument/2006/relationships/hyperlink" Target="mailto:whuang@etsy.com" TargetMode="External"/><Relationship Id="rId1724" Type="http://schemas.openxmlformats.org/officeDocument/2006/relationships/hyperlink" Target="mailto:aangeleas@etsy.com" TargetMode="External"/><Relationship Id="rId1725" Type="http://schemas.openxmlformats.org/officeDocument/2006/relationships/hyperlink" Target="mailto:ebenjamin@etsy.com" TargetMode="External"/><Relationship Id="rId1726" Type="http://schemas.openxmlformats.org/officeDocument/2006/relationships/hyperlink" Target="mailto:whuang@etsy.com" TargetMode="External"/><Relationship Id="rId1727" Type="http://schemas.openxmlformats.org/officeDocument/2006/relationships/hyperlink" Target="mailto:aangeleas@etsy.com" TargetMode="External"/><Relationship Id="rId1728" Type="http://schemas.openxmlformats.org/officeDocument/2006/relationships/hyperlink" Target="mailto:ebenjamin@etsy.com" TargetMode="External"/><Relationship Id="rId1729" Type="http://schemas.openxmlformats.org/officeDocument/2006/relationships/hyperlink" Target="mailto:whuang@etsy.com" TargetMode="External"/><Relationship Id="rId1752" Type="http://schemas.openxmlformats.org/officeDocument/2006/relationships/hyperlink" Target="mailto:ebenjamin@etsy.com" TargetMode="External"/><Relationship Id="rId1753" Type="http://schemas.openxmlformats.org/officeDocument/2006/relationships/hyperlink" Target="mailto:whuang@etsy.com" TargetMode="External"/><Relationship Id="rId1754" Type="http://schemas.openxmlformats.org/officeDocument/2006/relationships/hyperlink" Target="mailto:aangeleas@etsy.com" TargetMode="External"/><Relationship Id="rId1755" Type="http://schemas.openxmlformats.org/officeDocument/2006/relationships/hyperlink" Target="mailto:ebenjamin@etsy.com" TargetMode="External"/><Relationship Id="rId1756" Type="http://schemas.openxmlformats.org/officeDocument/2006/relationships/hyperlink" Target="mailto:whuang@etsy.com" TargetMode="External"/><Relationship Id="rId1757" Type="http://schemas.openxmlformats.org/officeDocument/2006/relationships/hyperlink" Target="mailto:aangeleas@etsy.com" TargetMode="External"/><Relationship Id="rId1758" Type="http://schemas.openxmlformats.org/officeDocument/2006/relationships/hyperlink" Target="mailto:ebenjamin@etsy.com" TargetMode="External"/><Relationship Id="rId1759" Type="http://schemas.openxmlformats.org/officeDocument/2006/relationships/hyperlink" Target="mailto:whuang@etsy.com" TargetMode="External"/><Relationship Id="rId808" Type="http://schemas.openxmlformats.org/officeDocument/2006/relationships/hyperlink" Target="mailto:whuang@etsy.com" TargetMode="External"/><Relationship Id="rId807" Type="http://schemas.openxmlformats.org/officeDocument/2006/relationships/hyperlink" Target="mailto:yzhang@etsy.com" TargetMode="External"/><Relationship Id="rId806" Type="http://schemas.openxmlformats.org/officeDocument/2006/relationships/hyperlink" Target="mailto:csu@etsy.com" TargetMode="External"/><Relationship Id="rId805" Type="http://schemas.openxmlformats.org/officeDocument/2006/relationships/hyperlink" Target="mailto:whuang@etsy.com" TargetMode="External"/><Relationship Id="rId809" Type="http://schemas.openxmlformats.org/officeDocument/2006/relationships/hyperlink" Target="mailto:csu@etsy.com" TargetMode="External"/><Relationship Id="rId800" Type="http://schemas.openxmlformats.org/officeDocument/2006/relationships/hyperlink" Target="mailto:csu@etsy.com" TargetMode="External"/><Relationship Id="rId804" Type="http://schemas.openxmlformats.org/officeDocument/2006/relationships/hyperlink" Target="mailto:yzhang@etsy.com" TargetMode="External"/><Relationship Id="rId803" Type="http://schemas.openxmlformats.org/officeDocument/2006/relationships/hyperlink" Target="mailto:csu@etsy.com" TargetMode="External"/><Relationship Id="rId802" Type="http://schemas.openxmlformats.org/officeDocument/2006/relationships/hyperlink" Target="mailto:whuang@etsy.com" TargetMode="External"/><Relationship Id="rId801" Type="http://schemas.openxmlformats.org/officeDocument/2006/relationships/hyperlink" Target="mailto:yzhang@etsy.com" TargetMode="External"/><Relationship Id="rId1750" Type="http://schemas.openxmlformats.org/officeDocument/2006/relationships/hyperlink" Target="mailto:whuang@etsy.com" TargetMode="External"/><Relationship Id="rId1751" Type="http://schemas.openxmlformats.org/officeDocument/2006/relationships/hyperlink" Target="mailto:aangeleas@etsy.com" TargetMode="External"/><Relationship Id="rId1741" Type="http://schemas.openxmlformats.org/officeDocument/2006/relationships/hyperlink" Target="mailto:whuang@etsy.com" TargetMode="External"/><Relationship Id="rId1742" Type="http://schemas.openxmlformats.org/officeDocument/2006/relationships/hyperlink" Target="mailto:aangeleas@etsy.com" TargetMode="External"/><Relationship Id="rId1743" Type="http://schemas.openxmlformats.org/officeDocument/2006/relationships/hyperlink" Target="mailto:ebenjamin@etsy.com" TargetMode="External"/><Relationship Id="rId1744" Type="http://schemas.openxmlformats.org/officeDocument/2006/relationships/hyperlink" Target="mailto:whuang@etsy.com" TargetMode="External"/><Relationship Id="rId1745" Type="http://schemas.openxmlformats.org/officeDocument/2006/relationships/hyperlink" Target="mailto:aangeleas@etsy.com" TargetMode="External"/><Relationship Id="rId1746" Type="http://schemas.openxmlformats.org/officeDocument/2006/relationships/hyperlink" Target="mailto:ebenjamin@etsy.com" TargetMode="External"/><Relationship Id="rId1747" Type="http://schemas.openxmlformats.org/officeDocument/2006/relationships/hyperlink" Target="mailto:whuang@etsy.com" TargetMode="External"/><Relationship Id="rId1748" Type="http://schemas.openxmlformats.org/officeDocument/2006/relationships/hyperlink" Target="mailto:aangeleas@etsy.com" TargetMode="External"/><Relationship Id="rId1749" Type="http://schemas.openxmlformats.org/officeDocument/2006/relationships/hyperlink" Target="mailto:ebenjamin@etsy.com" TargetMode="External"/><Relationship Id="rId1740" Type="http://schemas.openxmlformats.org/officeDocument/2006/relationships/hyperlink" Target="mailto:ebenjamin@etsy.com" TargetMode="External"/><Relationship Id="rId1710" Type="http://schemas.openxmlformats.org/officeDocument/2006/relationships/hyperlink" Target="mailto:ebenjamin@etsy.com" TargetMode="External"/><Relationship Id="rId1711" Type="http://schemas.openxmlformats.org/officeDocument/2006/relationships/hyperlink" Target="mailto:whuang@etsy.com" TargetMode="External"/><Relationship Id="rId1712" Type="http://schemas.openxmlformats.org/officeDocument/2006/relationships/hyperlink" Target="mailto:aangeleas@etsy.com" TargetMode="External"/><Relationship Id="rId1713" Type="http://schemas.openxmlformats.org/officeDocument/2006/relationships/hyperlink" Target="mailto:ebenjamin@etsy.com" TargetMode="External"/><Relationship Id="rId1714" Type="http://schemas.openxmlformats.org/officeDocument/2006/relationships/hyperlink" Target="mailto:whuang@etsy.com" TargetMode="External"/><Relationship Id="rId1715" Type="http://schemas.openxmlformats.org/officeDocument/2006/relationships/hyperlink" Target="mailto:aangeleas@etsy.com" TargetMode="External"/><Relationship Id="rId1716" Type="http://schemas.openxmlformats.org/officeDocument/2006/relationships/hyperlink" Target="mailto:ebenjamin@etsy.com" TargetMode="External"/><Relationship Id="rId1717" Type="http://schemas.openxmlformats.org/officeDocument/2006/relationships/hyperlink" Target="mailto:whuang@etsy.com" TargetMode="External"/><Relationship Id="rId1718" Type="http://schemas.openxmlformats.org/officeDocument/2006/relationships/hyperlink" Target="mailto:aangeleas@etsy.com" TargetMode="External"/><Relationship Id="rId1719" Type="http://schemas.openxmlformats.org/officeDocument/2006/relationships/hyperlink" Target="mailto:ebenjamin@etsy.com" TargetMode="External"/><Relationship Id="rId1700" Type="http://schemas.openxmlformats.org/officeDocument/2006/relationships/hyperlink" Target="mailto:aangeleas@etsy.com" TargetMode="External"/><Relationship Id="rId1701" Type="http://schemas.openxmlformats.org/officeDocument/2006/relationships/hyperlink" Target="mailto:ebenjamin@etsy.com" TargetMode="External"/><Relationship Id="rId1702" Type="http://schemas.openxmlformats.org/officeDocument/2006/relationships/hyperlink" Target="mailto:whuang@etsy.com" TargetMode="External"/><Relationship Id="rId1703" Type="http://schemas.openxmlformats.org/officeDocument/2006/relationships/hyperlink" Target="mailto:aangeleas@etsy.com" TargetMode="External"/><Relationship Id="rId1704" Type="http://schemas.openxmlformats.org/officeDocument/2006/relationships/hyperlink" Target="mailto:ebenjamin@etsy.com" TargetMode="External"/><Relationship Id="rId1705" Type="http://schemas.openxmlformats.org/officeDocument/2006/relationships/hyperlink" Target="mailto:whuang@etsy.com" TargetMode="External"/><Relationship Id="rId1706" Type="http://schemas.openxmlformats.org/officeDocument/2006/relationships/hyperlink" Target="mailto:aangeleas@etsy.com" TargetMode="External"/><Relationship Id="rId1707" Type="http://schemas.openxmlformats.org/officeDocument/2006/relationships/hyperlink" Target="mailto:ebenjamin@etsy.com" TargetMode="External"/><Relationship Id="rId1708" Type="http://schemas.openxmlformats.org/officeDocument/2006/relationships/hyperlink" Target="mailto:whuang@etsy.com" TargetMode="External"/><Relationship Id="rId1709" Type="http://schemas.openxmlformats.org/officeDocument/2006/relationships/hyperlink" Target="mailto:aangeleas@etsy.com" TargetMode="External"/><Relationship Id="rId40" Type="http://schemas.openxmlformats.org/officeDocument/2006/relationships/hyperlink" Target="mailto:whuang@etsy.com" TargetMode="External"/><Relationship Id="rId1334" Type="http://schemas.openxmlformats.org/officeDocument/2006/relationships/hyperlink" Target="mailto:aangeleas@etsy.com" TargetMode="External"/><Relationship Id="rId1335" Type="http://schemas.openxmlformats.org/officeDocument/2006/relationships/hyperlink" Target="mailto:yzhang@etsy.com" TargetMode="External"/><Relationship Id="rId42" Type="http://schemas.openxmlformats.org/officeDocument/2006/relationships/hyperlink" Target="mailto:aangeleas@etsy.com" TargetMode="External"/><Relationship Id="rId1336" Type="http://schemas.openxmlformats.org/officeDocument/2006/relationships/hyperlink" Target="mailto:whuang@etsy.com" TargetMode="External"/><Relationship Id="rId41" Type="http://schemas.openxmlformats.org/officeDocument/2006/relationships/hyperlink" Target="mailto:csu@etsy.com" TargetMode="External"/><Relationship Id="rId1337" Type="http://schemas.openxmlformats.org/officeDocument/2006/relationships/hyperlink" Target="mailto:aangeleas@etsy.com" TargetMode="External"/><Relationship Id="rId44" Type="http://schemas.openxmlformats.org/officeDocument/2006/relationships/hyperlink" Target="mailto:csu@etsy.com" TargetMode="External"/><Relationship Id="rId1338" Type="http://schemas.openxmlformats.org/officeDocument/2006/relationships/hyperlink" Target="mailto:yzhang@etsy.com" TargetMode="External"/><Relationship Id="rId43" Type="http://schemas.openxmlformats.org/officeDocument/2006/relationships/hyperlink" Target="mailto:whuang@etsy.com" TargetMode="External"/><Relationship Id="rId1339" Type="http://schemas.openxmlformats.org/officeDocument/2006/relationships/hyperlink" Target="mailto:whuang@etsy.com" TargetMode="External"/><Relationship Id="rId46" Type="http://schemas.openxmlformats.org/officeDocument/2006/relationships/hyperlink" Target="mailto:whuang@etsy.com" TargetMode="External"/><Relationship Id="rId45" Type="http://schemas.openxmlformats.org/officeDocument/2006/relationships/hyperlink" Target="mailto:aangeleas@etsy.com" TargetMode="External"/><Relationship Id="rId745" Type="http://schemas.openxmlformats.org/officeDocument/2006/relationships/hyperlink" Target="mailto:whuang@etsy.com" TargetMode="External"/><Relationship Id="rId744" Type="http://schemas.openxmlformats.org/officeDocument/2006/relationships/hyperlink" Target="mailto:yzhang@etsy.com" TargetMode="External"/><Relationship Id="rId743" Type="http://schemas.openxmlformats.org/officeDocument/2006/relationships/hyperlink" Target="mailto:csu@etsy.com" TargetMode="External"/><Relationship Id="rId742" Type="http://schemas.openxmlformats.org/officeDocument/2006/relationships/hyperlink" Target="mailto:whuang@etsy.com" TargetMode="External"/><Relationship Id="rId749" Type="http://schemas.openxmlformats.org/officeDocument/2006/relationships/hyperlink" Target="mailto:csu@etsy.com" TargetMode="External"/><Relationship Id="rId748" Type="http://schemas.openxmlformats.org/officeDocument/2006/relationships/hyperlink" Target="mailto:whuang@etsy.com" TargetMode="External"/><Relationship Id="rId747" Type="http://schemas.openxmlformats.org/officeDocument/2006/relationships/hyperlink" Target="mailto:yzhang@etsy.com" TargetMode="External"/><Relationship Id="rId746" Type="http://schemas.openxmlformats.org/officeDocument/2006/relationships/hyperlink" Target="mailto:csu@etsy.com" TargetMode="External"/><Relationship Id="rId48" Type="http://schemas.openxmlformats.org/officeDocument/2006/relationships/hyperlink" Target="mailto:aangeleas@etsy.com" TargetMode="External"/><Relationship Id="rId47" Type="http://schemas.openxmlformats.org/officeDocument/2006/relationships/hyperlink" Target="mailto:csu@etsy.com" TargetMode="External"/><Relationship Id="rId49" Type="http://schemas.openxmlformats.org/officeDocument/2006/relationships/hyperlink" Target="mailto:whuang@etsy.com" TargetMode="External"/><Relationship Id="rId741" Type="http://schemas.openxmlformats.org/officeDocument/2006/relationships/hyperlink" Target="mailto:yzhang@etsy.com" TargetMode="External"/><Relationship Id="rId1330" Type="http://schemas.openxmlformats.org/officeDocument/2006/relationships/hyperlink" Target="mailto:whuang@etsy.com" TargetMode="External"/><Relationship Id="rId740" Type="http://schemas.openxmlformats.org/officeDocument/2006/relationships/hyperlink" Target="mailto:csu@etsy.com" TargetMode="External"/><Relationship Id="rId1331" Type="http://schemas.openxmlformats.org/officeDocument/2006/relationships/hyperlink" Target="mailto:aangeleas@etsy.com" TargetMode="External"/><Relationship Id="rId1332" Type="http://schemas.openxmlformats.org/officeDocument/2006/relationships/hyperlink" Target="mailto:yzhang@etsy.com" TargetMode="External"/><Relationship Id="rId1333" Type="http://schemas.openxmlformats.org/officeDocument/2006/relationships/hyperlink" Target="mailto:whuang@etsy.com" TargetMode="External"/><Relationship Id="rId1323" Type="http://schemas.openxmlformats.org/officeDocument/2006/relationships/hyperlink" Target="mailto:yzhang@etsy.com" TargetMode="External"/><Relationship Id="rId1324" Type="http://schemas.openxmlformats.org/officeDocument/2006/relationships/hyperlink" Target="mailto:whuang@etsy.com" TargetMode="External"/><Relationship Id="rId31" Type="http://schemas.openxmlformats.org/officeDocument/2006/relationships/hyperlink" Target="mailto:whuang@etsy.com" TargetMode="External"/><Relationship Id="rId1325" Type="http://schemas.openxmlformats.org/officeDocument/2006/relationships/hyperlink" Target="mailto:aangeleas@etsy.com" TargetMode="External"/><Relationship Id="rId30" Type="http://schemas.openxmlformats.org/officeDocument/2006/relationships/hyperlink" Target="mailto:aangeleas@etsy.com" TargetMode="External"/><Relationship Id="rId1326" Type="http://schemas.openxmlformats.org/officeDocument/2006/relationships/hyperlink" Target="mailto:yzhang@etsy.com" TargetMode="External"/><Relationship Id="rId33" Type="http://schemas.openxmlformats.org/officeDocument/2006/relationships/hyperlink" Target="mailto:aangeleas@etsy.com" TargetMode="External"/><Relationship Id="rId1327" Type="http://schemas.openxmlformats.org/officeDocument/2006/relationships/hyperlink" Target="mailto:whuang@etsy.com" TargetMode="External"/><Relationship Id="rId32" Type="http://schemas.openxmlformats.org/officeDocument/2006/relationships/hyperlink" Target="mailto:csu@etsy.com" TargetMode="External"/><Relationship Id="rId1328" Type="http://schemas.openxmlformats.org/officeDocument/2006/relationships/hyperlink" Target="mailto:aangeleas@etsy.com" TargetMode="External"/><Relationship Id="rId35" Type="http://schemas.openxmlformats.org/officeDocument/2006/relationships/hyperlink" Target="mailto:csu@etsy.com" TargetMode="External"/><Relationship Id="rId1329" Type="http://schemas.openxmlformats.org/officeDocument/2006/relationships/hyperlink" Target="mailto:yzhang@etsy.com" TargetMode="External"/><Relationship Id="rId34" Type="http://schemas.openxmlformats.org/officeDocument/2006/relationships/hyperlink" Target="mailto:whuang@etsy.com" TargetMode="External"/><Relationship Id="rId739" Type="http://schemas.openxmlformats.org/officeDocument/2006/relationships/hyperlink" Target="mailto:whuang@etsy.com" TargetMode="External"/><Relationship Id="rId734" Type="http://schemas.openxmlformats.org/officeDocument/2006/relationships/hyperlink" Target="mailto:csu@etsy.com" TargetMode="External"/><Relationship Id="rId733" Type="http://schemas.openxmlformats.org/officeDocument/2006/relationships/hyperlink" Target="mailto:whuang@etsy.com" TargetMode="External"/><Relationship Id="rId732" Type="http://schemas.openxmlformats.org/officeDocument/2006/relationships/hyperlink" Target="mailto:yzhang@etsy.com" TargetMode="External"/><Relationship Id="rId731" Type="http://schemas.openxmlformats.org/officeDocument/2006/relationships/hyperlink" Target="mailto:csu@etsy.com" TargetMode="External"/><Relationship Id="rId738" Type="http://schemas.openxmlformats.org/officeDocument/2006/relationships/hyperlink" Target="mailto:yzhang@etsy.com" TargetMode="External"/><Relationship Id="rId737" Type="http://schemas.openxmlformats.org/officeDocument/2006/relationships/hyperlink" Target="mailto:csu@etsy.com" TargetMode="External"/><Relationship Id="rId736" Type="http://schemas.openxmlformats.org/officeDocument/2006/relationships/hyperlink" Target="mailto:whuang@etsy.com" TargetMode="External"/><Relationship Id="rId735" Type="http://schemas.openxmlformats.org/officeDocument/2006/relationships/hyperlink" Target="mailto:yzhang@etsy.com" TargetMode="External"/><Relationship Id="rId37" Type="http://schemas.openxmlformats.org/officeDocument/2006/relationships/hyperlink" Target="mailto:whuang@etsy.com" TargetMode="External"/><Relationship Id="rId36" Type="http://schemas.openxmlformats.org/officeDocument/2006/relationships/hyperlink" Target="mailto:aangeleas@etsy.com" TargetMode="External"/><Relationship Id="rId39" Type="http://schemas.openxmlformats.org/officeDocument/2006/relationships/hyperlink" Target="mailto:aangeleas@etsy.com" TargetMode="External"/><Relationship Id="rId38" Type="http://schemas.openxmlformats.org/officeDocument/2006/relationships/hyperlink" Target="mailto:csu@etsy.com" TargetMode="External"/><Relationship Id="rId730" Type="http://schemas.openxmlformats.org/officeDocument/2006/relationships/hyperlink" Target="mailto:whuang@etsy.com" TargetMode="External"/><Relationship Id="rId1320" Type="http://schemas.openxmlformats.org/officeDocument/2006/relationships/hyperlink" Target="mailto:yzhang@etsy.com" TargetMode="External"/><Relationship Id="rId1321" Type="http://schemas.openxmlformats.org/officeDocument/2006/relationships/hyperlink" Target="mailto:whuang@etsy.com" TargetMode="External"/><Relationship Id="rId1322" Type="http://schemas.openxmlformats.org/officeDocument/2006/relationships/hyperlink" Target="mailto:aangeleas@etsy.com" TargetMode="External"/><Relationship Id="rId1356" Type="http://schemas.openxmlformats.org/officeDocument/2006/relationships/hyperlink" Target="mailto:yzhang@etsy.com" TargetMode="External"/><Relationship Id="rId1357" Type="http://schemas.openxmlformats.org/officeDocument/2006/relationships/hyperlink" Target="mailto:whuang@etsy.com" TargetMode="External"/><Relationship Id="rId20" Type="http://schemas.openxmlformats.org/officeDocument/2006/relationships/hyperlink" Target="mailto:csu@etsy.com" TargetMode="External"/><Relationship Id="rId1358" Type="http://schemas.openxmlformats.org/officeDocument/2006/relationships/hyperlink" Target="mailto:aangeleas@etsy.com" TargetMode="External"/><Relationship Id="rId1359" Type="http://schemas.openxmlformats.org/officeDocument/2006/relationships/hyperlink" Target="mailto:yzhang@etsy.com" TargetMode="External"/><Relationship Id="rId22" Type="http://schemas.openxmlformats.org/officeDocument/2006/relationships/hyperlink" Target="mailto:whuang@etsy.com" TargetMode="External"/><Relationship Id="rId21" Type="http://schemas.openxmlformats.org/officeDocument/2006/relationships/hyperlink" Target="mailto:aangeleas@etsy.com" TargetMode="External"/><Relationship Id="rId24" Type="http://schemas.openxmlformats.org/officeDocument/2006/relationships/hyperlink" Target="mailto:aangeleas@etsy.com" TargetMode="External"/><Relationship Id="rId23" Type="http://schemas.openxmlformats.org/officeDocument/2006/relationships/hyperlink" Target="mailto:csu@etsy.com" TargetMode="External"/><Relationship Id="rId767" Type="http://schemas.openxmlformats.org/officeDocument/2006/relationships/hyperlink" Target="mailto:csu@etsy.com" TargetMode="External"/><Relationship Id="rId766" Type="http://schemas.openxmlformats.org/officeDocument/2006/relationships/hyperlink" Target="mailto:whuang@etsy.com" TargetMode="External"/><Relationship Id="rId765" Type="http://schemas.openxmlformats.org/officeDocument/2006/relationships/hyperlink" Target="mailto:yzhang@etsy.com" TargetMode="External"/><Relationship Id="rId764" Type="http://schemas.openxmlformats.org/officeDocument/2006/relationships/hyperlink" Target="mailto:csu@etsy.com" TargetMode="External"/><Relationship Id="rId769" Type="http://schemas.openxmlformats.org/officeDocument/2006/relationships/hyperlink" Target="mailto:whuang@etsy.com" TargetMode="External"/><Relationship Id="rId768" Type="http://schemas.openxmlformats.org/officeDocument/2006/relationships/hyperlink" Target="mailto:yzhang@etsy.com" TargetMode="External"/><Relationship Id="rId26" Type="http://schemas.openxmlformats.org/officeDocument/2006/relationships/hyperlink" Target="mailto:csu@etsy.com" TargetMode="External"/><Relationship Id="rId25" Type="http://schemas.openxmlformats.org/officeDocument/2006/relationships/hyperlink" Target="mailto:whuang@etsy.com" TargetMode="External"/><Relationship Id="rId28" Type="http://schemas.openxmlformats.org/officeDocument/2006/relationships/hyperlink" Target="mailto:whuang@etsy.com" TargetMode="External"/><Relationship Id="rId1350" Type="http://schemas.openxmlformats.org/officeDocument/2006/relationships/hyperlink" Target="mailto:yzhang@etsy.com" TargetMode="External"/><Relationship Id="rId27" Type="http://schemas.openxmlformats.org/officeDocument/2006/relationships/hyperlink" Target="mailto:aangeleas@etsy.com" TargetMode="External"/><Relationship Id="rId1351" Type="http://schemas.openxmlformats.org/officeDocument/2006/relationships/hyperlink" Target="mailto:whuang@etsy.com" TargetMode="External"/><Relationship Id="rId763" Type="http://schemas.openxmlformats.org/officeDocument/2006/relationships/hyperlink" Target="mailto:whuang@etsy.com" TargetMode="External"/><Relationship Id="rId1352" Type="http://schemas.openxmlformats.org/officeDocument/2006/relationships/hyperlink" Target="mailto:aangeleas@etsy.com" TargetMode="External"/><Relationship Id="rId29" Type="http://schemas.openxmlformats.org/officeDocument/2006/relationships/hyperlink" Target="mailto:csu@etsy.com" TargetMode="External"/><Relationship Id="rId762" Type="http://schemas.openxmlformats.org/officeDocument/2006/relationships/hyperlink" Target="mailto:yzhang@etsy.com" TargetMode="External"/><Relationship Id="rId1353" Type="http://schemas.openxmlformats.org/officeDocument/2006/relationships/hyperlink" Target="mailto:yzhang@etsy.com" TargetMode="External"/><Relationship Id="rId761" Type="http://schemas.openxmlformats.org/officeDocument/2006/relationships/hyperlink" Target="mailto:csu@etsy.com" TargetMode="External"/><Relationship Id="rId1354" Type="http://schemas.openxmlformats.org/officeDocument/2006/relationships/hyperlink" Target="mailto:whuang@etsy.com" TargetMode="External"/><Relationship Id="rId760" Type="http://schemas.openxmlformats.org/officeDocument/2006/relationships/hyperlink" Target="mailto:whuang@etsy.com" TargetMode="External"/><Relationship Id="rId1355" Type="http://schemas.openxmlformats.org/officeDocument/2006/relationships/hyperlink" Target="mailto:aangeleas@etsy.com" TargetMode="External"/><Relationship Id="rId1345" Type="http://schemas.openxmlformats.org/officeDocument/2006/relationships/hyperlink" Target="mailto:whuang@etsy.com" TargetMode="External"/><Relationship Id="rId1346" Type="http://schemas.openxmlformats.org/officeDocument/2006/relationships/hyperlink" Target="mailto:aangeleas@etsy.com" TargetMode="External"/><Relationship Id="rId1347" Type="http://schemas.openxmlformats.org/officeDocument/2006/relationships/hyperlink" Target="mailto:yzhang@etsy.com" TargetMode="External"/><Relationship Id="rId1348" Type="http://schemas.openxmlformats.org/officeDocument/2006/relationships/hyperlink" Target="mailto:whuang@etsy.com" TargetMode="External"/><Relationship Id="rId11" Type="http://schemas.openxmlformats.org/officeDocument/2006/relationships/hyperlink" Target="mailto:csu@etsy.com" TargetMode="External"/><Relationship Id="rId1349" Type="http://schemas.openxmlformats.org/officeDocument/2006/relationships/hyperlink" Target="mailto:aangeleas@etsy.com" TargetMode="External"/><Relationship Id="rId10" Type="http://schemas.openxmlformats.org/officeDocument/2006/relationships/hyperlink" Target="mailto:whuang@etsy.com" TargetMode="External"/><Relationship Id="rId13" Type="http://schemas.openxmlformats.org/officeDocument/2006/relationships/hyperlink" Target="mailto:whuang@etsy.com" TargetMode="External"/><Relationship Id="rId12" Type="http://schemas.openxmlformats.org/officeDocument/2006/relationships/hyperlink" Target="mailto:aangeleas@etsy.com" TargetMode="External"/><Relationship Id="rId756" Type="http://schemas.openxmlformats.org/officeDocument/2006/relationships/hyperlink" Target="mailto:yzhang@etsy.com" TargetMode="External"/><Relationship Id="rId755" Type="http://schemas.openxmlformats.org/officeDocument/2006/relationships/hyperlink" Target="mailto:csu@etsy.com" TargetMode="External"/><Relationship Id="rId754" Type="http://schemas.openxmlformats.org/officeDocument/2006/relationships/hyperlink" Target="mailto:whuang@etsy.com" TargetMode="External"/><Relationship Id="rId753" Type="http://schemas.openxmlformats.org/officeDocument/2006/relationships/hyperlink" Target="mailto:yzhang@etsy.com" TargetMode="External"/><Relationship Id="rId759" Type="http://schemas.openxmlformats.org/officeDocument/2006/relationships/hyperlink" Target="mailto:yzhang@etsy.com" TargetMode="External"/><Relationship Id="rId758" Type="http://schemas.openxmlformats.org/officeDocument/2006/relationships/hyperlink" Target="mailto:csu@etsy.com" TargetMode="External"/><Relationship Id="rId757" Type="http://schemas.openxmlformats.org/officeDocument/2006/relationships/hyperlink" Target="mailto:whuang@etsy.com" TargetMode="External"/><Relationship Id="rId15" Type="http://schemas.openxmlformats.org/officeDocument/2006/relationships/hyperlink" Target="mailto:aangeleas@etsy.com" TargetMode="External"/><Relationship Id="rId14" Type="http://schemas.openxmlformats.org/officeDocument/2006/relationships/hyperlink" Target="mailto:csu@etsy.com" TargetMode="External"/><Relationship Id="rId17" Type="http://schemas.openxmlformats.org/officeDocument/2006/relationships/hyperlink" Target="mailto:csu@etsy.com" TargetMode="External"/><Relationship Id="rId16" Type="http://schemas.openxmlformats.org/officeDocument/2006/relationships/hyperlink" Target="mailto:whuang@etsy.com" TargetMode="External"/><Relationship Id="rId1340" Type="http://schemas.openxmlformats.org/officeDocument/2006/relationships/hyperlink" Target="mailto:aangeleas@etsy.com" TargetMode="External"/><Relationship Id="rId19" Type="http://schemas.openxmlformats.org/officeDocument/2006/relationships/hyperlink" Target="mailto:whuang@etsy.com" TargetMode="External"/><Relationship Id="rId752" Type="http://schemas.openxmlformats.org/officeDocument/2006/relationships/hyperlink" Target="mailto:csu@etsy.com" TargetMode="External"/><Relationship Id="rId1341" Type="http://schemas.openxmlformats.org/officeDocument/2006/relationships/hyperlink" Target="mailto:yzhang@etsy.com" TargetMode="External"/><Relationship Id="rId18" Type="http://schemas.openxmlformats.org/officeDocument/2006/relationships/hyperlink" Target="mailto:aangeleas@etsy.com" TargetMode="External"/><Relationship Id="rId751" Type="http://schemas.openxmlformats.org/officeDocument/2006/relationships/hyperlink" Target="mailto:whuang@etsy.com" TargetMode="External"/><Relationship Id="rId1342" Type="http://schemas.openxmlformats.org/officeDocument/2006/relationships/hyperlink" Target="mailto:whuang@etsy.com" TargetMode="External"/><Relationship Id="rId750" Type="http://schemas.openxmlformats.org/officeDocument/2006/relationships/hyperlink" Target="mailto:yzhang@etsy.com" TargetMode="External"/><Relationship Id="rId1343" Type="http://schemas.openxmlformats.org/officeDocument/2006/relationships/hyperlink" Target="mailto:aangeleas@etsy.com" TargetMode="External"/><Relationship Id="rId1344" Type="http://schemas.openxmlformats.org/officeDocument/2006/relationships/hyperlink" Target="mailto:yzhang@etsy.com" TargetMode="External"/><Relationship Id="rId84" Type="http://schemas.openxmlformats.org/officeDocument/2006/relationships/hyperlink" Target="mailto:aangeleas@etsy.com" TargetMode="External"/><Relationship Id="rId1774" Type="http://schemas.openxmlformats.org/officeDocument/2006/relationships/hyperlink" Target="mailto:whuang@etsy.com" TargetMode="External"/><Relationship Id="rId83" Type="http://schemas.openxmlformats.org/officeDocument/2006/relationships/hyperlink" Target="mailto:csu@etsy.com" TargetMode="External"/><Relationship Id="rId1775" Type="http://schemas.openxmlformats.org/officeDocument/2006/relationships/hyperlink" Target="mailto:aangeleas@etsy.com" TargetMode="External"/><Relationship Id="rId86" Type="http://schemas.openxmlformats.org/officeDocument/2006/relationships/hyperlink" Target="mailto:csu@etsy.com" TargetMode="External"/><Relationship Id="rId1776" Type="http://schemas.openxmlformats.org/officeDocument/2006/relationships/hyperlink" Target="mailto:ebenjamin@etsy.com" TargetMode="External"/><Relationship Id="rId85" Type="http://schemas.openxmlformats.org/officeDocument/2006/relationships/hyperlink" Target="mailto:whuang@etsy.com" TargetMode="External"/><Relationship Id="rId1777" Type="http://schemas.openxmlformats.org/officeDocument/2006/relationships/hyperlink" Target="mailto:whuang@etsy.com" TargetMode="External"/><Relationship Id="rId88" Type="http://schemas.openxmlformats.org/officeDocument/2006/relationships/hyperlink" Target="mailto:whuang@etsy.com" TargetMode="External"/><Relationship Id="rId1778" Type="http://schemas.openxmlformats.org/officeDocument/2006/relationships/hyperlink" Target="mailto:aangeleas@etsy.com" TargetMode="External"/><Relationship Id="rId87" Type="http://schemas.openxmlformats.org/officeDocument/2006/relationships/hyperlink" Target="mailto:aangeleas@etsy.com" TargetMode="External"/><Relationship Id="rId1779" Type="http://schemas.openxmlformats.org/officeDocument/2006/relationships/hyperlink" Target="mailto:ebenjamin@etsy.com" TargetMode="External"/><Relationship Id="rId89" Type="http://schemas.openxmlformats.org/officeDocument/2006/relationships/hyperlink" Target="mailto:csu@etsy.com" TargetMode="External"/><Relationship Id="rId709" Type="http://schemas.openxmlformats.org/officeDocument/2006/relationships/hyperlink" Target="mailto:whuang@etsy.com" TargetMode="External"/><Relationship Id="rId708" Type="http://schemas.openxmlformats.org/officeDocument/2006/relationships/hyperlink" Target="mailto:ebenjamin@etsy.com" TargetMode="External"/><Relationship Id="rId707" Type="http://schemas.openxmlformats.org/officeDocument/2006/relationships/hyperlink" Target="mailto:csu@etsy.com" TargetMode="External"/><Relationship Id="rId706" Type="http://schemas.openxmlformats.org/officeDocument/2006/relationships/hyperlink" Target="mailto:whuang@etsy.com" TargetMode="External"/><Relationship Id="rId80" Type="http://schemas.openxmlformats.org/officeDocument/2006/relationships/hyperlink" Target="mailto:csu@etsy.com" TargetMode="External"/><Relationship Id="rId82" Type="http://schemas.openxmlformats.org/officeDocument/2006/relationships/hyperlink" Target="mailto:whuang@etsy.com" TargetMode="External"/><Relationship Id="rId81" Type="http://schemas.openxmlformats.org/officeDocument/2006/relationships/hyperlink" Target="mailto:aangeleas@etsy.com" TargetMode="External"/><Relationship Id="rId701" Type="http://schemas.openxmlformats.org/officeDocument/2006/relationships/hyperlink" Target="mailto:csu@etsy.com" TargetMode="External"/><Relationship Id="rId700" Type="http://schemas.openxmlformats.org/officeDocument/2006/relationships/hyperlink" Target="mailto:whuang@etsy.com" TargetMode="External"/><Relationship Id="rId705" Type="http://schemas.openxmlformats.org/officeDocument/2006/relationships/hyperlink" Target="mailto:ebenjamin@etsy.com" TargetMode="External"/><Relationship Id="rId704" Type="http://schemas.openxmlformats.org/officeDocument/2006/relationships/hyperlink" Target="mailto:csu@etsy.com" TargetMode="External"/><Relationship Id="rId703" Type="http://schemas.openxmlformats.org/officeDocument/2006/relationships/hyperlink" Target="mailto:whuang@etsy.com" TargetMode="External"/><Relationship Id="rId702" Type="http://schemas.openxmlformats.org/officeDocument/2006/relationships/hyperlink" Target="mailto:ebenjamin@etsy.com" TargetMode="External"/><Relationship Id="rId1770" Type="http://schemas.openxmlformats.org/officeDocument/2006/relationships/hyperlink" Target="mailto:ebenjamin@etsy.com" TargetMode="External"/><Relationship Id="rId1771" Type="http://schemas.openxmlformats.org/officeDocument/2006/relationships/hyperlink" Target="mailto:whuang@etsy.com" TargetMode="External"/><Relationship Id="rId1772" Type="http://schemas.openxmlformats.org/officeDocument/2006/relationships/hyperlink" Target="mailto:aangeleas@etsy.com" TargetMode="External"/><Relationship Id="rId1773" Type="http://schemas.openxmlformats.org/officeDocument/2006/relationships/hyperlink" Target="mailto:ebenjamin@etsy.com" TargetMode="External"/><Relationship Id="rId73" Type="http://schemas.openxmlformats.org/officeDocument/2006/relationships/hyperlink" Target="mailto:whuang@etsy.com" TargetMode="External"/><Relationship Id="rId1763" Type="http://schemas.openxmlformats.org/officeDocument/2006/relationships/hyperlink" Target="mailto:aangeleas@etsy.com" TargetMode="External"/><Relationship Id="rId72" Type="http://schemas.openxmlformats.org/officeDocument/2006/relationships/hyperlink" Target="mailto:aangeleas@etsy.com" TargetMode="External"/><Relationship Id="rId1764" Type="http://schemas.openxmlformats.org/officeDocument/2006/relationships/hyperlink" Target="mailto:ebenjamin@etsy.com" TargetMode="External"/><Relationship Id="rId75" Type="http://schemas.openxmlformats.org/officeDocument/2006/relationships/hyperlink" Target="mailto:aangeleas@etsy.com" TargetMode="External"/><Relationship Id="rId1765" Type="http://schemas.openxmlformats.org/officeDocument/2006/relationships/hyperlink" Target="mailto:whuang@etsy.com" TargetMode="External"/><Relationship Id="rId74" Type="http://schemas.openxmlformats.org/officeDocument/2006/relationships/hyperlink" Target="mailto:csu@etsy.com" TargetMode="External"/><Relationship Id="rId1766" Type="http://schemas.openxmlformats.org/officeDocument/2006/relationships/hyperlink" Target="mailto:aangeleas@etsy.com" TargetMode="External"/><Relationship Id="rId77" Type="http://schemas.openxmlformats.org/officeDocument/2006/relationships/hyperlink" Target="mailto:csu@etsy.com" TargetMode="External"/><Relationship Id="rId1767" Type="http://schemas.openxmlformats.org/officeDocument/2006/relationships/hyperlink" Target="mailto:ebenjamin@etsy.com" TargetMode="External"/><Relationship Id="rId76" Type="http://schemas.openxmlformats.org/officeDocument/2006/relationships/hyperlink" Target="mailto:whuang@etsy.com" TargetMode="External"/><Relationship Id="rId1768" Type="http://schemas.openxmlformats.org/officeDocument/2006/relationships/hyperlink" Target="mailto:whuang@etsy.com" TargetMode="External"/><Relationship Id="rId79" Type="http://schemas.openxmlformats.org/officeDocument/2006/relationships/hyperlink" Target="mailto:whuang@etsy.com" TargetMode="External"/><Relationship Id="rId1769" Type="http://schemas.openxmlformats.org/officeDocument/2006/relationships/hyperlink" Target="mailto:aangeleas@etsy.com" TargetMode="External"/><Relationship Id="rId78" Type="http://schemas.openxmlformats.org/officeDocument/2006/relationships/hyperlink" Target="mailto:aangeleas@etsy.com" TargetMode="External"/><Relationship Id="rId71" Type="http://schemas.openxmlformats.org/officeDocument/2006/relationships/hyperlink" Target="mailto:csu@etsy.com" TargetMode="External"/><Relationship Id="rId70" Type="http://schemas.openxmlformats.org/officeDocument/2006/relationships/hyperlink" Target="mailto:whuang@etsy.com" TargetMode="External"/><Relationship Id="rId1760" Type="http://schemas.openxmlformats.org/officeDocument/2006/relationships/hyperlink" Target="mailto:aangeleas@etsy.com" TargetMode="External"/><Relationship Id="rId1761" Type="http://schemas.openxmlformats.org/officeDocument/2006/relationships/hyperlink" Target="mailto:ebenjamin@etsy.com" TargetMode="External"/><Relationship Id="rId1762" Type="http://schemas.openxmlformats.org/officeDocument/2006/relationships/hyperlink" Target="mailto:whuang@etsy.com" TargetMode="External"/><Relationship Id="rId62" Type="http://schemas.openxmlformats.org/officeDocument/2006/relationships/hyperlink" Target="mailto:csu@etsy.com" TargetMode="External"/><Relationship Id="rId1312" Type="http://schemas.openxmlformats.org/officeDocument/2006/relationships/hyperlink" Target="mailto:whuang@etsy.com" TargetMode="External"/><Relationship Id="rId1796" Type="http://schemas.openxmlformats.org/officeDocument/2006/relationships/hyperlink" Target="mailto:aangeleas@etsy.com" TargetMode="External"/><Relationship Id="rId61" Type="http://schemas.openxmlformats.org/officeDocument/2006/relationships/hyperlink" Target="mailto:whuang@etsy.com" TargetMode="External"/><Relationship Id="rId1313" Type="http://schemas.openxmlformats.org/officeDocument/2006/relationships/hyperlink" Target="mailto:aangeleas@etsy.com" TargetMode="External"/><Relationship Id="rId1797" Type="http://schemas.openxmlformats.org/officeDocument/2006/relationships/hyperlink" Target="mailto:ebenjamin@etsy.com" TargetMode="External"/><Relationship Id="rId64" Type="http://schemas.openxmlformats.org/officeDocument/2006/relationships/hyperlink" Target="mailto:whuang@etsy.com" TargetMode="External"/><Relationship Id="rId1314" Type="http://schemas.openxmlformats.org/officeDocument/2006/relationships/hyperlink" Target="mailto:yzhang@etsy.com" TargetMode="External"/><Relationship Id="rId1798" Type="http://schemas.openxmlformats.org/officeDocument/2006/relationships/hyperlink" Target="mailto:whuang@etsy.com" TargetMode="External"/><Relationship Id="rId63" Type="http://schemas.openxmlformats.org/officeDocument/2006/relationships/hyperlink" Target="mailto:aangeleas@etsy.com" TargetMode="External"/><Relationship Id="rId1315" Type="http://schemas.openxmlformats.org/officeDocument/2006/relationships/hyperlink" Target="mailto:whuang@etsy.com" TargetMode="External"/><Relationship Id="rId1799" Type="http://schemas.openxmlformats.org/officeDocument/2006/relationships/hyperlink" Target="mailto:aangeleas@etsy.com" TargetMode="External"/><Relationship Id="rId66" Type="http://schemas.openxmlformats.org/officeDocument/2006/relationships/hyperlink" Target="mailto:aangeleas@etsy.com" TargetMode="External"/><Relationship Id="rId1316" Type="http://schemas.openxmlformats.org/officeDocument/2006/relationships/hyperlink" Target="mailto:aangeleas@etsy.com" TargetMode="External"/><Relationship Id="rId65" Type="http://schemas.openxmlformats.org/officeDocument/2006/relationships/hyperlink" Target="mailto:csu@etsy.com" TargetMode="External"/><Relationship Id="rId1317" Type="http://schemas.openxmlformats.org/officeDocument/2006/relationships/hyperlink" Target="mailto:yzhang@etsy.com" TargetMode="External"/><Relationship Id="rId68" Type="http://schemas.openxmlformats.org/officeDocument/2006/relationships/hyperlink" Target="mailto:csu@etsy.com" TargetMode="External"/><Relationship Id="rId1318" Type="http://schemas.openxmlformats.org/officeDocument/2006/relationships/hyperlink" Target="mailto:whuang@etsy.com" TargetMode="External"/><Relationship Id="rId67" Type="http://schemas.openxmlformats.org/officeDocument/2006/relationships/hyperlink" Target="mailto:whuang@etsy.com" TargetMode="External"/><Relationship Id="rId1319" Type="http://schemas.openxmlformats.org/officeDocument/2006/relationships/hyperlink" Target="mailto:aangeleas@etsy.com" TargetMode="External"/><Relationship Id="rId729" Type="http://schemas.openxmlformats.org/officeDocument/2006/relationships/hyperlink" Target="mailto:yzhang@etsy.com" TargetMode="External"/><Relationship Id="rId728" Type="http://schemas.openxmlformats.org/officeDocument/2006/relationships/hyperlink" Target="mailto:csu@etsy.com" TargetMode="External"/><Relationship Id="rId60" Type="http://schemas.openxmlformats.org/officeDocument/2006/relationships/hyperlink" Target="mailto:aangeleas@etsy.com" TargetMode="External"/><Relationship Id="rId723" Type="http://schemas.openxmlformats.org/officeDocument/2006/relationships/hyperlink" Target="mailto:yzhang@etsy.com" TargetMode="External"/><Relationship Id="rId722" Type="http://schemas.openxmlformats.org/officeDocument/2006/relationships/hyperlink" Target="mailto:csu@etsy.com" TargetMode="External"/><Relationship Id="rId721" Type="http://schemas.openxmlformats.org/officeDocument/2006/relationships/hyperlink" Target="mailto:whuang@etsy.com" TargetMode="External"/><Relationship Id="rId720" Type="http://schemas.openxmlformats.org/officeDocument/2006/relationships/hyperlink" Target="mailto:ebenjamin@etsy.com" TargetMode="External"/><Relationship Id="rId727" Type="http://schemas.openxmlformats.org/officeDocument/2006/relationships/hyperlink" Target="mailto:whuang@etsy.com" TargetMode="External"/><Relationship Id="rId726" Type="http://schemas.openxmlformats.org/officeDocument/2006/relationships/hyperlink" Target="mailto:yzhang@etsy.com" TargetMode="External"/><Relationship Id="rId725" Type="http://schemas.openxmlformats.org/officeDocument/2006/relationships/hyperlink" Target="mailto:csu@etsy.com" TargetMode="External"/><Relationship Id="rId724" Type="http://schemas.openxmlformats.org/officeDocument/2006/relationships/hyperlink" Target="mailto:whuang@etsy.com" TargetMode="External"/><Relationship Id="rId69" Type="http://schemas.openxmlformats.org/officeDocument/2006/relationships/hyperlink" Target="mailto:aangeleas@etsy.com" TargetMode="External"/><Relationship Id="rId1790" Type="http://schemas.openxmlformats.org/officeDocument/2006/relationships/hyperlink" Target="mailto:aangeleas@etsy.com" TargetMode="External"/><Relationship Id="rId1791" Type="http://schemas.openxmlformats.org/officeDocument/2006/relationships/hyperlink" Target="mailto:ebenjamin@etsy.com" TargetMode="External"/><Relationship Id="rId1792" Type="http://schemas.openxmlformats.org/officeDocument/2006/relationships/hyperlink" Target="mailto:whuang@etsy.com" TargetMode="External"/><Relationship Id="rId1793" Type="http://schemas.openxmlformats.org/officeDocument/2006/relationships/hyperlink" Target="mailto:aangeleas@etsy.com" TargetMode="External"/><Relationship Id="rId1310" Type="http://schemas.openxmlformats.org/officeDocument/2006/relationships/hyperlink" Target="mailto:aangeleas@etsy.com" TargetMode="External"/><Relationship Id="rId1794" Type="http://schemas.openxmlformats.org/officeDocument/2006/relationships/hyperlink" Target="mailto:ebenjamin@etsy.com" TargetMode="External"/><Relationship Id="rId1311" Type="http://schemas.openxmlformats.org/officeDocument/2006/relationships/hyperlink" Target="mailto:yzhang@etsy.com" TargetMode="External"/><Relationship Id="rId1795" Type="http://schemas.openxmlformats.org/officeDocument/2006/relationships/hyperlink" Target="mailto:whuang@etsy.com" TargetMode="External"/><Relationship Id="rId51" Type="http://schemas.openxmlformats.org/officeDocument/2006/relationships/hyperlink" Target="mailto:aangeleas@etsy.com" TargetMode="External"/><Relationship Id="rId1301" Type="http://schemas.openxmlformats.org/officeDocument/2006/relationships/hyperlink" Target="mailto:aangeleas@etsy.com" TargetMode="External"/><Relationship Id="rId1785" Type="http://schemas.openxmlformats.org/officeDocument/2006/relationships/hyperlink" Target="mailto:ebenjamin@etsy.com" TargetMode="External"/><Relationship Id="rId50" Type="http://schemas.openxmlformats.org/officeDocument/2006/relationships/hyperlink" Target="mailto:csu@etsy.com" TargetMode="External"/><Relationship Id="rId1302" Type="http://schemas.openxmlformats.org/officeDocument/2006/relationships/hyperlink" Target="mailto:yzhang@etsy.com" TargetMode="External"/><Relationship Id="rId1786" Type="http://schemas.openxmlformats.org/officeDocument/2006/relationships/hyperlink" Target="mailto:whuang@etsy.com" TargetMode="External"/><Relationship Id="rId53" Type="http://schemas.openxmlformats.org/officeDocument/2006/relationships/hyperlink" Target="mailto:csu@etsy.com" TargetMode="External"/><Relationship Id="rId1303" Type="http://schemas.openxmlformats.org/officeDocument/2006/relationships/hyperlink" Target="mailto:whuang@etsy.com" TargetMode="External"/><Relationship Id="rId1787" Type="http://schemas.openxmlformats.org/officeDocument/2006/relationships/hyperlink" Target="mailto:aangeleas@etsy.com" TargetMode="External"/><Relationship Id="rId52" Type="http://schemas.openxmlformats.org/officeDocument/2006/relationships/hyperlink" Target="mailto:whuang@etsy.com" TargetMode="External"/><Relationship Id="rId1304" Type="http://schemas.openxmlformats.org/officeDocument/2006/relationships/hyperlink" Target="mailto:aangeleas@etsy.com" TargetMode="External"/><Relationship Id="rId1788" Type="http://schemas.openxmlformats.org/officeDocument/2006/relationships/hyperlink" Target="mailto:ebenjamin@etsy.com" TargetMode="External"/><Relationship Id="rId55" Type="http://schemas.openxmlformats.org/officeDocument/2006/relationships/hyperlink" Target="mailto:whuang@etsy.com" TargetMode="External"/><Relationship Id="rId1305" Type="http://schemas.openxmlformats.org/officeDocument/2006/relationships/hyperlink" Target="mailto:yzhang@etsy.com" TargetMode="External"/><Relationship Id="rId1789" Type="http://schemas.openxmlformats.org/officeDocument/2006/relationships/hyperlink" Target="mailto:whuang@etsy.com" TargetMode="External"/><Relationship Id="rId54" Type="http://schemas.openxmlformats.org/officeDocument/2006/relationships/hyperlink" Target="mailto:aangeleas@etsy.com" TargetMode="External"/><Relationship Id="rId1306" Type="http://schemas.openxmlformats.org/officeDocument/2006/relationships/hyperlink" Target="mailto:whuang@etsy.com" TargetMode="External"/><Relationship Id="rId57" Type="http://schemas.openxmlformats.org/officeDocument/2006/relationships/hyperlink" Target="mailto:aangeleas@etsy.com" TargetMode="External"/><Relationship Id="rId1307" Type="http://schemas.openxmlformats.org/officeDocument/2006/relationships/hyperlink" Target="mailto:aangeleas@etsy.com" TargetMode="External"/><Relationship Id="rId56" Type="http://schemas.openxmlformats.org/officeDocument/2006/relationships/hyperlink" Target="mailto:csu@etsy.com" TargetMode="External"/><Relationship Id="rId1308" Type="http://schemas.openxmlformats.org/officeDocument/2006/relationships/hyperlink" Target="mailto:yzhang@etsy.com" TargetMode="External"/><Relationship Id="rId1309" Type="http://schemas.openxmlformats.org/officeDocument/2006/relationships/hyperlink" Target="mailto:whuang@etsy.com" TargetMode="External"/><Relationship Id="rId719" Type="http://schemas.openxmlformats.org/officeDocument/2006/relationships/hyperlink" Target="mailto:csu@etsy.com" TargetMode="External"/><Relationship Id="rId718" Type="http://schemas.openxmlformats.org/officeDocument/2006/relationships/hyperlink" Target="mailto:whuang@etsy.com" TargetMode="External"/><Relationship Id="rId717" Type="http://schemas.openxmlformats.org/officeDocument/2006/relationships/hyperlink" Target="mailto:ebenjamin@etsy.com" TargetMode="External"/><Relationship Id="rId712" Type="http://schemas.openxmlformats.org/officeDocument/2006/relationships/hyperlink" Target="mailto:whuang@etsy.com" TargetMode="External"/><Relationship Id="rId711" Type="http://schemas.openxmlformats.org/officeDocument/2006/relationships/hyperlink" Target="mailto:ebenjamin@etsy.com" TargetMode="External"/><Relationship Id="rId710" Type="http://schemas.openxmlformats.org/officeDocument/2006/relationships/hyperlink" Target="mailto:csu@etsy.com" TargetMode="External"/><Relationship Id="rId716" Type="http://schemas.openxmlformats.org/officeDocument/2006/relationships/hyperlink" Target="mailto:csu@etsy.com" TargetMode="External"/><Relationship Id="rId715" Type="http://schemas.openxmlformats.org/officeDocument/2006/relationships/hyperlink" Target="mailto:whuang@etsy.com" TargetMode="External"/><Relationship Id="rId714" Type="http://schemas.openxmlformats.org/officeDocument/2006/relationships/hyperlink" Target="mailto:ebenjamin@etsy.com" TargetMode="External"/><Relationship Id="rId713" Type="http://schemas.openxmlformats.org/officeDocument/2006/relationships/hyperlink" Target="mailto:csu@etsy.com" TargetMode="External"/><Relationship Id="rId59" Type="http://schemas.openxmlformats.org/officeDocument/2006/relationships/hyperlink" Target="mailto:csu@etsy.com" TargetMode="External"/><Relationship Id="rId58" Type="http://schemas.openxmlformats.org/officeDocument/2006/relationships/hyperlink" Target="mailto:whuang@etsy.com" TargetMode="External"/><Relationship Id="rId1780" Type="http://schemas.openxmlformats.org/officeDocument/2006/relationships/hyperlink" Target="mailto:whuang@etsy.com" TargetMode="External"/><Relationship Id="rId1781" Type="http://schemas.openxmlformats.org/officeDocument/2006/relationships/hyperlink" Target="mailto:aangeleas@etsy.com" TargetMode="External"/><Relationship Id="rId1782" Type="http://schemas.openxmlformats.org/officeDocument/2006/relationships/hyperlink" Target="mailto:ebenjamin@etsy.com" TargetMode="External"/><Relationship Id="rId1783" Type="http://schemas.openxmlformats.org/officeDocument/2006/relationships/hyperlink" Target="mailto:whuang@etsy.com" TargetMode="External"/><Relationship Id="rId1300" Type="http://schemas.openxmlformats.org/officeDocument/2006/relationships/hyperlink" Target="mailto:whuang@etsy.com" TargetMode="External"/><Relationship Id="rId1784" Type="http://schemas.openxmlformats.org/officeDocument/2006/relationships/hyperlink" Target="mailto:aangeleas@etsy.com" TargetMode="External"/><Relationship Id="rId349" Type="http://schemas.openxmlformats.org/officeDocument/2006/relationships/hyperlink" Target="mailto:whuang@etsy.com" TargetMode="External"/><Relationship Id="rId348" Type="http://schemas.openxmlformats.org/officeDocument/2006/relationships/hyperlink" Target="mailto:aangeleas@etsy.com" TargetMode="External"/><Relationship Id="rId347" Type="http://schemas.openxmlformats.org/officeDocument/2006/relationships/hyperlink" Target="mailto:csu@etsy.com" TargetMode="External"/><Relationship Id="rId346" Type="http://schemas.openxmlformats.org/officeDocument/2006/relationships/hyperlink" Target="mailto:whuang@etsy.com" TargetMode="External"/><Relationship Id="rId341" Type="http://schemas.openxmlformats.org/officeDocument/2006/relationships/hyperlink" Target="mailto:csu@etsy.com" TargetMode="External"/><Relationship Id="rId340" Type="http://schemas.openxmlformats.org/officeDocument/2006/relationships/hyperlink" Target="mailto:whuang@etsy.com" TargetMode="External"/><Relationship Id="rId345" Type="http://schemas.openxmlformats.org/officeDocument/2006/relationships/hyperlink" Target="mailto:aangeleas@etsy.com" TargetMode="External"/><Relationship Id="rId344" Type="http://schemas.openxmlformats.org/officeDocument/2006/relationships/hyperlink" Target="mailto:csu@etsy.com" TargetMode="External"/><Relationship Id="rId343" Type="http://schemas.openxmlformats.org/officeDocument/2006/relationships/hyperlink" Target="mailto:whuang@etsy.com" TargetMode="External"/><Relationship Id="rId342" Type="http://schemas.openxmlformats.org/officeDocument/2006/relationships/hyperlink" Target="mailto:aangeleas@etsy.com" TargetMode="External"/><Relationship Id="rId338" Type="http://schemas.openxmlformats.org/officeDocument/2006/relationships/hyperlink" Target="mailto:csu@etsy.com" TargetMode="External"/><Relationship Id="rId337" Type="http://schemas.openxmlformats.org/officeDocument/2006/relationships/hyperlink" Target="mailto:whuang@etsy.com" TargetMode="External"/><Relationship Id="rId336" Type="http://schemas.openxmlformats.org/officeDocument/2006/relationships/hyperlink" Target="mailto:aangeleas@etsy.com" TargetMode="External"/><Relationship Id="rId335" Type="http://schemas.openxmlformats.org/officeDocument/2006/relationships/hyperlink" Target="mailto:csu@etsy.com" TargetMode="External"/><Relationship Id="rId339" Type="http://schemas.openxmlformats.org/officeDocument/2006/relationships/hyperlink" Target="mailto:aangeleas@etsy.com" TargetMode="External"/><Relationship Id="rId330" Type="http://schemas.openxmlformats.org/officeDocument/2006/relationships/hyperlink" Target="mailto:aangeleas@etsy.com" TargetMode="External"/><Relationship Id="rId334" Type="http://schemas.openxmlformats.org/officeDocument/2006/relationships/hyperlink" Target="mailto:whuang@etsy.com" TargetMode="External"/><Relationship Id="rId333" Type="http://schemas.openxmlformats.org/officeDocument/2006/relationships/hyperlink" Target="mailto:aangeleas@etsy.com" TargetMode="External"/><Relationship Id="rId332" Type="http://schemas.openxmlformats.org/officeDocument/2006/relationships/hyperlink" Target="mailto:csu@etsy.com" TargetMode="External"/><Relationship Id="rId331" Type="http://schemas.openxmlformats.org/officeDocument/2006/relationships/hyperlink" Target="mailto:whuang@etsy.com" TargetMode="External"/><Relationship Id="rId370" Type="http://schemas.openxmlformats.org/officeDocument/2006/relationships/hyperlink" Target="mailto:whuang@etsy.com" TargetMode="External"/><Relationship Id="rId369" Type="http://schemas.openxmlformats.org/officeDocument/2006/relationships/hyperlink" Target="mailto:ebenjamin@etsy.com" TargetMode="External"/><Relationship Id="rId368" Type="http://schemas.openxmlformats.org/officeDocument/2006/relationships/hyperlink" Target="mailto:csu@etsy.com" TargetMode="External"/><Relationship Id="rId363" Type="http://schemas.openxmlformats.org/officeDocument/2006/relationships/hyperlink" Target="mailto:ebenjamin@etsy.com" TargetMode="External"/><Relationship Id="rId362" Type="http://schemas.openxmlformats.org/officeDocument/2006/relationships/hyperlink" Target="mailto:csu@etsy.com" TargetMode="External"/><Relationship Id="rId361" Type="http://schemas.openxmlformats.org/officeDocument/2006/relationships/hyperlink" Target="mailto:whuang@etsy.com" TargetMode="External"/><Relationship Id="rId360" Type="http://schemas.openxmlformats.org/officeDocument/2006/relationships/hyperlink" Target="mailto:aangeleas@etsy.com" TargetMode="External"/><Relationship Id="rId367" Type="http://schemas.openxmlformats.org/officeDocument/2006/relationships/hyperlink" Target="mailto:whuang@etsy.com" TargetMode="External"/><Relationship Id="rId366" Type="http://schemas.openxmlformats.org/officeDocument/2006/relationships/hyperlink" Target="mailto:ebenjamin@etsy.com" TargetMode="External"/><Relationship Id="rId365" Type="http://schemas.openxmlformats.org/officeDocument/2006/relationships/hyperlink" Target="mailto:csu@etsy.com" TargetMode="External"/><Relationship Id="rId364" Type="http://schemas.openxmlformats.org/officeDocument/2006/relationships/hyperlink" Target="mailto:whuang@etsy.com" TargetMode="External"/><Relationship Id="rId95" Type="http://schemas.openxmlformats.org/officeDocument/2006/relationships/hyperlink" Target="mailto:csu@etsy.com" TargetMode="External"/><Relationship Id="rId94" Type="http://schemas.openxmlformats.org/officeDocument/2006/relationships/hyperlink" Target="mailto:whuang@etsy.com" TargetMode="External"/><Relationship Id="rId97" Type="http://schemas.openxmlformats.org/officeDocument/2006/relationships/hyperlink" Target="mailto:whuang@etsy.com" TargetMode="External"/><Relationship Id="rId96" Type="http://schemas.openxmlformats.org/officeDocument/2006/relationships/hyperlink" Target="mailto:aangeleas@etsy.com" TargetMode="External"/><Relationship Id="rId99" Type="http://schemas.openxmlformats.org/officeDocument/2006/relationships/hyperlink" Target="mailto:aangeleas@etsy.com" TargetMode="External"/><Relationship Id="rId98" Type="http://schemas.openxmlformats.org/officeDocument/2006/relationships/hyperlink" Target="mailto:csu@etsy.com" TargetMode="External"/><Relationship Id="rId91" Type="http://schemas.openxmlformats.org/officeDocument/2006/relationships/hyperlink" Target="mailto:whuang@etsy.com" TargetMode="External"/><Relationship Id="rId90" Type="http://schemas.openxmlformats.org/officeDocument/2006/relationships/hyperlink" Target="mailto:aangeleas@etsy.com" TargetMode="External"/><Relationship Id="rId93" Type="http://schemas.openxmlformats.org/officeDocument/2006/relationships/hyperlink" Target="mailto:aangeleas@etsy.com" TargetMode="External"/><Relationship Id="rId92" Type="http://schemas.openxmlformats.org/officeDocument/2006/relationships/hyperlink" Target="mailto:csu@etsy.com" TargetMode="External"/><Relationship Id="rId359" Type="http://schemas.openxmlformats.org/officeDocument/2006/relationships/hyperlink" Target="mailto:csu@etsy.com" TargetMode="External"/><Relationship Id="rId358" Type="http://schemas.openxmlformats.org/officeDocument/2006/relationships/hyperlink" Target="mailto:whuang@etsy.com" TargetMode="External"/><Relationship Id="rId357" Type="http://schemas.openxmlformats.org/officeDocument/2006/relationships/hyperlink" Target="mailto:aangeleas@etsy.com" TargetMode="External"/><Relationship Id="rId352" Type="http://schemas.openxmlformats.org/officeDocument/2006/relationships/hyperlink" Target="mailto:whuang@etsy.com" TargetMode="External"/><Relationship Id="rId351" Type="http://schemas.openxmlformats.org/officeDocument/2006/relationships/hyperlink" Target="mailto:aangeleas@etsy.com" TargetMode="External"/><Relationship Id="rId350" Type="http://schemas.openxmlformats.org/officeDocument/2006/relationships/hyperlink" Target="mailto:csu@etsy.com" TargetMode="External"/><Relationship Id="rId356" Type="http://schemas.openxmlformats.org/officeDocument/2006/relationships/hyperlink" Target="mailto:csu@etsy.com" TargetMode="External"/><Relationship Id="rId355" Type="http://schemas.openxmlformats.org/officeDocument/2006/relationships/hyperlink" Target="mailto:whuang@etsy.com" TargetMode="External"/><Relationship Id="rId354" Type="http://schemas.openxmlformats.org/officeDocument/2006/relationships/hyperlink" Target="mailto:aangeleas@etsy.com" TargetMode="External"/><Relationship Id="rId353" Type="http://schemas.openxmlformats.org/officeDocument/2006/relationships/hyperlink" Target="mailto:csu@etsy.com" TargetMode="External"/><Relationship Id="rId1378" Type="http://schemas.openxmlformats.org/officeDocument/2006/relationships/hyperlink" Target="mailto:whuang@etsy.com" TargetMode="External"/><Relationship Id="rId1379" Type="http://schemas.openxmlformats.org/officeDocument/2006/relationships/hyperlink" Target="mailto:aangeleas@etsy.com" TargetMode="External"/><Relationship Id="rId305" Type="http://schemas.openxmlformats.org/officeDocument/2006/relationships/hyperlink" Target="mailto:csu@etsy.com" TargetMode="External"/><Relationship Id="rId789" Type="http://schemas.openxmlformats.org/officeDocument/2006/relationships/hyperlink" Target="mailto:yzhang@etsy.com" TargetMode="External"/><Relationship Id="rId304" Type="http://schemas.openxmlformats.org/officeDocument/2006/relationships/hyperlink" Target="mailto:whuang@etsy.com" TargetMode="External"/><Relationship Id="rId788" Type="http://schemas.openxmlformats.org/officeDocument/2006/relationships/hyperlink" Target="mailto:csu@etsy.com" TargetMode="External"/><Relationship Id="rId303" Type="http://schemas.openxmlformats.org/officeDocument/2006/relationships/hyperlink" Target="mailto:aangeleas@etsy.com" TargetMode="External"/><Relationship Id="rId787" Type="http://schemas.openxmlformats.org/officeDocument/2006/relationships/hyperlink" Target="mailto:whuang@etsy.com" TargetMode="External"/><Relationship Id="rId302" Type="http://schemas.openxmlformats.org/officeDocument/2006/relationships/hyperlink" Target="mailto:csu@etsy.com" TargetMode="External"/><Relationship Id="rId786" Type="http://schemas.openxmlformats.org/officeDocument/2006/relationships/hyperlink" Target="mailto:yzhang@etsy.com" TargetMode="External"/><Relationship Id="rId309" Type="http://schemas.openxmlformats.org/officeDocument/2006/relationships/hyperlink" Target="mailto:aangeleas@etsy.com" TargetMode="External"/><Relationship Id="rId308" Type="http://schemas.openxmlformats.org/officeDocument/2006/relationships/hyperlink" Target="mailto:csu@etsy.com" TargetMode="External"/><Relationship Id="rId307" Type="http://schemas.openxmlformats.org/officeDocument/2006/relationships/hyperlink" Target="mailto:whuang@etsy.com" TargetMode="External"/><Relationship Id="rId306" Type="http://schemas.openxmlformats.org/officeDocument/2006/relationships/hyperlink" Target="mailto:aangeleas@etsy.com" TargetMode="External"/><Relationship Id="rId781" Type="http://schemas.openxmlformats.org/officeDocument/2006/relationships/hyperlink" Target="mailto:whuang@etsy.com" TargetMode="External"/><Relationship Id="rId1370" Type="http://schemas.openxmlformats.org/officeDocument/2006/relationships/hyperlink" Target="mailto:aangeleas@etsy.com" TargetMode="External"/><Relationship Id="rId780" Type="http://schemas.openxmlformats.org/officeDocument/2006/relationships/hyperlink" Target="mailto:yzhang@etsy.com" TargetMode="External"/><Relationship Id="rId1371" Type="http://schemas.openxmlformats.org/officeDocument/2006/relationships/hyperlink" Target="mailto:yzhang@etsy.com" TargetMode="External"/><Relationship Id="rId1372" Type="http://schemas.openxmlformats.org/officeDocument/2006/relationships/hyperlink" Target="mailto:whuang@etsy.com" TargetMode="External"/><Relationship Id="rId1373" Type="http://schemas.openxmlformats.org/officeDocument/2006/relationships/hyperlink" Target="mailto:aangeleas@etsy.com" TargetMode="External"/><Relationship Id="rId301" Type="http://schemas.openxmlformats.org/officeDocument/2006/relationships/hyperlink" Target="mailto:whuang@etsy.com" TargetMode="External"/><Relationship Id="rId785" Type="http://schemas.openxmlformats.org/officeDocument/2006/relationships/hyperlink" Target="mailto:csu@etsy.com" TargetMode="External"/><Relationship Id="rId1374" Type="http://schemas.openxmlformats.org/officeDocument/2006/relationships/hyperlink" Target="mailto:yzhang@etsy.com" TargetMode="External"/><Relationship Id="rId300" Type="http://schemas.openxmlformats.org/officeDocument/2006/relationships/hyperlink" Target="mailto:aangeleas@etsy.com" TargetMode="External"/><Relationship Id="rId784" Type="http://schemas.openxmlformats.org/officeDocument/2006/relationships/hyperlink" Target="mailto:whuang@etsy.com" TargetMode="External"/><Relationship Id="rId1375" Type="http://schemas.openxmlformats.org/officeDocument/2006/relationships/hyperlink" Target="mailto:whuang@etsy.com" TargetMode="External"/><Relationship Id="rId783" Type="http://schemas.openxmlformats.org/officeDocument/2006/relationships/hyperlink" Target="mailto:yzhang@etsy.com" TargetMode="External"/><Relationship Id="rId1376" Type="http://schemas.openxmlformats.org/officeDocument/2006/relationships/hyperlink" Target="mailto:aangeleas@etsy.com" TargetMode="External"/><Relationship Id="rId782" Type="http://schemas.openxmlformats.org/officeDocument/2006/relationships/hyperlink" Target="mailto:csu@etsy.com" TargetMode="External"/><Relationship Id="rId1377" Type="http://schemas.openxmlformats.org/officeDocument/2006/relationships/hyperlink" Target="mailto:yzhang@etsy.com" TargetMode="External"/><Relationship Id="rId1367" Type="http://schemas.openxmlformats.org/officeDocument/2006/relationships/hyperlink" Target="mailto:aangeleas@etsy.com" TargetMode="External"/><Relationship Id="rId1368" Type="http://schemas.openxmlformats.org/officeDocument/2006/relationships/hyperlink" Target="mailto:yzhang@etsy.com" TargetMode="External"/><Relationship Id="rId1369" Type="http://schemas.openxmlformats.org/officeDocument/2006/relationships/hyperlink" Target="mailto:whuang@etsy.com" TargetMode="External"/><Relationship Id="rId778" Type="http://schemas.openxmlformats.org/officeDocument/2006/relationships/hyperlink" Target="mailto:whuang@etsy.com" TargetMode="External"/><Relationship Id="rId777" Type="http://schemas.openxmlformats.org/officeDocument/2006/relationships/hyperlink" Target="mailto:yzhang@etsy.com" TargetMode="External"/><Relationship Id="rId776" Type="http://schemas.openxmlformats.org/officeDocument/2006/relationships/hyperlink" Target="mailto:csu@etsy.com" TargetMode="External"/><Relationship Id="rId775" Type="http://schemas.openxmlformats.org/officeDocument/2006/relationships/hyperlink" Target="mailto:whuang@etsy.com" TargetMode="External"/><Relationship Id="rId779" Type="http://schemas.openxmlformats.org/officeDocument/2006/relationships/hyperlink" Target="mailto:csu@etsy.com" TargetMode="External"/><Relationship Id="rId770" Type="http://schemas.openxmlformats.org/officeDocument/2006/relationships/hyperlink" Target="mailto:csu@etsy.com" TargetMode="External"/><Relationship Id="rId1360" Type="http://schemas.openxmlformats.org/officeDocument/2006/relationships/hyperlink" Target="mailto:whuang@etsy.com" TargetMode="External"/><Relationship Id="rId1361" Type="http://schemas.openxmlformats.org/officeDocument/2006/relationships/hyperlink" Target="mailto:aangeleas@etsy.com" TargetMode="External"/><Relationship Id="rId1362" Type="http://schemas.openxmlformats.org/officeDocument/2006/relationships/hyperlink" Target="mailto:yzhang@etsy.com" TargetMode="External"/><Relationship Id="rId774" Type="http://schemas.openxmlformats.org/officeDocument/2006/relationships/hyperlink" Target="mailto:yzhang@etsy.com" TargetMode="External"/><Relationship Id="rId1363" Type="http://schemas.openxmlformats.org/officeDocument/2006/relationships/hyperlink" Target="mailto:whuang@etsy.com" TargetMode="External"/><Relationship Id="rId773" Type="http://schemas.openxmlformats.org/officeDocument/2006/relationships/hyperlink" Target="mailto:csu@etsy.com" TargetMode="External"/><Relationship Id="rId1364" Type="http://schemas.openxmlformats.org/officeDocument/2006/relationships/hyperlink" Target="mailto:aangeleas@etsy.com" TargetMode="External"/><Relationship Id="rId772" Type="http://schemas.openxmlformats.org/officeDocument/2006/relationships/hyperlink" Target="mailto:whuang@etsy.com" TargetMode="External"/><Relationship Id="rId1365" Type="http://schemas.openxmlformats.org/officeDocument/2006/relationships/hyperlink" Target="mailto:yzhang@etsy.com" TargetMode="External"/><Relationship Id="rId771" Type="http://schemas.openxmlformats.org/officeDocument/2006/relationships/hyperlink" Target="mailto:yzhang@etsy.com" TargetMode="External"/><Relationship Id="rId1366" Type="http://schemas.openxmlformats.org/officeDocument/2006/relationships/hyperlink" Target="mailto:whuang@etsy.com" TargetMode="External"/><Relationship Id="rId327" Type="http://schemas.openxmlformats.org/officeDocument/2006/relationships/hyperlink" Target="mailto:aangeleas@etsy.com" TargetMode="External"/><Relationship Id="rId326" Type="http://schemas.openxmlformats.org/officeDocument/2006/relationships/hyperlink" Target="mailto:csu@etsy.com" TargetMode="External"/><Relationship Id="rId325" Type="http://schemas.openxmlformats.org/officeDocument/2006/relationships/hyperlink" Target="mailto:whuang@etsy.com" TargetMode="External"/><Relationship Id="rId324" Type="http://schemas.openxmlformats.org/officeDocument/2006/relationships/hyperlink" Target="mailto:aangeleas@etsy.com" TargetMode="External"/><Relationship Id="rId329" Type="http://schemas.openxmlformats.org/officeDocument/2006/relationships/hyperlink" Target="mailto:csu@etsy.com" TargetMode="External"/><Relationship Id="rId1390" Type="http://schemas.openxmlformats.org/officeDocument/2006/relationships/hyperlink" Target="mailto:whuang@etsy.com" TargetMode="External"/><Relationship Id="rId328" Type="http://schemas.openxmlformats.org/officeDocument/2006/relationships/hyperlink" Target="mailto:whuang@etsy.com" TargetMode="External"/><Relationship Id="rId1391" Type="http://schemas.openxmlformats.org/officeDocument/2006/relationships/hyperlink" Target="mailto:aangeleas@etsy.com" TargetMode="External"/><Relationship Id="rId1392" Type="http://schemas.openxmlformats.org/officeDocument/2006/relationships/hyperlink" Target="mailto:yzhang@etsy.com" TargetMode="External"/><Relationship Id="rId1393" Type="http://schemas.openxmlformats.org/officeDocument/2006/relationships/hyperlink" Target="mailto:whuang@etsy.com" TargetMode="External"/><Relationship Id="rId1394" Type="http://schemas.openxmlformats.org/officeDocument/2006/relationships/hyperlink" Target="mailto:aangeleas@etsy.com" TargetMode="External"/><Relationship Id="rId1395" Type="http://schemas.openxmlformats.org/officeDocument/2006/relationships/hyperlink" Target="mailto:yzhang@etsy.com" TargetMode="External"/><Relationship Id="rId323" Type="http://schemas.openxmlformats.org/officeDocument/2006/relationships/hyperlink" Target="mailto:csu@etsy.com" TargetMode="External"/><Relationship Id="rId1396" Type="http://schemas.openxmlformats.org/officeDocument/2006/relationships/hyperlink" Target="mailto:whuang@etsy.com" TargetMode="External"/><Relationship Id="rId322" Type="http://schemas.openxmlformats.org/officeDocument/2006/relationships/hyperlink" Target="mailto:whuang@etsy.com" TargetMode="External"/><Relationship Id="rId1397" Type="http://schemas.openxmlformats.org/officeDocument/2006/relationships/hyperlink" Target="mailto:aangeleas@etsy.com" TargetMode="External"/><Relationship Id="rId321" Type="http://schemas.openxmlformats.org/officeDocument/2006/relationships/hyperlink" Target="mailto:aangeleas@etsy.com" TargetMode="External"/><Relationship Id="rId1398" Type="http://schemas.openxmlformats.org/officeDocument/2006/relationships/hyperlink" Target="mailto:yzhang@etsy.com" TargetMode="External"/><Relationship Id="rId320" Type="http://schemas.openxmlformats.org/officeDocument/2006/relationships/hyperlink" Target="mailto:csu@etsy.com" TargetMode="External"/><Relationship Id="rId1399" Type="http://schemas.openxmlformats.org/officeDocument/2006/relationships/hyperlink" Target="mailto:whuang@etsy.com" TargetMode="External"/><Relationship Id="rId1389" Type="http://schemas.openxmlformats.org/officeDocument/2006/relationships/hyperlink" Target="mailto:yzhang@etsy.com" TargetMode="External"/><Relationship Id="rId316" Type="http://schemas.openxmlformats.org/officeDocument/2006/relationships/hyperlink" Target="mailto:whuang@etsy.com" TargetMode="External"/><Relationship Id="rId315" Type="http://schemas.openxmlformats.org/officeDocument/2006/relationships/hyperlink" Target="mailto:aangeleas@etsy.com" TargetMode="External"/><Relationship Id="rId799" Type="http://schemas.openxmlformats.org/officeDocument/2006/relationships/hyperlink" Target="mailto:whuang@etsy.com" TargetMode="External"/><Relationship Id="rId314" Type="http://schemas.openxmlformats.org/officeDocument/2006/relationships/hyperlink" Target="mailto:csu@etsy.com" TargetMode="External"/><Relationship Id="rId798" Type="http://schemas.openxmlformats.org/officeDocument/2006/relationships/hyperlink" Target="mailto:yzhang@etsy.com" TargetMode="External"/><Relationship Id="rId313" Type="http://schemas.openxmlformats.org/officeDocument/2006/relationships/hyperlink" Target="mailto:whuang@etsy.com" TargetMode="External"/><Relationship Id="rId797" Type="http://schemas.openxmlformats.org/officeDocument/2006/relationships/hyperlink" Target="mailto:csu@etsy.com" TargetMode="External"/><Relationship Id="rId319" Type="http://schemas.openxmlformats.org/officeDocument/2006/relationships/hyperlink" Target="mailto:whuang@etsy.com" TargetMode="External"/><Relationship Id="rId318" Type="http://schemas.openxmlformats.org/officeDocument/2006/relationships/hyperlink" Target="mailto:aangeleas@etsy.com" TargetMode="External"/><Relationship Id="rId317" Type="http://schemas.openxmlformats.org/officeDocument/2006/relationships/hyperlink" Target="mailto:csu@etsy.com" TargetMode="External"/><Relationship Id="rId1380" Type="http://schemas.openxmlformats.org/officeDocument/2006/relationships/hyperlink" Target="mailto:yzhang@etsy.com" TargetMode="External"/><Relationship Id="rId792" Type="http://schemas.openxmlformats.org/officeDocument/2006/relationships/hyperlink" Target="mailto:yzhang@etsy.com" TargetMode="External"/><Relationship Id="rId1381" Type="http://schemas.openxmlformats.org/officeDocument/2006/relationships/hyperlink" Target="mailto:whuang@etsy.com" TargetMode="External"/><Relationship Id="rId791" Type="http://schemas.openxmlformats.org/officeDocument/2006/relationships/hyperlink" Target="mailto:csu@etsy.com" TargetMode="External"/><Relationship Id="rId1382" Type="http://schemas.openxmlformats.org/officeDocument/2006/relationships/hyperlink" Target="mailto:aangeleas@etsy.com" TargetMode="External"/><Relationship Id="rId790" Type="http://schemas.openxmlformats.org/officeDocument/2006/relationships/hyperlink" Target="mailto:whuang@etsy.com" TargetMode="External"/><Relationship Id="rId1383" Type="http://schemas.openxmlformats.org/officeDocument/2006/relationships/hyperlink" Target="mailto:yzhang@etsy.com" TargetMode="External"/><Relationship Id="rId1384" Type="http://schemas.openxmlformats.org/officeDocument/2006/relationships/hyperlink" Target="mailto:whuang@etsy.com" TargetMode="External"/><Relationship Id="rId312" Type="http://schemas.openxmlformats.org/officeDocument/2006/relationships/hyperlink" Target="mailto:aangeleas@etsy.com" TargetMode="External"/><Relationship Id="rId796" Type="http://schemas.openxmlformats.org/officeDocument/2006/relationships/hyperlink" Target="mailto:whuang@etsy.com" TargetMode="External"/><Relationship Id="rId1385" Type="http://schemas.openxmlformats.org/officeDocument/2006/relationships/hyperlink" Target="mailto:aangeleas@etsy.com" TargetMode="External"/><Relationship Id="rId311" Type="http://schemas.openxmlformats.org/officeDocument/2006/relationships/hyperlink" Target="mailto:csu@etsy.com" TargetMode="External"/><Relationship Id="rId795" Type="http://schemas.openxmlformats.org/officeDocument/2006/relationships/hyperlink" Target="mailto:yzhang@etsy.com" TargetMode="External"/><Relationship Id="rId1386" Type="http://schemas.openxmlformats.org/officeDocument/2006/relationships/hyperlink" Target="mailto:yzhang@etsy.com" TargetMode="External"/><Relationship Id="rId310" Type="http://schemas.openxmlformats.org/officeDocument/2006/relationships/hyperlink" Target="mailto:whuang@etsy.com" TargetMode="External"/><Relationship Id="rId794" Type="http://schemas.openxmlformats.org/officeDocument/2006/relationships/hyperlink" Target="mailto:csu@etsy.com" TargetMode="External"/><Relationship Id="rId1387" Type="http://schemas.openxmlformats.org/officeDocument/2006/relationships/hyperlink" Target="mailto:whuang@etsy.com" TargetMode="External"/><Relationship Id="rId793" Type="http://schemas.openxmlformats.org/officeDocument/2006/relationships/hyperlink" Target="mailto:whuang@etsy.com" TargetMode="External"/><Relationship Id="rId1388" Type="http://schemas.openxmlformats.org/officeDocument/2006/relationships/hyperlink" Target="mailto:aangeleas@etsy.com" TargetMode="External"/><Relationship Id="rId297" Type="http://schemas.openxmlformats.org/officeDocument/2006/relationships/hyperlink" Target="mailto:aangeleas@etsy.com" TargetMode="External"/><Relationship Id="rId296" Type="http://schemas.openxmlformats.org/officeDocument/2006/relationships/hyperlink" Target="mailto:csu@etsy.com" TargetMode="External"/><Relationship Id="rId295" Type="http://schemas.openxmlformats.org/officeDocument/2006/relationships/hyperlink" Target="mailto:whuang@etsy.com" TargetMode="External"/><Relationship Id="rId294" Type="http://schemas.openxmlformats.org/officeDocument/2006/relationships/hyperlink" Target="mailto:aangeleas@etsy.com" TargetMode="External"/><Relationship Id="rId299" Type="http://schemas.openxmlformats.org/officeDocument/2006/relationships/hyperlink" Target="mailto:csu@etsy.com" TargetMode="External"/><Relationship Id="rId298" Type="http://schemas.openxmlformats.org/officeDocument/2006/relationships/hyperlink" Target="mailto:whuang@etsy.com" TargetMode="External"/><Relationship Id="rId271" Type="http://schemas.openxmlformats.org/officeDocument/2006/relationships/hyperlink" Target="mailto:whuang@etsy.com" TargetMode="External"/><Relationship Id="rId270" Type="http://schemas.openxmlformats.org/officeDocument/2006/relationships/hyperlink" Target="mailto:aangeleas@etsy.com" TargetMode="External"/><Relationship Id="rId269" Type="http://schemas.openxmlformats.org/officeDocument/2006/relationships/hyperlink" Target="mailto:csu@etsy.com" TargetMode="External"/><Relationship Id="rId264" Type="http://schemas.openxmlformats.org/officeDocument/2006/relationships/hyperlink" Target="mailto:aangeleas@etsy.com" TargetMode="External"/><Relationship Id="rId263" Type="http://schemas.openxmlformats.org/officeDocument/2006/relationships/hyperlink" Target="mailto:csu@etsy.com" TargetMode="External"/><Relationship Id="rId262" Type="http://schemas.openxmlformats.org/officeDocument/2006/relationships/hyperlink" Target="mailto:whuang@etsy.com" TargetMode="External"/><Relationship Id="rId261" Type="http://schemas.openxmlformats.org/officeDocument/2006/relationships/hyperlink" Target="mailto:aangeleas@etsy.com" TargetMode="External"/><Relationship Id="rId268" Type="http://schemas.openxmlformats.org/officeDocument/2006/relationships/hyperlink" Target="mailto:whuang@etsy.com" TargetMode="External"/><Relationship Id="rId267" Type="http://schemas.openxmlformats.org/officeDocument/2006/relationships/hyperlink" Target="mailto:aangeleas@etsy.com" TargetMode="External"/><Relationship Id="rId266" Type="http://schemas.openxmlformats.org/officeDocument/2006/relationships/hyperlink" Target="mailto:csu@etsy.com" TargetMode="External"/><Relationship Id="rId265" Type="http://schemas.openxmlformats.org/officeDocument/2006/relationships/hyperlink" Target="mailto:whuang@etsy.com" TargetMode="External"/><Relationship Id="rId260" Type="http://schemas.openxmlformats.org/officeDocument/2006/relationships/hyperlink" Target="mailto:csu@etsy.com" TargetMode="External"/><Relationship Id="rId259" Type="http://schemas.openxmlformats.org/officeDocument/2006/relationships/hyperlink" Target="mailto:whuang@etsy.com" TargetMode="External"/><Relationship Id="rId258" Type="http://schemas.openxmlformats.org/officeDocument/2006/relationships/hyperlink" Target="mailto:aangeleas@etsy.com" TargetMode="External"/><Relationship Id="rId253" Type="http://schemas.openxmlformats.org/officeDocument/2006/relationships/hyperlink" Target="mailto:whuang@etsy.com" TargetMode="External"/><Relationship Id="rId252" Type="http://schemas.openxmlformats.org/officeDocument/2006/relationships/hyperlink" Target="mailto:aangeleas@etsy.com" TargetMode="External"/><Relationship Id="rId251" Type="http://schemas.openxmlformats.org/officeDocument/2006/relationships/hyperlink" Target="mailto:csu@etsy.com" TargetMode="External"/><Relationship Id="rId250" Type="http://schemas.openxmlformats.org/officeDocument/2006/relationships/hyperlink" Target="mailto:whuang@etsy.com" TargetMode="External"/><Relationship Id="rId257" Type="http://schemas.openxmlformats.org/officeDocument/2006/relationships/hyperlink" Target="mailto:csu@etsy.com" TargetMode="External"/><Relationship Id="rId256" Type="http://schemas.openxmlformats.org/officeDocument/2006/relationships/hyperlink" Target="mailto:whuang@etsy.com" TargetMode="External"/><Relationship Id="rId255" Type="http://schemas.openxmlformats.org/officeDocument/2006/relationships/hyperlink" Target="mailto:aangeleas@etsy.com" TargetMode="External"/><Relationship Id="rId254" Type="http://schemas.openxmlformats.org/officeDocument/2006/relationships/hyperlink" Target="mailto:csu@etsy.com" TargetMode="External"/><Relationship Id="rId293" Type="http://schemas.openxmlformats.org/officeDocument/2006/relationships/hyperlink" Target="mailto:csu@etsy.com" TargetMode="External"/><Relationship Id="rId292" Type="http://schemas.openxmlformats.org/officeDocument/2006/relationships/hyperlink" Target="mailto:whuang@etsy.com" TargetMode="External"/><Relationship Id="rId291" Type="http://schemas.openxmlformats.org/officeDocument/2006/relationships/hyperlink" Target="mailto:aangeleas@etsy.com" TargetMode="External"/><Relationship Id="rId290" Type="http://schemas.openxmlformats.org/officeDocument/2006/relationships/hyperlink" Target="mailto:csu@etsy.com" TargetMode="External"/><Relationship Id="rId286" Type="http://schemas.openxmlformats.org/officeDocument/2006/relationships/hyperlink" Target="mailto:whuang@etsy.com" TargetMode="External"/><Relationship Id="rId285" Type="http://schemas.openxmlformats.org/officeDocument/2006/relationships/hyperlink" Target="mailto:aangeleas@etsy.com" TargetMode="External"/><Relationship Id="rId284" Type="http://schemas.openxmlformats.org/officeDocument/2006/relationships/hyperlink" Target="mailto:csu@etsy.com" TargetMode="External"/><Relationship Id="rId283" Type="http://schemas.openxmlformats.org/officeDocument/2006/relationships/hyperlink" Target="mailto:whuang@etsy.com" TargetMode="External"/><Relationship Id="rId289" Type="http://schemas.openxmlformats.org/officeDocument/2006/relationships/hyperlink" Target="mailto:whuang@etsy.com" TargetMode="External"/><Relationship Id="rId288" Type="http://schemas.openxmlformats.org/officeDocument/2006/relationships/hyperlink" Target="mailto:aangeleas@etsy.com" TargetMode="External"/><Relationship Id="rId287" Type="http://schemas.openxmlformats.org/officeDocument/2006/relationships/hyperlink" Target="mailto:csu@etsy.com" TargetMode="External"/><Relationship Id="rId282" Type="http://schemas.openxmlformats.org/officeDocument/2006/relationships/hyperlink" Target="mailto:aangeleas@etsy.com" TargetMode="External"/><Relationship Id="rId281" Type="http://schemas.openxmlformats.org/officeDocument/2006/relationships/hyperlink" Target="mailto:csu@etsy.com" TargetMode="External"/><Relationship Id="rId280" Type="http://schemas.openxmlformats.org/officeDocument/2006/relationships/hyperlink" Target="mailto:whuang@etsy.com" TargetMode="External"/><Relationship Id="rId275" Type="http://schemas.openxmlformats.org/officeDocument/2006/relationships/hyperlink" Target="mailto:csu@etsy.com" TargetMode="External"/><Relationship Id="rId274" Type="http://schemas.openxmlformats.org/officeDocument/2006/relationships/hyperlink" Target="mailto:whuang@etsy.com" TargetMode="External"/><Relationship Id="rId273" Type="http://schemas.openxmlformats.org/officeDocument/2006/relationships/hyperlink" Target="mailto:aangeleas@etsy.com" TargetMode="External"/><Relationship Id="rId272" Type="http://schemas.openxmlformats.org/officeDocument/2006/relationships/hyperlink" Target="mailto:csu@etsy.com" TargetMode="External"/><Relationship Id="rId279" Type="http://schemas.openxmlformats.org/officeDocument/2006/relationships/hyperlink" Target="mailto:aangeleas@etsy.com" TargetMode="External"/><Relationship Id="rId278" Type="http://schemas.openxmlformats.org/officeDocument/2006/relationships/hyperlink" Target="mailto:csu@etsy.com" TargetMode="External"/><Relationship Id="rId277" Type="http://schemas.openxmlformats.org/officeDocument/2006/relationships/hyperlink" Target="mailto:whuang@etsy.com" TargetMode="External"/><Relationship Id="rId276" Type="http://schemas.openxmlformats.org/officeDocument/2006/relationships/hyperlink" Target="mailto:aangeleas@etsy.com" TargetMode="External"/><Relationship Id="rId1851" Type="http://schemas.openxmlformats.org/officeDocument/2006/relationships/hyperlink" Target="mailto:yzhang@etsy.com" TargetMode="External"/><Relationship Id="rId1852" Type="http://schemas.openxmlformats.org/officeDocument/2006/relationships/hyperlink" Target="mailto:whuang@etsy.com" TargetMode="External"/><Relationship Id="rId1853" Type="http://schemas.openxmlformats.org/officeDocument/2006/relationships/hyperlink" Target="mailto:ebenjamin@etsy.com" TargetMode="External"/><Relationship Id="rId1854" Type="http://schemas.openxmlformats.org/officeDocument/2006/relationships/hyperlink" Target="mailto:yzhang@etsy.com" TargetMode="External"/><Relationship Id="rId1855" Type="http://schemas.openxmlformats.org/officeDocument/2006/relationships/hyperlink" Target="mailto:whuang@etsy.com" TargetMode="External"/><Relationship Id="rId1856" Type="http://schemas.openxmlformats.org/officeDocument/2006/relationships/hyperlink" Target="mailto:ebenjamin@etsy.com" TargetMode="External"/><Relationship Id="rId1857" Type="http://schemas.openxmlformats.org/officeDocument/2006/relationships/hyperlink" Target="mailto:yzhang@etsy.com" TargetMode="External"/><Relationship Id="rId1858" Type="http://schemas.openxmlformats.org/officeDocument/2006/relationships/hyperlink" Target="mailto:whuang@etsy.com" TargetMode="External"/><Relationship Id="rId1859" Type="http://schemas.openxmlformats.org/officeDocument/2006/relationships/hyperlink" Target="mailto:ebenjamin@etsy.com" TargetMode="External"/><Relationship Id="rId1850" Type="http://schemas.openxmlformats.org/officeDocument/2006/relationships/hyperlink" Target="mailto:ebenjamin@etsy.com" TargetMode="External"/><Relationship Id="rId1840" Type="http://schemas.openxmlformats.org/officeDocument/2006/relationships/hyperlink" Target="mailto:whuang@etsy.com" TargetMode="External"/><Relationship Id="rId1841" Type="http://schemas.openxmlformats.org/officeDocument/2006/relationships/hyperlink" Target="mailto:ebenjamin@etsy.com" TargetMode="External"/><Relationship Id="rId1842" Type="http://schemas.openxmlformats.org/officeDocument/2006/relationships/hyperlink" Target="mailto:yzhang@etsy.com" TargetMode="External"/><Relationship Id="rId1843" Type="http://schemas.openxmlformats.org/officeDocument/2006/relationships/hyperlink" Target="mailto:whuang@etsy.com" TargetMode="External"/><Relationship Id="rId1844" Type="http://schemas.openxmlformats.org/officeDocument/2006/relationships/hyperlink" Target="mailto:ebenjamin@etsy.com" TargetMode="External"/><Relationship Id="rId1845" Type="http://schemas.openxmlformats.org/officeDocument/2006/relationships/hyperlink" Target="mailto:yzhang@etsy.com" TargetMode="External"/><Relationship Id="rId1846" Type="http://schemas.openxmlformats.org/officeDocument/2006/relationships/hyperlink" Target="mailto:whuang@etsy.com" TargetMode="External"/><Relationship Id="rId1847" Type="http://schemas.openxmlformats.org/officeDocument/2006/relationships/hyperlink" Target="mailto:ebenjamin@etsy.com" TargetMode="External"/><Relationship Id="rId1848" Type="http://schemas.openxmlformats.org/officeDocument/2006/relationships/hyperlink" Target="mailto:yzhang@etsy.com" TargetMode="External"/><Relationship Id="rId1849" Type="http://schemas.openxmlformats.org/officeDocument/2006/relationships/hyperlink" Target="mailto:whuang@etsy.com" TargetMode="External"/><Relationship Id="rId1873" Type="http://schemas.openxmlformats.org/officeDocument/2006/relationships/hyperlink" Target="mailto:whuang@etsy.com" TargetMode="External"/><Relationship Id="rId1874" Type="http://schemas.openxmlformats.org/officeDocument/2006/relationships/hyperlink" Target="mailto:ebenjamin@etsy.com" TargetMode="External"/><Relationship Id="rId1875" Type="http://schemas.openxmlformats.org/officeDocument/2006/relationships/hyperlink" Target="mailto:yzhang@etsy.com" TargetMode="External"/><Relationship Id="rId1876" Type="http://schemas.openxmlformats.org/officeDocument/2006/relationships/hyperlink" Target="mailto:whuang@etsy.com" TargetMode="External"/><Relationship Id="rId1877" Type="http://schemas.openxmlformats.org/officeDocument/2006/relationships/hyperlink" Target="mailto:ebenjamin@etsy.com" TargetMode="External"/><Relationship Id="rId1878" Type="http://schemas.openxmlformats.org/officeDocument/2006/relationships/hyperlink" Target="mailto:yzhang@etsy.com" TargetMode="External"/><Relationship Id="rId1879" Type="http://schemas.openxmlformats.org/officeDocument/2006/relationships/hyperlink" Target="mailto:whuang@etsy.com" TargetMode="External"/><Relationship Id="rId1870" Type="http://schemas.openxmlformats.org/officeDocument/2006/relationships/hyperlink" Target="mailto:whuang@etsy.com" TargetMode="External"/><Relationship Id="rId1871" Type="http://schemas.openxmlformats.org/officeDocument/2006/relationships/hyperlink" Target="mailto:ebenjamin@etsy.com" TargetMode="External"/><Relationship Id="rId1872" Type="http://schemas.openxmlformats.org/officeDocument/2006/relationships/hyperlink" Target="mailto:yzhang@etsy.com" TargetMode="External"/><Relationship Id="rId1862" Type="http://schemas.openxmlformats.org/officeDocument/2006/relationships/hyperlink" Target="mailto:ebenjamin@etsy.com" TargetMode="External"/><Relationship Id="rId1863" Type="http://schemas.openxmlformats.org/officeDocument/2006/relationships/hyperlink" Target="mailto:yzhang@etsy.com" TargetMode="External"/><Relationship Id="rId1864" Type="http://schemas.openxmlformats.org/officeDocument/2006/relationships/hyperlink" Target="mailto:whuang@etsy.com" TargetMode="External"/><Relationship Id="rId1865" Type="http://schemas.openxmlformats.org/officeDocument/2006/relationships/hyperlink" Target="mailto:ebenjamin@etsy.com" TargetMode="External"/><Relationship Id="rId1866" Type="http://schemas.openxmlformats.org/officeDocument/2006/relationships/hyperlink" Target="mailto:yzhang@etsy.com" TargetMode="External"/><Relationship Id="rId1867" Type="http://schemas.openxmlformats.org/officeDocument/2006/relationships/hyperlink" Target="mailto:whuang@etsy.com" TargetMode="External"/><Relationship Id="rId1868" Type="http://schemas.openxmlformats.org/officeDocument/2006/relationships/hyperlink" Target="mailto:ebenjamin@etsy.com" TargetMode="External"/><Relationship Id="rId1869" Type="http://schemas.openxmlformats.org/officeDocument/2006/relationships/hyperlink" Target="mailto:yzhang@etsy.com" TargetMode="External"/><Relationship Id="rId1860" Type="http://schemas.openxmlformats.org/officeDocument/2006/relationships/hyperlink" Target="mailto:yzhang@etsy.com" TargetMode="External"/><Relationship Id="rId1861" Type="http://schemas.openxmlformats.org/officeDocument/2006/relationships/hyperlink" Target="mailto:whuang@etsy.com" TargetMode="External"/><Relationship Id="rId1810" Type="http://schemas.openxmlformats.org/officeDocument/2006/relationships/hyperlink" Target="mailto:whuang@etsy.com" TargetMode="External"/><Relationship Id="rId1811" Type="http://schemas.openxmlformats.org/officeDocument/2006/relationships/hyperlink" Target="mailto:ebenjamin@etsy.com" TargetMode="External"/><Relationship Id="rId1812" Type="http://schemas.openxmlformats.org/officeDocument/2006/relationships/hyperlink" Target="mailto:yzhang@etsy.com" TargetMode="External"/><Relationship Id="rId1813" Type="http://schemas.openxmlformats.org/officeDocument/2006/relationships/hyperlink" Target="mailto:whuang@etsy.com" TargetMode="External"/><Relationship Id="rId1814" Type="http://schemas.openxmlformats.org/officeDocument/2006/relationships/hyperlink" Target="mailto:ebenjamin@etsy.com" TargetMode="External"/><Relationship Id="rId1815" Type="http://schemas.openxmlformats.org/officeDocument/2006/relationships/hyperlink" Target="mailto:yzhang@etsy.com" TargetMode="External"/><Relationship Id="rId1816" Type="http://schemas.openxmlformats.org/officeDocument/2006/relationships/hyperlink" Target="mailto:whuang@etsy.com" TargetMode="External"/><Relationship Id="rId1817" Type="http://schemas.openxmlformats.org/officeDocument/2006/relationships/hyperlink" Target="mailto:ebenjamin@etsy.com" TargetMode="External"/><Relationship Id="rId1818" Type="http://schemas.openxmlformats.org/officeDocument/2006/relationships/hyperlink" Target="mailto:yzhang@etsy.com" TargetMode="External"/><Relationship Id="rId1819" Type="http://schemas.openxmlformats.org/officeDocument/2006/relationships/hyperlink" Target="mailto:whuang@etsy.com" TargetMode="External"/><Relationship Id="rId1800" Type="http://schemas.openxmlformats.org/officeDocument/2006/relationships/hyperlink" Target="mailto:ebenjamin@etsy.com" TargetMode="External"/><Relationship Id="rId1801" Type="http://schemas.openxmlformats.org/officeDocument/2006/relationships/hyperlink" Target="mailto:whuang@etsy.com" TargetMode="External"/><Relationship Id="rId1802" Type="http://schemas.openxmlformats.org/officeDocument/2006/relationships/hyperlink" Target="mailto:ebenjamin@etsy.com" TargetMode="External"/><Relationship Id="rId1803" Type="http://schemas.openxmlformats.org/officeDocument/2006/relationships/hyperlink" Target="mailto:yzhang@etsy.com" TargetMode="External"/><Relationship Id="rId1804" Type="http://schemas.openxmlformats.org/officeDocument/2006/relationships/hyperlink" Target="mailto:whuang@etsy.com" TargetMode="External"/><Relationship Id="rId1805" Type="http://schemas.openxmlformats.org/officeDocument/2006/relationships/hyperlink" Target="mailto:ebenjamin@etsy.com" TargetMode="External"/><Relationship Id="rId1806" Type="http://schemas.openxmlformats.org/officeDocument/2006/relationships/hyperlink" Target="mailto:yzhang@etsy.com" TargetMode="External"/><Relationship Id="rId1807" Type="http://schemas.openxmlformats.org/officeDocument/2006/relationships/hyperlink" Target="mailto:whuang@etsy.com" TargetMode="External"/><Relationship Id="rId1808" Type="http://schemas.openxmlformats.org/officeDocument/2006/relationships/hyperlink" Target="mailto:ebenjamin@etsy.com" TargetMode="External"/><Relationship Id="rId1809" Type="http://schemas.openxmlformats.org/officeDocument/2006/relationships/hyperlink" Target="mailto:yzhang@etsy.com" TargetMode="External"/><Relationship Id="rId1830" Type="http://schemas.openxmlformats.org/officeDocument/2006/relationships/hyperlink" Target="mailto:yzhang@etsy.com" TargetMode="External"/><Relationship Id="rId1831" Type="http://schemas.openxmlformats.org/officeDocument/2006/relationships/hyperlink" Target="mailto:whuang@etsy.com" TargetMode="External"/><Relationship Id="rId1832" Type="http://schemas.openxmlformats.org/officeDocument/2006/relationships/hyperlink" Target="mailto:ebenjamin@etsy.com" TargetMode="External"/><Relationship Id="rId1833" Type="http://schemas.openxmlformats.org/officeDocument/2006/relationships/hyperlink" Target="mailto:yzhang@etsy.com" TargetMode="External"/><Relationship Id="rId1834" Type="http://schemas.openxmlformats.org/officeDocument/2006/relationships/hyperlink" Target="mailto:whuang@etsy.com" TargetMode="External"/><Relationship Id="rId1835" Type="http://schemas.openxmlformats.org/officeDocument/2006/relationships/hyperlink" Target="mailto:ebenjamin@etsy.com" TargetMode="External"/><Relationship Id="rId1836" Type="http://schemas.openxmlformats.org/officeDocument/2006/relationships/hyperlink" Target="mailto:yzhang@etsy.com" TargetMode="External"/><Relationship Id="rId1837" Type="http://schemas.openxmlformats.org/officeDocument/2006/relationships/hyperlink" Target="mailto:whuang@etsy.com" TargetMode="External"/><Relationship Id="rId1838" Type="http://schemas.openxmlformats.org/officeDocument/2006/relationships/hyperlink" Target="mailto:ebenjamin@etsy.com" TargetMode="External"/><Relationship Id="rId1839" Type="http://schemas.openxmlformats.org/officeDocument/2006/relationships/hyperlink" Target="mailto:yzhang@etsy.com" TargetMode="External"/><Relationship Id="rId1820" Type="http://schemas.openxmlformats.org/officeDocument/2006/relationships/hyperlink" Target="mailto:ebenjamin@etsy.com" TargetMode="External"/><Relationship Id="rId1821" Type="http://schemas.openxmlformats.org/officeDocument/2006/relationships/hyperlink" Target="mailto:yzhang@etsy.com" TargetMode="External"/><Relationship Id="rId1822" Type="http://schemas.openxmlformats.org/officeDocument/2006/relationships/hyperlink" Target="mailto:whuang@etsy.com" TargetMode="External"/><Relationship Id="rId1823" Type="http://schemas.openxmlformats.org/officeDocument/2006/relationships/hyperlink" Target="mailto:ebenjamin@etsy.com" TargetMode="External"/><Relationship Id="rId1824" Type="http://schemas.openxmlformats.org/officeDocument/2006/relationships/hyperlink" Target="mailto:yzhang@etsy.com" TargetMode="External"/><Relationship Id="rId1825" Type="http://schemas.openxmlformats.org/officeDocument/2006/relationships/hyperlink" Target="mailto:whuang@etsy.com" TargetMode="External"/><Relationship Id="rId1826" Type="http://schemas.openxmlformats.org/officeDocument/2006/relationships/hyperlink" Target="mailto:ebenjamin@etsy.com" TargetMode="External"/><Relationship Id="rId1827" Type="http://schemas.openxmlformats.org/officeDocument/2006/relationships/hyperlink" Target="mailto:yzhang@etsy.com" TargetMode="External"/><Relationship Id="rId1828" Type="http://schemas.openxmlformats.org/officeDocument/2006/relationships/hyperlink" Target="mailto:whuang@etsy.com" TargetMode="External"/><Relationship Id="rId1829" Type="http://schemas.openxmlformats.org/officeDocument/2006/relationships/hyperlink" Target="mailto:ebenjamin@etsy.com" TargetMode="External"/><Relationship Id="rId1455" Type="http://schemas.openxmlformats.org/officeDocument/2006/relationships/hyperlink" Target="mailto:ebenjamin@etsy.com" TargetMode="External"/><Relationship Id="rId1456" Type="http://schemas.openxmlformats.org/officeDocument/2006/relationships/hyperlink" Target="mailto:whuang@etsy.com" TargetMode="External"/><Relationship Id="rId1457" Type="http://schemas.openxmlformats.org/officeDocument/2006/relationships/hyperlink" Target="mailto:aangeleas@etsy.com" TargetMode="External"/><Relationship Id="rId1458" Type="http://schemas.openxmlformats.org/officeDocument/2006/relationships/hyperlink" Target="mailto:ebenjamin@etsy.com" TargetMode="External"/><Relationship Id="rId1459" Type="http://schemas.openxmlformats.org/officeDocument/2006/relationships/hyperlink" Target="mailto:whuang@etsy.com" TargetMode="External"/><Relationship Id="rId629" Type="http://schemas.openxmlformats.org/officeDocument/2006/relationships/hyperlink" Target="mailto:csu@etsy.com" TargetMode="External"/><Relationship Id="rId624" Type="http://schemas.openxmlformats.org/officeDocument/2006/relationships/hyperlink" Target="mailto:ebenjamin@etsy.com" TargetMode="External"/><Relationship Id="rId623" Type="http://schemas.openxmlformats.org/officeDocument/2006/relationships/hyperlink" Target="mailto:csu@etsy.com" TargetMode="External"/><Relationship Id="rId622" Type="http://schemas.openxmlformats.org/officeDocument/2006/relationships/hyperlink" Target="mailto:whuang@etsy.com" TargetMode="External"/><Relationship Id="rId621" Type="http://schemas.openxmlformats.org/officeDocument/2006/relationships/hyperlink" Target="mailto:ebenjamin@etsy.com" TargetMode="External"/><Relationship Id="rId628" Type="http://schemas.openxmlformats.org/officeDocument/2006/relationships/hyperlink" Target="mailto:whuang@etsy.com" TargetMode="External"/><Relationship Id="rId627" Type="http://schemas.openxmlformats.org/officeDocument/2006/relationships/hyperlink" Target="mailto:ebenjamin@etsy.com" TargetMode="External"/><Relationship Id="rId626" Type="http://schemas.openxmlformats.org/officeDocument/2006/relationships/hyperlink" Target="mailto:csu@etsy.com" TargetMode="External"/><Relationship Id="rId625" Type="http://schemas.openxmlformats.org/officeDocument/2006/relationships/hyperlink" Target="mailto:whuang@etsy.com" TargetMode="External"/><Relationship Id="rId1450" Type="http://schemas.openxmlformats.org/officeDocument/2006/relationships/hyperlink" Target="mailto:whuang@etsy.com" TargetMode="External"/><Relationship Id="rId620" Type="http://schemas.openxmlformats.org/officeDocument/2006/relationships/hyperlink" Target="mailto:csu@etsy.com" TargetMode="External"/><Relationship Id="rId1451" Type="http://schemas.openxmlformats.org/officeDocument/2006/relationships/hyperlink" Target="mailto:aangeleas@etsy.com" TargetMode="External"/><Relationship Id="rId1452" Type="http://schemas.openxmlformats.org/officeDocument/2006/relationships/hyperlink" Target="mailto:ebenjamin@etsy.com" TargetMode="External"/><Relationship Id="rId1453" Type="http://schemas.openxmlformats.org/officeDocument/2006/relationships/hyperlink" Target="mailto:whuang@etsy.com" TargetMode="External"/><Relationship Id="rId1454" Type="http://schemas.openxmlformats.org/officeDocument/2006/relationships/hyperlink" Target="mailto:aangeleas@etsy.com" TargetMode="External"/><Relationship Id="rId1444" Type="http://schemas.openxmlformats.org/officeDocument/2006/relationships/hyperlink" Target="mailto:whuang@etsy.com" TargetMode="External"/><Relationship Id="rId1445" Type="http://schemas.openxmlformats.org/officeDocument/2006/relationships/hyperlink" Target="mailto:aangeleas@etsy.com" TargetMode="External"/><Relationship Id="rId1446" Type="http://schemas.openxmlformats.org/officeDocument/2006/relationships/hyperlink" Target="mailto:ebenjamin@etsy.com" TargetMode="External"/><Relationship Id="rId1447" Type="http://schemas.openxmlformats.org/officeDocument/2006/relationships/hyperlink" Target="mailto:whuang@etsy.com" TargetMode="External"/><Relationship Id="rId1448" Type="http://schemas.openxmlformats.org/officeDocument/2006/relationships/hyperlink" Target="mailto:aangeleas@etsy.com" TargetMode="External"/><Relationship Id="rId1449" Type="http://schemas.openxmlformats.org/officeDocument/2006/relationships/hyperlink" Target="mailto:ebenjamin@etsy.com" TargetMode="External"/><Relationship Id="rId619" Type="http://schemas.openxmlformats.org/officeDocument/2006/relationships/hyperlink" Target="mailto:whuang@etsy.com" TargetMode="External"/><Relationship Id="rId618" Type="http://schemas.openxmlformats.org/officeDocument/2006/relationships/hyperlink" Target="mailto:ebenjamin@etsy.com" TargetMode="External"/><Relationship Id="rId613" Type="http://schemas.openxmlformats.org/officeDocument/2006/relationships/hyperlink" Target="mailto:whuang@etsy.com" TargetMode="External"/><Relationship Id="rId612" Type="http://schemas.openxmlformats.org/officeDocument/2006/relationships/hyperlink" Target="mailto:ebenjamin@etsy.com" TargetMode="External"/><Relationship Id="rId611" Type="http://schemas.openxmlformats.org/officeDocument/2006/relationships/hyperlink" Target="mailto:csu@etsy.com" TargetMode="External"/><Relationship Id="rId610" Type="http://schemas.openxmlformats.org/officeDocument/2006/relationships/hyperlink" Target="mailto:whuang@etsy.com" TargetMode="External"/><Relationship Id="rId617" Type="http://schemas.openxmlformats.org/officeDocument/2006/relationships/hyperlink" Target="mailto:csu@etsy.com" TargetMode="External"/><Relationship Id="rId616" Type="http://schemas.openxmlformats.org/officeDocument/2006/relationships/hyperlink" Target="mailto:whuang@etsy.com" TargetMode="External"/><Relationship Id="rId615" Type="http://schemas.openxmlformats.org/officeDocument/2006/relationships/hyperlink" Target="mailto:ebenjamin@etsy.com" TargetMode="External"/><Relationship Id="rId614" Type="http://schemas.openxmlformats.org/officeDocument/2006/relationships/hyperlink" Target="mailto:csu@etsy.com" TargetMode="External"/><Relationship Id="rId1440" Type="http://schemas.openxmlformats.org/officeDocument/2006/relationships/hyperlink" Target="mailto:yzhang@etsy.com" TargetMode="External"/><Relationship Id="rId1441" Type="http://schemas.openxmlformats.org/officeDocument/2006/relationships/hyperlink" Target="mailto:whuang@etsy.com" TargetMode="External"/><Relationship Id="rId1442" Type="http://schemas.openxmlformats.org/officeDocument/2006/relationships/hyperlink" Target="mailto:aangeleas@etsy.com" TargetMode="External"/><Relationship Id="rId1443" Type="http://schemas.openxmlformats.org/officeDocument/2006/relationships/hyperlink" Target="mailto:ebenjamin@etsy.com" TargetMode="External"/><Relationship Id="rId1477" Type="http://schemas.openxmlformats.org/officeDocument/2006/relationships/hyperlink" Target="mailto:whuang@etsy.com" TargetMode="External"/><Relationship Id="rId1478" Type="http://schemas.openxmlformats.org/officeDocument/2006/relationships/hyperlink" Target="mailto:aangeleas@etsy.com" TargetMode="External"/><Relationship Id="rId1479" Type="http://schemas.openxmlformats.org/officeDocument/2006/relationships/hyperlink" Target="mailto:ebenjamin@etsy.com" TargetMode="External"/><Relationship Id="rId646" Type="http://schemas.openxmlformats.org/officeDocument/2006/relationships/hyperlink" Target="mailto:whuang@etsy.com" TargetMode="External"/><Relationship Id="rId645" Type="http://schemas.openxmlformats.org/officeDocument/2006/relationships/hyperlink" Target="mailto:ebenjamin@etsy.com" TargetMode="External"/><Relationship Id="rId644" Type="http://schemas.openxmlformats.org/officeDocument/2006/relationships/hyperlink" Target="mailto:csu@etsy.com" TargetMode="External"/><Relationship Id="rId643" Type="http://schemas.openxmlformats.org/officeDocument/2006/relationships/hyperlink" Target="mailto:whuang@etsy.com" TargetMode="External"/><Relationship Id="rId649" Type="http://schemas.openxmlformats.org/officeDocument/2006/relationships/hyperlink" Target="mailto:whuang@etsy.com" TargetMode="External"/><Relationship Id="rId648" Type="http://schemas.openxmlformats.org/officeDocument/2006/relationships/hyperlink" Target="mailto:ebenjamin@etsy.com" TargetMode="External"/><Relationship Id="rId647" Type="http://schemas.openxmlformats.org/officeDocument/2006/relationships/hyperlink" Target="mailto:csu@etsy.com" TargetMode="External"/><Relationship Id="rId1470" Type="http://schemas.openxmlformats.org/officeDocument/2006/relationships/hyperlink" Target="mailto:ebenjamin@etsy.com" TargetMode="External"/><Relationship Id="rId1471" Type="http://schemas.openxmlformats.org/officeDocument/2006/relationships/hyperlink" Target="mailto:whuang@etsy.com" TargetMode="External"/><Relationship Id="rId1472" Type="http://schemas.openxmlformats.org/officeDocument/2006/relationships/hyperlink" Target="mailto:aangeleas@etsy.com" TargetMode="External"/><Relationship Id="rId642" Type="http://schemas.openxmlformats.org/officeDocument/2006/relationships/hyperlink" Target="mailto:ebenjamin@etsy.com" TargetMode="External"/><Relationship Id="rId1473" Type="http://schemas.openxmlformats.org/officeDocument/2006/relationships/hyperlink" Target="mailto:ebenjamin@etsy.com" TargetMode="External"/><Relationship Id="rId641" Type="http://schemas.openxmlformats.org/officeDocument/2006/relationships/hyperlink" Target="mailto:csu@etsy.com" TargetMode="External"/><Relationship Id="rId1474" Type="http://schemas.openxmlformats.org/officeDocument/2006/relationships/hyperlink" Target="mailto:whuang@etsy.com" TargetMode="External"/><Relationship Id="rId640" Type="http://schemas.openxmlformats.org/officeDocument/2006/relationships/hyperlink" Target="mailto:whuang@etsy.com" TargetMode="External"/><Relationship Id="rId1475" Type="http://schemas.openxmlformats.org/officeDocument/2006/relationships/hyperlink" Target="mailto:aangeleas@etsy.com" TargetMode="External"/><Relationship Id="rId1476" Type="http://schemas.openxmlformats.org/officeDocument/2006/relationships/hyperlink" Target="mailto:ebenjamin@etsy.com" TargetMode="External"/><Relationship Id="rId1466" Type="http://schemas.openxmlformats.org/officeDocument/2006/relationships/hyperlink" Target="mailto:aangeleas@etsy.com" TargetMode="External"/><Relationship Id="rId1467" Type="http://schemas.openxmlformats.org/officeDocument/2006/relationships/hyperlink" Target="mailto:ebenjamin@etsy.com" TargetMode="External"/><Relationship Id="rId1468" Type="http://schemas.openxmlformats.org/officeDocument/2006/relationships/hyperlink" Target="mailto:whuang@etsy.com" TargetMode="External"/><Relationship Id="rId1469" Type="http://schemas.openxmlformats.org/officeDocument/2006/relationships/hyperlink" Target="mailto:aangeleas@etsy.com" TargetMode="External"/><Relationship Id="rId635" Type="http://schemas.openxmlformats.org/officeDocument/2006/relationships/hyperlink" Target="mailto:csu@etsy.com" TargetMode="External"/><Relationship Id="rId634" Type="http://schemas.openxmlformats.org/officeDocument/2006/relationships/hyperlink" Target="mailto:whuang@etsy.com" TargetMode="External"/><Relationship Id="rId633" Type="http://schemas.openxmlformats.org/officeDocument/2006/relationships/hyperlink" Target="mailto:ebenjamin@etsy.com" TargetMode="External"/><Relationship Id="rId632" Type="http://schemas.openxmlformats.org/officeDocument/2006/relationships/hyperlink" Target="mailto:csu@etsy.com" TargetMode="External"/><Relationship Id="rId639" Type="http://schemas.openxmlformats.org/officeDocument/2006/relationships/hyperlink" Target="mailto:ebenjamin@etsy.com" TargetMode="External"/><Relationship Id="rId638" Type="http://schemas.openxmlformats.org/officeDocument/2006/relationships/hyperlink" Target="mailto:csu@etsy.com" TargetMode="External"/><Relationship Id="rId637" Type="http://schemas.openxmlformats.org/officeDocument/2006/relationships/hyperlink" Target="mailto:whuang@etsy.com" TargetMode="External"/><Relationship Id="rId636" Type="http://schemas.openxmlformats.org/officeDocument/2006/relationships/hyperlink" Target="mailto:ebenjamin@etsy.com" TargetMode="External"/><Relationship Id="rId1460" Type="http://schemas.openxmlformats.org/officeDocument/2006/relationships/hyperlink" Target="mailto:aangeleas@etsy.com" TargetMode="External"/><Relationship Id="rId1461" Type="http://schemas.openxmlformats.org/officeDocument/2006/relationships/hyperlink" Target="mailto:ebenjamin@etsy.com" TargetMode="External"/><Relationship Id="rId631" Type="http://schemas.openxmlformats.org/officeDocument/2006/relationships/hyperlink" Target="mailto:whuang@etsy.com" TargetMode="External"/><Relationship Id="rId1462" Type="http://schemas.openxmlformats.org/officeDocument/2006/relationships/hyperlink" Target="mailto:whuang@etsy.com" TargetMode="External"/><Relationship Id="rId630" Type="http://schemas.openxmlformats.org/officeDocument/2006/relationships/hyperlink" Target="mailto:ebenjamin@etsy.com" TargetMode="External"/><Relationship Id="rId1463" Type="http://schemas.openxmlformats.org/officeDocument/2006/relationships/hyperlink" Target="mailto:aangeleas@etsy.com" TargetMode="External"/><Relationship Id="rId1464" Type="http://schemas.openxmlformats.org/officeDocument/2006/relationships/hyperlink" Target="mailto:ebenjamin@etsy.com" TargetMode="External"/><Relationship Id="rId1465" Type="http://schemas.openxmlformats.org/officeDocument/2006/relationships/hyperlink" Target="mailto:whuang@etsy.com" TargetMode="External"/><Relationship Id="rId1411" Type="http://schemas.openxmlformats.org/officeDocument/2006/relationships/hyperlink" Target="mailto:whuang@etsy.com" TargetMode="External"/><Relationship Id="rId1895" Type="http://schemas.openxmlformats.org/officeDocument/2006/relationships/hyperlink" Target="mailto:ebenjamin@etsy.com" TargetMode="External"/><Relationship Id="rId1412" Type="http://schemas.openxmlformats.org/officeDocument/2006/relationships/hyperlink" Target="mailto:aangeleas@etsy.com" TargetMode="External"/><Relationship Id="rId1896" Type="http://schemas.openxmlformats.org/officeDocument/2006/relationships/hyperlink" Target="mailto:yzhang@etsy.com" TargetMode="External"/><Relationship Id="rId1413" Type="http://schemas.openxmlformats.org/officeDocument/2006/relationships/hyperlink" Target="mailto:yzhang@etsy.com" TargetMode="External"/><Relationship Id="rId1897" Type="http://schemas.openxmlformats.org/officeDocument/2006/relationships/hyperlink" Target="mailto:whuang@etsy.com" TargetMode="External"/><Relationship Id="rId1414" Type="http://schemas.openxmlformats.org/officeDocument/2006/relationships/hyperlink" Target="mailto:whuang@etsy.com" TargetMode="External"/><Relationship Id="rId1898" Type="http://schemas.openxmlformats.org/officeDocument/2006/relationships/hyperlink" Target="mailto:ebenjamin@etsy.com" TargetMode="External"/><Relationship Id="rId1415" Type="http://schemas.openxmlformats.org/officeDocument/2006/relationships/hyperlink" Target="mailto:aangeleas@etsy.com" TargetMode="External"/><Relationship Id="rId1899" Type="http://schemas.openxmlformats.org/officeDocument/2006/relationships/hyperlink" Target="mailto:yzhang@etsy.com" TargetMode="External"/><Relationship Id="rId1416" Type="http://schemas.openxmlformats.org/officeDocument/2006/relationships/hyperlink" Target="mailto:yzhang@etsy.com" TargetMode="External"/><Relationship Id="rId1417" Type="http://schemas.openxmlformats.org/officeDocument/2006/relationships/hyperlink" Target="mailto:whuang@etsy.com" TargetMode="External"/><Relationship Id="rId1418" Type="http://schemas.openxmlformats.org/officeDocument/2006/relationships/hyperlink" Target="mailto:aangeleas@etsy.com" TargetMode="External"/><Relationship Id="rId1419" Type="http://schemas.openxmlformats.org/officeDocument/2006/relationships/hyperlink" Target="mailto:yzhang@etsy.com" TargetMode="External"/><Relationship Id="rId1890" Type="http://schemas.openxmlformats.org/officeDocument/2006/relationships/hyperlink" Target="mailto:yzhang@etsy.com" TargetMode="External"/><Relationship Id="rId1891" Type="http://schemas.openxmlformats.org/officeDocument/2006/relationships/hyperlink" Target="mailto:whuang@etsy.com" TargetMode="External"/><Relationship Id="rId1892" Type="http://schemas.openxmlformats.org/officeDocument/2006/relationships/hyperlink" Target="mailto:ebenjamin@etsy.com" TargetMode="External"/><Relationship Id="rId1893" Type="http://schemas.openxmlformats.org/officeDocument/2006/relationships/hyperlink" Target="mailto:yzhang@etsy.com" TargetMode="External"/><Relationship Id="rId1410" Type="http://schemas.openxmlformats.org/officeDocument/2006/relationships/hyperlink" Target="mailto:yzhang@etsy.com" TargetMode="External"/><Relationship Id="rId1894" Type="http://schemas.openxmlformats.org/officeDocument/2006/relationships/hyperlink" Target="mailto:whuang@etsy.com" TargetMode="External"/><Relationship Id="rId1400" Type="http://schemas.openxmlformats.org/officeDocument/2006/relationships/hyperlink" Target="mailto:aangeleas@etsy.com" TargetMode="External"/><Relationship Id="rId1884" Type="http://schemas.openxmlformats.org/officeDocument/2006/relationships/hyperlink" Target="mailto:yzhang@etsy.com" TargetMode="External"/><Relationship Id="rId1401" Type="http://schemas.openxmlformats.org/officeDocument/2006/relationships/hyperlink" Target="mailto:yzhang@etsy.com" TargetMode="External"/><Relationship Id="rId1885" Type="http://schemas.openxmlformats.org/officeDocument/2006/relationships/hyperlink" Target="mailto:whuang@etsy.com" TargetMode="External"/><Relationship Id="rId1402" Type="http://schemas.openxmlformats.org/officeDocument/2006/relationships/hyperlink" Target="mailto:whuang@etsy.com" TargetMode="External"/><Relationship Id="rId1886" Type="http://schemas.openxmlformats.org/officeDocument/2006/relationships/hyperlink" Target="mailto:ebenjamin@etsy.com" TargetMode="External"/><Relationship Id="rId1403" Type="http://schemas.openxmlformats.org/officeDocument/2006/relationships/hyperlink" Target="mailto:aangeleas@etsy.com" TargetMode="External"/><Relationship Id="rId1887" Type="http://schemas.openxmlformats.org/officeDocument/2006/relationships/hyperlink" Target="mailto:yzhang@etsy.com" TargetMode="External"/><Relationship Id="rId1404" Type="http://schemas.openxmlformats.org/officeDocument/2006/relationships/hyperlink" Target="mailto:yzhang@etsy.com" TargetMode="External"/><Relationship Id="rId1888" Type="http://schemas.openxmlformats.org/officeDocument/2006/relationships/hyperlink" Target="mailto:whuang@etsy.com" TargetMode="External"/><Relationship Id="rId1405" Type="http://schemas.openxmlformats.org/officeDocument/2006/relationships/hyperlink" Target="mailto:whuang@etsy.com" TargetMode="External"/><Relationship Id="rId1889" Type="http://schemas.openxmlformats.org/officeDocument/2006/relationships/hyperlink" Target="mailto:ebenjamin@etsy.com" TargetMode="External"/><Relationship Id="rId1406" Type="http://schemas.openxmlformats.org/officeDocument/2006/relationships/hyperlink" Target="mailto:aangeleas@etsy.com" TargetMode="External"/><Relationship Id="rId1407" Type="http://schemas.openxmlformats.org/officeDocument/2006/relationships/hyperlink" Target="mailto:yzhang@etsy.com" TargetMode="External"/><Relationship Id="rId1408" Type="http://schemas.openxmlformats.org/officeDocument/2006/relationships/hyperlink" Target="mailto:whuang@etsy.com" TargetMode="External"/><Relationship Id="rId1409" Type="http://schemas.openxmlformats.org/officeDocument/2006/relationships/hyperlink" Target="mailto:aangeleas@etsy.com" TargetMode="External"/><Relationship Id="rId1880" Type="http://schemas.openxmlformats.org/officeDocument/2006/relationships/hyperlink" Target="mailto:ebenjamin@etsy.com" TargetMode="External"/><Relationship Id="rId1881" Type="http://schemas.openxmlformats.org/officeDocument/2006/relationships/hyperlink" Target="mailto:yzhang@etsy.com" TargetMode="External"/><Relationship Id="rId1882" Type="http://schemas.openxmlformats.org/officeDocument/2006/relationships/hyperlink" Target="mailto:whuang@etsy.com" TargetMode="External"/><Relationship Id="rId1883" Type="http://schemas.openxmlformats.org/officeDocument/2006/relationships/hyperlink" Target="mailto:ebenjamin@etsy.com" TargetMode="External"/><Relationship Id="rId1433" Type="http://schemas.openxmlformats.org/officeDocument/2006/relationships/hyperlink" Target="mailto:aangeleas@etsy.com" TargetMode="External"/><Relationship Id="rId1434" Type="http://schemas.openxmlformats.org/officeDocument/2006/relationships/hyperlink" Target="mailto:yzhang@etsy.com" TargetMode="External"/><Relationship Id="rId1435" Type="http://schemas.openxmlformats.org/officeDocument/2006/relationships/hyperlink" Target="mailto:whuang@etsy.com" TargetMode="External"/><Relationship Id="rId1436" Type="http://schemas.openxmlformats.org/officeDocument/2006/relationships/hyperlink" Target="mailto:aangeleas@etsy.com" TargetMode="External"/><Relationship Id="rId1437" Type="http://schemas.openxmlformats.org/officeDocument/2006/relationships/hyperlink" Target="mailto:yzhang@etsy.com" TargetMode="External"/><Relationship Id="rId1438" Type="http://schemas.openxmlformats.org/officeDocument/2006/relationships/hyperlink" Target="mailto:whuang@etsy.com" TargetMode="External"/><Relationship Id="rId1439" Type="http://schemas.openxmlformats.org/officeDocument/2006/relationships/hyperlink" Target="mailto:aangeleas@etsy.com" TargetMode="External"/><Relationship Id="rId609" Type="http://schemas.openxmlformats.org/officeDocument/2006/relationships/hyperlink" Target="mailto:ebenjamin@etsy.com" TargetMode="External"/><Relationship Id="rId608" Type="http://schemas.openxmlformats.org/officeDocument/2006/relationships/hyperlink" Target="mailto:csu@etsy.com" TargetMode="External"/><Relationship Id="rId607" Type="http://schemas.openxmlformats.org/officeDocument/2006/relationships/hyperlink" Target="mailto:whuang@etsy.com" TargetMode="External"/><Relationship Id="rId602" Type="http://schemas.openxmlformats.org/officeDocument/2006/relationships/hyperlink" Target="mailto:csu@etsy.com" TargetMode="External"/><Relationship Id="rId601" Type="http://schemas.openxmlformats.org/officeDocument/2006/relationships/hyperlink" Target="mailto:whuang@etsy.com" TargetMode="External"/><Relationship Id="rId600" Type="http://schemas.openxmlformats.org/officeDocument/2006/relationships/hyperlink" Target="mailto:ebenjamin@etsy.com" TargetMode="External"/><Relationship Id="rId606" Type="http://schemas.openxmlformats.org/officeDocument/2006/relationships/hyperlink" Target="mailto:ebenjamin@etsy.com" TargetMode="External"/><Relationship Id="rId605" Type="http://schemas.openxmlformats.org/officeDocument/2006/relationships/hyperlink" Target="mailto:csu@etsy.com" TargetMode="External"/><Relationship Id="rId604" Type="http://schemas.openxmlformats.org/officeDocument/2006/relationships/hyperlink" Target="mailto:whuang@etsy.com" TargetMode="External"/><Relationship Id="rId603" Type="http://schemas.openxmlformats.org/officeDocument/2006/relationships/hyperlink" Target="mailto:ebenjamin@etsy.com" TargetMode="External"/><Relationship Id="rId1430" Type="http://schemas.openxmlformats.org/officeDocument/2006/relationships/hyperlink" Target="mailto:aangeleas@etsy.com" TargetMode="External"/><Relationship Id="rId1431" Type="http://schemas.openxmlformats.org/officeDocument/2006/relationships/hyperlink" Target="mailto:yzhang@etsy.com" TargetMode="External"/><Relationship Id="rId1432" Type="http://schemas.openxmlformats.org/officeDocument/2006/relationships/hyperlink" Target="mailto:whuang@etsy.com" TargetMode="External"/><Relationship Id="rId1422" Type="http://schemas.openxmlformats.org/officeDocument/2006/relationships/hyperlink" Target="mailto:yzhang@etsy.com" TargetMode="External"/><Relationship Id="rId1423" Type="http://schemas.openxmlformats.org/officeDocument/2006/relationships/hyperlink" Target="mailto:whuang@etsy.com" TargetMode="External"/><Relationship Id="rId1424" Type="http://schemas.openxmlformats.org/officeDocument/2006/relationships/hyperlink" Target="mailto:aangeleas@etsy.com" TargetMode="External"/><Relationship Id="rId1425" Type="http://schemas.openxmlformats.org/officeDocument/2006/relationships/hyperlink" Target="mailto:yzhang@etsy.com" TargetMode="External"/><Relationship Id="rId1426" Type="http://schemas.openxmlformats.org/officeDocument/2006/relationships/hyperlink" Target="mailto:whuang@etsy.com" TargetMode="External"/><Relationship Id="rId1427" Type="http://schemas.openxmlformats.org/officeDocument/2006/relationships/hyperlink" Target="mailto:aangeleas@etsy.com" TargetMode="External"/><Relationship Id="rId1428" Type="http://schemas.openxmlformats.org/officeDocument/2006/relationships/hyperlink" Target="mailto:yzhang@etsy.com" TargetMode="External"/><Relationship Id="rId1429" Type="http://schemas.openxmlformats.org/officeDocument/2006/relationships/hyperlink" Target="mailto:whuang@etsy.com" TargetMode="External"/><Relationship Id="rId1420" Type="http://schemas.openxmlformats.org/officeDocument/2006/relationships/hyperlink" Target="mailto:whuang@etsy.com" TargetMode="External"/><Relationship Id="rId1421" Type="http://schemas.openxmlformats.org/officeDocument/2006/relationships/hyperlink" Target="mailto:aangeleas@etsy.com" TargetMode="External"/><Relationship Id="rId1059" Type="http://schemas.openxmlformats.org/officeDocument/2006/relationships/hyperlink" Target="mailto:yzhang@etsy.com" TargetMode="External"/><Relationship Id="rId228" Type="http://schemas.openxmlformats.org/officeDocument/2006/relationships/hyperlink" Target="mailto:aangeleas@etsy.com" TargetMode="External"/><Relationship Id="rId227" Type="http://schemas.openxmlformats.org/officeDocument/2006/relationships/hyperlink" Target="mailto:csu@etsy.com" TargetMode="External"/><Relationship Id="rId226" Type="http://schemas.openxmlformats.org/officeDocument/2006/relationships/hyperlink" Target="mailto:whuang@etsy.com" TargetMode="External"/><Relationship Id="rId225" Type="http://schemas.openxmlformats.org/officeDocument/2006/relationships/hyperlink" Target="mailto:aangeleas@etsy.com" TargetMode="External"/><Relationship Id="rId229" Type="http://schemas.openxmlformats.org/officeDocument/2006/relationships/hyperlink" Target="mailto:whuang@etsy.com" TargetMode="External"/><Relationship Id="rId1050" Type="http://schemas.openxmlformats.org/officeDocument/2006/relationships/hyperlink" Target="mailto:yzhang@etsy.com" TargetMode="External"/><Relationship Id="rId220" Type="http://schemas.openxmlformats.org/officeDocument/2006/relationships/hyperlink" Target="mailto:whuang@etsy.com" TargetMode="External"/><Relationship Id="rId1051" Type="http://schemas.openxmlformats.org/officeDocument/2006/relationships/hyperlink" Target="mailto:whuang@etsy.com" TargetMode="External"/><Relationship Id="rId1052" Type="http://schemas.openxmlformats.org/officeDocument/2006/relationships/hyperlink" Target="mailto:csu@etsy.com" TargetMode="External"/><Relationship Id="rId1053" Type="http://schemas.openxmlformats.org/officeDocument/2006/relationships/hyperlink" Target="mailto:yzhang@etsy.com" TargetMode="External"/><Relationship Id="rId1054" Type="http://schemas.openxmlformats.org/officeDocument/2006/relationships/hyperlink" Target="mailto:whuang@etsy.com" TargetMode="External"/><Relationship Id="rId224" Type="http://schemas.openxmlformats.org/officeDocument/2006/relationships/hyperlink" Target="mailto:csu@etsy.com" TargetMode="External"/><Relationship Id="rId1055" Type="http://schemas.openxmlformats.org/officeDocument/2006/relationships/hyperlink" Target="mailto:csu@etsy.com" TargetMode="External"/><Relationship Id="rId223" Type="http://schemas.openxmlformats.org/officeDocument/2006/relationships/hyperlink" Target="mailto:whuang@etsy.com" TargetMode="External"/><Relationship Id="rId1056" Type="http://schemas.openxmlformats.org/officeDocument/2006/relationships/hyperlink" Target="mailto:yzhang@etsy.com" TargetMode="External"/><Relationship Id="rId222" Type="http://schemas.openxmlformats.org/officeDocument/2006/relationships/hyperlink" Target="mailto:aangeleas@etsy.com" TargetMode="External"/><Relationship Id="rId1057" Type="http://schemas.openxmlformats.org/officeDocument/2006/relationships/hyperlink" Target="mailto:whuang@etsy.com" TargetMode="External"/><Relationship Id="rId221" Type="http://schemas.openxmlformats.org/officeDocument/2006/relationships/hyperlink" Target="mailto:csu@etsy.com" TargetMode="External"/><Relationship Id="rId1058" Type="http://schemas.openxmlformats.org/officeDocument/2006/relationships/hyperlink" Target="mailto:csu@etsy.com" TargetMode="External"/><Relationship Id="rId1048" Type="http://schemas.openxmlformats.org/officeDocument/2006/relationships/hyperlink" Target="mailto:whuang@etsy.com" TargetMode="External"/><Relationship Id="rId1049" Type="http://schemas.openxmlformats.org/officeDocument/2006/relationships/hyperlink" Target="mailto:csu@etsy.com" TargetMode="External"/><Relationship Id="rId217" Type="http://schemas.openxmlformats.org/officeDocument/2006/relationships/hyperlink" Target="mailto:whuang@etsy.com" TargetMode="External"/><Relationship Id="rId216" Type="http://schemas.openxmlformats.org/officeDocument/2006/relationships/hyperlink" Target="mailto:aangeleas@etsy.com" TargetMode="External"/><Relationship Id="rId215" Type="http://schemas.openxmlformats.org/officeDocument/2006/relationships/hyperlink" Target="mailto:csu@etsy.com" TargetMode="External"/><Relationship Id="rId699" Type="http://schemas.openxmlformats.org/officeDocument/2006/relationships/hyperlink" Target="mailto:ebenjamin@etsy.com" TargetMode="External"/><Relationship Id="rId214" Type="http://schemas.openxmlformats.org/officeDocument/2006/relationships/hyperlink" Target="mailto:whuang@etsy.com" TargetMode="External"/><Relationship Id="rId698" Type="http://schemas.openxmlformats.org/officeDocument/2006/relationships/hyperlink" Target="mailto:csu@etsy.com" TargetMode="External"/><Relationship Id="rId219" Type="http://schemas.openxmlformats.org/officeDocument/2006/relationships/hyperlink" Target="mailto:aangeleas@etsy.com" TargetMode="External"/><Relationship Id="rId218" Type="http://schemas.openxmlformats.org/officeDocument/2006/relationships/hyperlink" Target="mailto:csu@etsy.com" TargetMode="External"/><Relationship Id="rId693" Type="http://schemas.openxmlformats.org/officeDocument/2006/relationships/hyperlink" Target="mailto:ebenjamin@etsy.com" TargetMode="External"/><Relationship Id="rId1040" Type="http://schemas.openxmlformats.org/officeDocument/2006/relationships/hyperlink" Target="mailto:csu@etsy.com" TargetMode="External"/><Relationship Id="rId692" Type="http://schemas.openxmlformats.org/officeDocument/2006/relationships/hyperlink" Target="mailto:csu@etsy.com" TargetMode="External"/><Relationship Id="rId1041" Type="http://schemas.openxmlformats.org/officeDocument/2006/relationships/hyperlink" Target="mailto:yzhang@etsy.com" TargetMode="External"/><Relationship Id="rId691" Type="http://schemas.openxmlformats.org/officeDocument/2006/relationships/hyperlink" Target="mailto:whuang@etsy.com" TargetMode="External"/><Relationship Id="rId1042" Type="http://schemas.openxmlformats.org/officeDocument/2006/relationships/hyperlink" Target="mailto:whuang@etsy.com" TargetMode="External"/><Relationship Id="rId690" Type="http://schemas.openxmlformats.org/officeDocument/2006/relationships/hyperlink" Target="mailto:ebenjamin@etsy.com" TargetMode="External"/><Relationship Id="rId1043" Type="http://schemas.openxmlformats.org/officeDocument/2006/relationships/hyperlink" Target="mailto:csu@etsy.com" TargetMode="External"/><Relationship Id="rId213" Type="http://schemas.openxmlformats.org/officeDocument/2006/relationships/hyperlink" Target="mailto:aangeleas@etsy.com" TargetMode="External"/><Relationship Id="rId697" Type="http://schemas.openxmlformats.org/officeDocument/2006/relationships/hyperlink" Target="mailto:whuang@etsy.com" TargetMode="External"/><Relationship Id="rId1044" Type="http://schemas.openxmlformats.org/officeDocument/2006/relationships/hyperlink" Target="mailto:yzhang@etsy.com" TargetMode="External"/><Relationship Id="rId212" Type="http://schemas.openxmlformats.org/officeDocument/2006/relationships/hyperlink" Target="mailto:csu@etsy.com" TargetMode="External"/><Relationship Id="rId696" Type="http://schemas.openxmlformats.org/officeDocument/2006/relationships/hyperlink" Target="mailto:ebenjamin@etsy.com" TargetMode="External"/><Relationship Id="rId1045" Type="http://schemas.openxmlformats.org/officeDocument/2006/relationships/hyperlink" Target="mailto:whuang@etsy.com" TargetMode="External"/><Relationship Id="rId211" Type="http://schemas.openxmlformats.org/officeDocument/2006/relationships/hyperlink" Target="mailto:whuang@etsy.com" TargetMode="External"/><Relationship Id="rId695" Type="http://schemas.openxmlformats.org/officeDocument/2006/relationships/hyperlink" Target="mailto:csu@etsy.com" TargetMode="External"/><Relationship Id="rId1046" Type="http://schemas.openxmlformats.org/officeDocument/2006/relationships/hyperlink" Target="mailto:csu@etsy.com" TargetMode="External"/><Relationship Id="rId210" Type="http://schemas.openxmlformats.org/officeDocument/2006/relationships/hyperlink" Target="mailto:aangeleas@etsy.com" TargetMode="External"/><Relationship Id="rId694" Type="http://schemas.openxmlformats.org/officeDocument/2006/relationships/hyperlink" Target="mailto:whuang@etsy.com" TargetMode="External"/><Relationship Id="rId1047" Type="http://schemas.openxmlformats.org/officeDocument/2006/relationships/hyperlink" Target="mailto:yzhang@etsy.com" TargetMode="External"/><Relationship Id="rId249" Type="http://schemas.openxmlformats.org/officeDocument/2006/relationships/hyperlink" Target="mailto:aangeleas@etsy.com" TargetMode="External"/><Relationship Id="rId248" Type="http://schemas.openxmlformats.org/officeDocument/2006/relationships/hyperlink" Target="mailto:csu@etsy.com" TargetMode="External"/><Relationship Id="rId247" Type="http://schemas.openxmlformats.org/officeDocument/2006/relationships/hyperlink" Target="mailto:whuang@etsy.com" TargetMode="External"/><Relationship Id="rId1070" Type="http://schemas.openxmlformats.org/officeDocument/2006/relationships/hyperlink" Target="mailto:csu@etsy.com" TargetMode="External"/><Relationship Id="rId1071" Type="http://schemas.openxmlformats.org/officeDocument/2006/relationships/hyperlink" Target="mailto:yzhang@etsy.com" TargetMode="External"/><Relationship Id="rId1072" Type="http://schemas.openxmlformats.org/officeDocument/2006/relationships/hyperlink" Target="mailto:whuang@etsy.com" TargetMode="External"/><Relationship Id="rId242" Type="http://schemas.openxmlformats.org/officeDocument/2006/relationships/hyperlink" Target="mailto:csu@etsy.com" TargetMode="External"/><Relationship Id="rId1073" Type="http://schemas.openxmlformats.org/officeDocument/2006/relationships/hyperlink" Target="mailto:csu@etsy.com" TargetMode="External"/><Relationship Id="rId241" Type="http://schemas.openxmlformats.org/officeDocument/2006/relationships/hyperlink" Target="mailto:whuang@etsy.com" TargetMode="External"/><Relationship Id="rId1074" Type="http://schemas.openxmlformats.org/officeDocument/2006/relationships/hyperlink" Target="mailto:yzhang@etsy.com" TargetMode="External"/><Relationship Id="rId240" Type="http://schemas.openxmlformats.org/officeDocument/2006/relationships/hyperlink" Target="mailto:aangeleas@etsy.com" TargetMode="External"/><Relationship Id="rId1075" Type="http://schemas.openxmlformats.org/officeDocument/2006/relationships/hyperlink" Target="mailto:whuang@etsy.com" TargetMode="External"/><Relationship Id="rId1076" Type="http://schemas.openxmlformats.org/officeDocument/2006/relationships/hyperlink" Target="mailto:csu@etsy.com" TargetMode="External"/><Relationship Id="rId246" Type="http://schemas.openxmlformats.org/officeDocument/2006/relationships/hyperlink" Target="mailto:aangeleas@etsy.com" TargetMode="External"/><Relationship Id="rId1077" Type="http://schemas.openxmlformats.org/officeDocument/2006/relationships/hyperlink" Target="mailto:yzhang@etsy.com" TargetMode="External"/><Relationship Id="rId245" Type="http://schemas.openxmlformats.org/officeDocument/2006/relationships/hyperlink" Target="mailto:csu@etsy.com" TargetMode="External"/><Relationship Id="rId1078" Type="http://schemas.openxmlformats.org/officeDocument/2006/relationships/hyperlink" Target="mailto:whuang@etsy.com" TargetMode="External"/><Relationship Id="rId244" Type="http://schemas.openxmlformats.org/officeDocument/2006/relationships/hyperlink" Target="mailto:whuang@etsy.com" TargetMode="External"/><Relationship Id="rId1079" Type="http://schemas.openxmlformats.org/officeDocument/2006/relationships/hyperlink" Target="mailto:csu@etsy.com" TargetMode="External"/><Relationship Id="rId243" Type="http://schemas.openxmlformats.org/officeDocument/2006/relationships/hyperlink" Target="mailto:aangeleas@etsy.com" TargetMode="External"/><Relationship Id="rId239" Type="http://schemas.openxmlformats.org/officeDocument/2006/relationships/hyperlink" Target="mailto:csu@etsy.com" TargetMode="External"/><Relationship Id="rId238" Type="http://schemas.openxmlformats.org/officeDocument/2006/relationships/hyperlink" Target="mailto:whuang@etsy.com" TargetMode="External"/><Relationship Id="rId237" Type="http://schemas.openxmlformats.org/officeDocument/2006/relationships/hyperlink" Target="mailto:aangeleas@etsy.com" TargetMode="External"/><Relationship Id="rId236" Type="http://schemas.openxmlformats.org/officeDocument/2006/relationships/hyperlink" Target="mailto:csu@etsy.com" TargetMode="External"/><Relationship Id="rId1060" Type="http://schemas.openxmlformats.org/officeDocument/2006/relationships/hyperlink" Target="mailto:whuang@etsy.com" TargetMode="External"/><Relationship Id="rId1061" Type="http://schemas.openxmlformats.org/officeDocument/2006/relationships/hyperlink" Target="mailto:csu@etsy.com" TargetMode="External"/><Relationship Id="rId231" Type="http://schemas.openxmlformats.org/officeDocument/2006/relationships/hyperlink" Target="mailto:aangeleas@etsy.com" TargetMode="External"/><Relationship Id="rId1062" Type="http://schemas.openxmlformats.org/officeDocument/2006/relationships/hyperlink" Target="mailto:yzhang@etsy.com" TargetMode="External"/><Relationship Id="rId230" Type="http://schemas.openxmlformats.org/officeDocument/2006/relationships/hyperlink" Target="mailto:csu@etsy.com" TargetMode="External"/><Relationship Id="rId1063" Type="http://schemas.openxmlformats.org/officeDocument/2006/relationships/hyperlink" Target="mailto:whuang@etsy.com" TargetMode="External"/><Relationship Id="rId1064" Type="http://schemas.openxmlformats.org/officeDocument/2006/relationships/hyperlink" Target="mailto:csu@etsy.com" TargetMode="External"/><Relationship Id="rId1065" Type="http://schemas.openxmlformats.org/officeDocument/2006/relationships/hyperlink" Target="mailto:yzhang@etsy.com" TargetMode="External"/><Relationship Id="rId235" Type="http://schemas.openxmlformats.org/officeDocument/2006/relationships/hyperlink" Target="mailto:whuang@etsy.com" TargetMode="External"/><Relationship Id="rId1066" Type="http://schemas.openxmlformats.org/officeDocument/2006/relationships/hyperlink" Target="mailto:whuang@etsy.com" TargetMode="External"/><Relationship Id="rId234" Type="http://schemas.openxmlformats.org/officeDocument/2006/relationships/hyperlink" Target="mailto:aangeleas@etsy.com" TargetMode="External"/><Relationship Id="rId1067" Type="http://schemas.openxmlformats.org/officeDocument/2006/relationships/hyperlink" Target="mailto:csu@etsy.com" TargetMode="External"/><Relationship Id="rId233" Type="http://schemas.openxmlformats.org/officeDocument/2006/relationships/hyperlink" Target="mailto:csu@etsy.com" TargetMode="External"/><Relationship Id="rId1068" Type="http://schemas.openxmlformats.org/officeDocument/2006/relationships/hyperlink" Target="mailto:yzhang@etsy.com" TargetMode="External"/><Relationship Id="rId232" Type="http://schemas.openxmlformats.org/officeDocument/2006/relationships/hyperlink" Target="mailto:whuang@etsy.com" TargetMode="External"/><Relationship Id="rId1069" Type="http://schemas.openxmlformats.org/officeDocument/2006/relationships/hyperlink" Target="mailto:whuang@etsy.com" TargetMode="External"/><Relationship Id="rId1015" Type="http://schemas.openxmlformats.org/officeDocument/2006/relationships/hyperlink" Target="mailto:whuang@etsy.com" TargetMode="External"/><Relationship Id="rId1499" Type="http://schemas.openxmlformats.org/officeDocument/2006/relationships/hyperlink" Target="mailto:aangeleas@etsy.com" TargetMode="External"/><Relationship Id="rId1016" Type="http://schemas.openxmlformats.org/officeDocument/2006/relationships/hyperlink" Target="mailto:csu@etsy.com" TargetMode="External"/><Relationship Id="rId1017" Type="http://schemas.openxmlformats.org/officeDocument/2006/relationships/hyperlink" Target="mailto:yzhang@etsy.com" TargetMode="External"/><Relationship Id="rId1018" Type="http://schemas.openxmlformats.org/officeDocument/2006/relationships/hyperlink" Target="mailto:whuang@etsy.com" TargetMode="External"/><Relationship Id="rId1019" Type="http://schemas.openxmlformats.org/officeDocument/2006/relationships/hyperlink" Target="mailto:csu@etsy.com" TargetMode="External"/><Relationship Id="rId668" Type="http://schemas.openxmlformats.org/officeDocument/2006/relationships/hyperlink" Target="mailto:csu@etsy.com" TargetMode="External"/><Relationship Id="rId667" Type="http://schemas.openxmlformats.org/officeDocument/2006/relationships/hyperlink" Target="mailto:whuang@etsy.com" TargetMode="External"/><Relationship Id="rId666" Type="http://schemas.openxmlformats.org/officeDocument/2006/relationships/hyperlink" Target="mailto:ebenjamin@etsy.com" TargetMode="External"/><Relationship Id="rId665" Type="http://schemas.openxmlformats.org/officeDocument/2006/relationships/hyperlink" Target="mailto:csu@etsy.com" TargetMode="External"/><Relationship Id="rId669" Type="http://schemas.openxmlformats.org/officeDocument/2006/relationships/hyperlink" Target="mailto:ebenjamin@etsy.com" TargetMode="External"/><Relationship Id="rId1490" Type="http://schemas.openxmlformats.org/officeDocument/2006/relationships/hyperlink" Target="mailto:aangeleas@etsy.com" TargetMode="External"/><Relationship Id="rId660" Type="http://schemas.openxmlformats.org/officeDocument/2006/relationships/hyperlink" Target="mailto:ebenjamin@etsy.com" TargetMode="External"/><Relationship Id="rId1491" Type="http://schemas.openxmlformats.org/officeDocument/2006/relationships/hyperlink" Target="mailto:ebenjamin@etsy.com" TargetMode="External"/><Relationship Id="rId1492" Type="http://schemas.openxmlformats.org/officeDocument/2006/relationships/hyperlink" Target="mailto:whuang@etsy.com" TargetMode="External"/><Relationship Id="rId1493" Type="http://schemas.openxmlformats.org/officeDocument/2006/relationships/hyperlink" Target="mailto:aangeleas@etsy.com" TargetMode="External"/><Relationship Id="rId1010" Type="http://schemas.openxmlformats.org/officeDocument/2006/relationships/hyperlink" Target="mailto:csu@etsy.com" TargetMode="External"/><Relationship Id="rId1494" Type="http://schemas.openxmlformats.org/officeDocument/2006/relationships/hyperlink" Target="mailto:ebenjamin@etsy.com" TargetMode="External"/><Relationship Id="rId664" Type="http://schemas.openxmlformats.org/officeDocument/2006/relationships/hyperlink" Target="mailto:whuang@etsy.com" TargetMode="External"/><Relationship Id="rId1011" Type="http://schemas.openxmlformats.org/officeDocument/2006/relationships/hyperlink" Target="mailto:yzhang@etsy.com" TargetMode="External"/><Relationship Id="rId1495" Type="http://schemas.openxmlformats.org/officeDocument/2006/relationships/hyperlink" Target="mailto:whuang@etsy.com" TargetMode="External"/><Relationship Id="rId663" Type="http://schemas.openxmlformats.org/officeDocument/2006/relationships/hyperlink" Target="mailto:ebenjamin@etsy.com" TargetMode="External"/><Relationship Id="rId1012" Type="http://schemas.openxmlformats.org/officeDocument/2006/relationships/hyperlink" Target="mailto:whuang@etsy.com" TargetMode="External"/><Relationship Id="rId1496" Type="http://schemas.openxmlformats.org/officeDocument/2006/relationships/hyperlink" Target="mailto:aangeleas@etsy.com" TargetMode="External"/><Relationship Id="rId662" Type="http://schemas.openxmlformats.org/officeDocument/2006/relationships/hyperlink" Target="mailto:csu@etsy.com" TargetMode="External"/><Relationship Id="rId1013" Type="http://schemas.openxmlformats.org/officeDocument/2006/relationships/hyperlink" Target="mailto:csu@etsy.com" TargetMode="External"/><Relationship Id="rId1497" Type="http://schemas.openxmlformats.org/officeDocument/2006/relationships/hyperlink" Target="mailto:ebenjamin@etsy.com" TargetMode="External"/><Relationship Id="rId661" Type="http://schemas.openxmlformats.org/officeDocument/2006/relationships/hyperlink" Target="mailto:whuang@etsy.com" TargetMode="External"/><Relationship Id="rId1014" Type="http://schemas.openxmlformats.org/officeDocument/2006/relationships/hyperlink" Target="mailto:yzhang@etsy.com" TargetMode="External"/><Relationship Id="rId1498" Type="http://schemas.openxmlformats.org/officeDocument/2006/relationships/hyperlink" Target="mailto:whuang@etsy.com" TargetMode="External"/><Relationship Id="rId1004" Type="http://schemas.openxmlformats.org/officeDocument/2006/relationships/hyperlink" Target="mailto:csu@etsy.com" TargetMode="External"/><Relationship Id="rId1488" Type="http://schemas.openxmlformats.org/officeDocument/2006/relationships/hyperlink" Target="mailto:ebenjamin@etsy.com" TargetMode="External"/><Relationship Id="rId1005" Type="http://schemas.openxmlformats.org/officeDocument/2006/relationships/hyperlink" Target="mailto:yzhang@etsy.com" TargetMode="External"/><Relationship Id="rId1489" Type="http://schemas.openxmlformats.org/officeDocument/2006/relationships/hyperlink" Target="mailto:whuang@etsy.com" TargetMode="External"/><Relationship Id="rId1006" Type="http://schemas.openxmlformats.org/officeDocument/2006/relationships/hyperlink" Target="mailto:whuang@etsy.com" TargetMode="External"/><Relationship Id="rId1007" Type="http://schemas.openxmlformats.org/officeDocument/2006/relationships/hyperlink" Target="mailto:csu@etsy.com" TargetMode="External"/><Relationship Id="rId1008" Type="http://schemas.openxmlformats.org/officeDocument/2006/relationships/hyperlink" Target="mailto:yzhang@etsy.com" TargetMode="External"/><Relationship Id="rId1009" Type="http://schemas.openxmlformats.org/officeDocument/2006/relationships/hyperlink" Target="mailto:whuang@etsy.com" TargetMode="External"/><Relationship Id="rId657" Type="http://schemas.openxmlformats.org/officeDocument/2006/relationships/hyperlink" Target="mailto:ebenjamin@etsy.com" TargetMode="External"/><Relationship Id="rId656" Type="http://schemas.openxmlformats.org/officeDocument/2006/relationships/hyperlink" Target="mailto:csu@etsy.com" TargetMode="External"/><Relationship Id="rId655" Type="http://schemas.openxmlformats.org/officeDocument/2006/relationships/hyperlink" Target="mailto:whuang@etsy.com" TargetMode="External"/><Relationship Id="rId654" Type="http://schemas.openxmlformats.org/officeDocument/2006/relationships/hyperlink" Target="mailto:ebenjamin@etsy.com" TargetMode="External"/><Relationship Id="rId659" Type="http://schemas.openxmlformats.org/officeDocument/2006/relationships/hyperlink" Target="mailto:csu@etsy.com" TargetMode="External"/><Relationship Id="rId658" Type="http://schemas.openxmlformats.org/officeDocument/2006/relationships/hyperlink" Target="mailto:whuang@etsy.com" TargetMode="External"/><Relationship Id="rId1480" Type="http://schemas.openxmlformats.org/officeDocument/2006/relationships/hyperlink" Target="mailto:whuang@etsy.com" TargetMode="External"/><Relationship Id="rId1481" Type="http://schemas.openxmlformats.org/officeDocument/2006/relationships/hyperlink" Target="mailto:aangeleas@etsy.com" TargetMode="External"/><Relationship Id="rId1482" Type="http://schemas.openxmlformats.org/officeDocument/2006/relationships/hyperlink" Target="mailto:ebenjamin@etsy.com" TargetMode="External"/><Relationship Id="rId1483" Type="http://schemas.openxmlformats.org/officeDocument/2006/relationships/hyperlink" Target="mailto:whuang@etsy.com" TargetMode="External"/><Relationship Id="rId653" Type="http://schemas.openxmlformats.org/officeDocument/2006/relationships/hyperlink" Target="mailto:csu@etsy.com" TargetMode="External"/><Relationship Id="rId1000" Type="http://schemas.openxmlformats.org/officeDocument/2006/relationships/hyperlink" Target="mailto:whuang@etsy.com" TargetMode="External"/><Relationship Id="rId1484" Type="http://schemas.openxmlformats.org/officeDocument/2006/relationships/hyperlink" Target="mailto:aangeleas@etsy.com" TargetMode="External"/><Relationship Id="rId652" Type="http://schemas.openxmlformats.org/officeDocument/2006/relationships/hyperlink" Target="mailto:whuang@etsy.com" TargetMode="External"/><Relationship Id="rId1001" Type="http://schemas.openxmlformats.org/officeDocument/2006/relationships/hyperlink" Target="mailto:csu@etsy.com" TargetMode="External"/><Relationship Id="rId1485" Type="http://schemas.openxmlformats.org/officeDocument/2006/relationships/hyperlink" Target="mailto:ebenjamin@etsy.com" TargetMode="External"/><Relationship Id="rId651" Type="http://schemas.openxmlformats.org/officeDocument/2006/relationships/hyperlink" Target="mailto:ebenjamin@etsy.com" TargetMode="External"/><Relationship Id="rId1002" Type="http://schemas.openxmlformats.org/officeDocument/2006/relationships/hyperlink" Target="mailto:yzhang@etsy.com" TargetMode="External"/><Relationship Id="rId1486" Type="http://schemas.openxmlformats.org/officeDocument/2006/relationships/hyperlink" Target="mailto:whuang@etsy.com" TargetMode="External"/><Relationship Id="rId650" Type="http://schemas.openxmlformats.org/officeDocument/2006/relationships/hyperlink" Target="mailto:csu@etsy.com" TargetMode="External"/><Relationship Id="rId1003" Type="http://schemas.openxmlformats.org/officeDocument/2006/relationships/hyperlink" Target="mailto:whuang@etsy.com" TargetMode="External"/><Relationship Id="rId1487" Type="http://schemas.openxmlformats.org/officeDocument/2006/relationships/hyperlink" Target="mailto:aangeleas@etsy.com" TargetMode="External"/><Relationship Id="rId1037" Type="http://schemas.openxmlformats.org/officeDocument/2006/relationships/hyperlink" Target="mailto:csu@etsy.com" TargetMode="External"/><Relationship Id="rId1038" Type="http://schemas.openxmlformats.org/officeDocument/2006/relationships/hyperlink" Target="mailto:yzhang@etsy.com" TargetMode="External"/><Relationship Id="rId1039" Type="http://schemas.openxmlformats.org/officeDocument/2006/relationships/hyperlink" Target="mailto:whuang@etsy.com" TargetMode="External"/><Relationship Id="rId206" Type="http://schemas.openxmlformats.org/officeDocument/2006/relationships/hyperlink" Target="mailto:csu@etsy.com" TargetMode="External"/><Relationship Id="rId205" Type="http://schemas.openxmlformats.org/officeDocument/2006/relationships/hyperlink" Target="mailto:whuang@etsy.com" TargetMode="External"/><Relationship Id="rId689" Type="http://schemas.openxmlformats.org/officeDocument/2006/relationships/hyperlink" Target="mailto:csu@etsy.com" TargetMode="External"/><Relationship Id="rId204" Type="http://schemas.openxmlformats.org/officeDocument/2006/relationships/hyperlink" Target="mailto:aangeleas@etsy.com" TargetMode="External"/><Relationship Id="rId688" Type="http://schemas.openxmlformats.org/officeDocument/2006/relationships/hyperlink" Target="mailto:whuang@etsy.com" TargetMode="External"/><Relationship Id="rId203" Type="http://schemas.openxmlformats.org/officeDocument/2006/relationships/hyperlink" Target="mailto:csu@etsy.com" TargetMode="External"/><Relationship Id="rId687" Type="http://schemas.openxmlformats.org/officeDocument/2006/relationships/hyperlink" Target="mailto:ebenjamin@etsy.com" TargetMode="External"/><Relationship Id="rId209" Type="http://schemas.openxmlformats.org/officeDocument/2006/relationships/hyperlink" Target="mailto:csu@etsy.com" TargetMode="External"/><Relationship Id="rId208" Type="http://schemas.openxmlformats.org/officeDocument/2006/relationships/hyperlink" Target="mailto:whuang@etsy.com" TargetMode="External"/><Relationship Id="rId207" Type="http://schemas.openxmlformats.org/officeDocument/2006/relationships/hyperlink" Target="mailto:aangeleas@etsy.com" TargetMode="External"/><Relationship Id="rId682" Type="http://schemas.openxmlformats.org/officeDocument/2006/relationships/hyperlink" Target="mailto:whuang@etsy.com" TargetMode="External"/><Relationship Id="rId681" Type="http://schemas.openxmlformats.org/officeDocument/2006/relationships/hyperlink" Target="mailto:ebenjamin@etsy.com" TargetMode="External"/><Relationship Id="rId1030" Type="http://schemas.openxmlformats.org/officeDocument/2006/relationships/hyperlink" Target="mailto:whuang@etsy.com" TargetMode="External"/><Relationship Id="rId680" Type="http://schemas.openxmlformats.org/officeDocument/2006/relationships/hyperlink" Target="mailto:csu@etsy.com" TargetMode="External"/><Relationship Id="rId1031" Type="http://schemas.openxmlformats.org/officeDocument/2006/relationships/hyperlink" Target="mailto:csu@etsy.com" TargetMode="External"/><Relationship Id="rId1032" Type="http://schemas.openxmlformats.org/officeDocument/2006/relationships/hyperlink" Target="mailto:yzhang@etsy.com" TargetMode="External"/><Relationship Id="rId202" Type="http://schemas.openxmlformats.org/officeDocument/2006/relationships/hyperlink" Target="mailto:whuang@etsy.com" TargetMode="External"/><Relationship Id="rId686" Type="http://schemas.openxmlformats.org/officeDocument/2006/relationships/hyperlink" Target="mailto:csu@etsy.com" TargetMode="External"/><Relationship Id="rId1033" Type="http://schemas.openxmlformats.org/officeDocument/2006/relationships/hyperlink" Target="mailto:whuang@etsy.com" TargetMode="External"/><Relationship Id="rId201" Type="http://schemas.openxmlformats.org/officeDocument/2006/relationships/hyperlink" Target="mailto:aangeleas@etsy.com" TargetMode="External"/><Relationship Id="rId685" Type="http://schemas.openxmlformats.org/officeDocument/2006/relationships/hyperlink" Target="mailto:whuang@etsy.com" TargetMode="External"/><Relationship Id="rId1034" Type="http://schemas.openxmlformats.org/officeDocument/2006/relationships/hyperlink" Target="mailto:csu@etsy.com" TargetMode="External"/><Relationship Id="rId200" Type="http://schemas.openxmlformats.org/officeDocument/2006/relationships/hyperlink" Target="mailto:csu@etsy.com" TargetMode="External"/><Relationship Id="rId684" Type="http://schemas.openxmlformats.org/officeDocument/2006/relationships/hyperlink" Target="mailto:ebenjamin@etsy.com" TargetMode="External"/><Relationship Id="rId1035" Type="http://schemas.openxmlformats.org/officeDocument/2006/relationships/hyperlink" Target="mailto:yzhang@etsy.com" TargetMode="External"/><Relationship Id="rId683" Type="http://schemas.openxmlformats.org/officeDocument/2006/relationships/hyperlink" Target="mailto:csu@etsy.com" TargetMode="External"/><Relationship Id="rId1036" Type="http://schemas.openxmlformats.org/officeDocument/2006/relationships/hyperlink" Target="mailto:whuang@etsy.com" TargetMode="External"/><Relationship Id="rId1026" Type="http://schemas.openxmlformats.org/officeDocument/2006/relationships/hyperlink" Target="mailto:yzhang@etsy.com" TargetMode="External"/><Relationship Id="rId1027" Type="http://schemas.openxmlformats.org/officeDocument/2006/relationships/hyperlink" Target="mailto:whuang@etsy.com" TargetMode="External"/><Relationship Id="rId1028" Type="http://schemas.openxmlformats.org/officeDocument/2006/relationships/hyperlink" Target="mailto:csu@etsy.com" TargetMode="External"/><Relationship Id="rId1029" Type="http://schemas.openxmlformats.org/officeDocument/2006/relationships/hyperlink" Target="mailto:yzhang@etsy.com" TargetMode="External"/><Relationship Id="rId679" Type="http://schemas.openxmlformats.org/officeDocument/2006/relationships/hyperlink" Target="mailto:whuang@etsy.com" TargetMode="External"/><Relationship Id="rId678" Type="http://schemas.openxmlformats.org/officeDocument/2006/relationships/hyperlink" Target="mailto:ebenjamin@etsy.com" TargetMode="External"/><Relationship Id="rId677" Type="http://schemas.openxmlformats.org/officeDocument/2006/relationships/hyperlink" Target="mailto:csu@etsy.com" TargetMode="External"/><Relationship Id="rId676" Type="http://schemas.openxmlformats.org/officeDocument/2006/relationships/hyperlink" Target="mailto:whuang@etsy.com" TargetMode="External"/><Relationship Id="rId671" Type="http://schemas.openxmlformats.org/officeDocument/2006/relationships/hyperlink" Target="mailto:csu@etsy.com" TargetMode="External"/><Relationship Id="rId670" Type="http://schemas.openxmlformats.org/officeDocument/2006/relationships/hyperlink" Target="mailto:whuang@etsy.com" TargetMode="External"/><Relationship Id="rId1020" Type="http://schemas.openxmlformats.org/officeDocument/2006/relationships/hyperlink" Target="mailto:yzhang@etsy.com" TargetMode="External"/><Relationship Id="rId1021" Type="http://schemas.openxmlformats.org/officeDocument/2006/relationships/hyperlink" Target="mailto:whuang@etsy.com" TargetMode="External"/><Relationship Id="rId675" Type="http://schemas.openxmlformats.org/officeDocument/2006/relationships/hyperlink" Target="mailto:ebenjamin@etsy.com" TargetMode="External"/><Relationship Id="rId1022" Type="http://schemas.openxmlformats.org/officeDocument/2006/relationships/hyperlink" Target="mailto:csu@etsy.com" TargetMode="External"/><Relationship Id="rId674" Type="http://schemas.openxmlformats.org/officeDocument/2006/relationships/hyperlink" Target="mailto:csu@etsy.com" TargetMode="External"/><Relationship Id="rId1023" Type="http://schemas.openxmlformats.org/officeDocument/2006/relationships/hyperlink" Target="mailto:yzhang@etsy.com" TargetMode="External"/><Relationship Id="rId673" Type="http://schemas.openxmlformats.org/officeDocument/2006/relationships/hyperlink" Target="mailto:whuang@etsy.com" TargetMode="External"/><Relationship Id="rId1024" Type="http://schemas.openxmlformats.org/officeDocument/2006/relationships/hyperlink" Target="mailto:whuang@etsy.com" TargetMode="External"/><Relationship Id="rId672" Type="http://schemas.openxmlformats.org/officeDocument/2006/relationships/hyperlink" Target="mailto:ebenjamin@etsy.com" TargetMode="External"/><Relationship Id="rId1025" Type="http://schemas.openxmlformats.org/officeDocument/2006/relationships/hyperlink" Target="mailto:csu@etsy.com" TargetMode="External"/><Relationship Id="rId190" Type="http://schemas.openxmlformats.org/officeDocument/2006/relationships/hyperlink" Target="mailto:whuang@etsy.com" TargetMode="External"/><Relationship Id="rId194" Type="http://schemas.openxmlformats.org/officeDocument/2006/relationships/hyperlink" Target="mailto:csu@etsy.com" TargetMode="External"/><Relationship Id="rId193" Type="http://schemas.openxmlformats.org/officeDocument/2006/relationships/hyperlink" Target="mailto:whuang@etsy.com" TargetMode="External"/><Relationship Id="rId192" Type="http://schemas.openxmlformats.org/officeDocument/2006/relationships/hyperlink" Target="mailto:aangeleas@etsy.com" TargetMode="External"/><Relationship Id="rId191" Type="http://schemas.openxmlformats.org/officeDocument/2006/relationships/hyperlink" Target="mailto:csu@etsy.com" TargetMode="External"/><Relationship Id="rId187" Type="http://schemas.openxmlformats.org/officeDocument/2006/relationships/hyperlink" Target="mailto:whuang@etsy.com" TargetMode="External"/><Relationship Id="rId186" Type="http://schemas.openxmlformats.org/officeDocument/2006/relationships/hyperlink" Target="mailto:aangeleas@etsy.com" TargetMode="External"/><Relationship Id="rId185" Type="http://schemas.openxmlformats.org/officeDocument/2006/relationships/hyperlink" Target="mailto:csu@etsy.com" TargetMode="External"/><Relationship Id="rId184" Type="http://schemas.openxmlformats.org/officeDocument/2006/relationships/hyperlink" Target="mailto:whuang@etsy.com" TargetMode="External"/><Relationship Id="rId189" Type="http://schemas.openxmlformats.org/officeDocument/2006/relationships/hyperlink" Target="mailto:aangeleas@etsy.com" TargetMode="External"/><Relationship Id="rId188" Type="http://schemas.openxmlformats.org/officeDocument/2006/relationships/hyperlink" Target="mailto:csu@etsy.com" TargetMode="External"/><Relationship Id="rId183" Type="http://schemas.openxmlformats.org/officeDocument/2006/relationships/hyperlink" Target="mailto:aangeleas@etsy.com" TargetMode="External"/><Relationship Id="rId182" Type="http://schemas.openxmlformats.org/officeDocument/2006/relationships/hyperlink" Target="mailto:csu@etsy.com" TargetMode="External"/><Relationship Id="rId181" Type="http://schemas.openxmlformats.org/officeDocument/2006/relationships/hyperlink" Target="mailto:whuang@etsy.com" TargetMode="External"/><Relationship Id="rId180" Type="http://schemas.openxmlformats.org/officeDocument/2006/relationships/hyperlink" Target="mailto:aangeleas@etsy.com" TargetMode="External"/><Relationship Id="rId176" Type="http://schemas.openxmlformats.org/officeDocument/2006/relationships/hyperlink" Target="mailto:csu@etsy.com" TargetMode="External"/><Relationship Id="rId175" Type="http://schemas.openxmlformats.org/officeDocument/2006/relationships/hyperlink" Target="mailto:whuang@etsy.com" TargetMode="External"/><Relationship Id="rId174" Type="http://schemas.openxmlformats.org/officeDocument/2006/relationships/hyperlink" Target="mailto:aangeleas@etsy.com" TargetMode="External"/><Relationship Id="rId173" Type="http://schemas.openxmlformats.org/officeDocument/2006/relationships/hyperlink" Target="mailto:csu@etsy.com" TargetMode="External"/><Relationship Id="rId179" Type="http://schemas.openxmlformats.org/officeDocument/2006/relationships/hyperlink" Target="mailto:csu@etsy.com" TargetMode="External"/><Relationship Id="rId178" Type="http://schemas.openxmlformats.org/officeDocument/2006/relationships/hyperlink" Target="mailto:whuang@etsy.com" TargetMode="External"/><Relationship Id="rId177" Type="http://schemas.openxmlformats.org/officeDocument/2006/relationships/hyperlink" Target="mailto:aangeleas@etsy.com" TargetMode="External"/><Relationship Id="rId1910" Type="http://schemas.openxmlformats.org/officeDocument/2006/relationships/hyperlink" Target="mailto:ebenjamin@etsy.com" TargetMode="External"/><Relationship Id="rId1911" Type="http://schemas.openxmlformats.org/officeDocument/2006/relationships/hyperlink" Target="mailto:yzhang@etsy.com" TargetMode="External"/><Relationship Id="rId1912" Type="http://schemas.openxmlformats.org/officeDocument/2006/relationships/hyperlink" Target="mailto:whuang@etsy.com" TargetMode="External"/><Relationship Id="rId1913" Type="http://schemas.openxmlformats.org/officeDocument/2006/relationships/hyperlink" Target="mailto:ebenjamin@etsy.com" TargetMode="External"/><Relationship Id="rId1914" Type="http://schemas.openxmlformats.org/officeDocument/2006/relationships/hyperlink" Target="mailto:yzhang@etsy.com" TargetMode="External"/><Relationship Id="rId1915" Type="http://schemas.openxmlformats.org/officeDocument/2006/relationships/hyperlink" Target="mailto:whuang@etsy.com" TargetMode="External"/><Relationship Id="rId1916" Type="http://schemas.openxmlformats.org/officeDocument/2006/relationships/hyperlink" Target="mailto:ebenjamin@etsy.com" TargetMode="External"/><Relationship Id="rId1917" Type="http://schemas.openxmlformats.org/officeDocument/2006/relationships/hyperlink" Target="mailto:yzhang@etsy.com" TargetMode="External"/><Relationship Id="rId1918" Type="http://schemas.openxmlformats.org/officeDocument/2006/relationships/hyperlink" Target="mailto:whuang@etsy.com" TargetMode="External"/><Relationship Id="rId1919" Type="http://schemas.openxmlformats.org/officeDocument/2006/relationships/hyperlink" Target="mailto:ebenjamin@etsy.com" TargetMode="External"/><Relationship Id="rId1900" Type="http://schemas.openxmlformats.org/officeDocument/2006/relationships/hyperlink" Target="mailto:whuang@etsy.com" TargetMode="External"/><Relationship Id="rId1901" Type="http://schemas.openxmlformats.org/officeDocument/2006/relationships/hyperlink" Target="mailto:ebenjamin@etsy.com" TargetMode="External"/><Relationship Id="rId1902" Type="http://schemas.openxmlformats.org/officeDocument/2006/relationships/hyperlink" Target="mailto:yzhang@etsy.com" TargetMode="External"/><Relationship Id="rId1903" Type="http://schemas.openxmlformats.org/officeDocument/2006/relationships/hyperlink" Target="mailto:whuang@etsy.com" TargetMode="External"/><Relationship Id="rId1904" Type="http://schemas.openxmlformats.org/officeDocument/2006/relationships/hyperlink" Target="mailto:ebenjamin@etsy.com" TargetMode="External"/><Relationship Id="rId1905" Type="http://schemas.openxmlformats.org/officeDocument/2006/relationships/hyperlink" Target="mailto:yzhang@etsy.com" TargetMode="External"/><Relationship Id="rId1906" Type="http://schemas.openxmlformats.org/officeDocument/2006/relationships/hyperlink" Target="mailto:whuang@etsy.com" TargetMode="External"/><Relationship Id="rId1907" Type="http://schemas.openxmlformats.org/officeDocument/2006/relationships/hyperlink" Target="mailto:ebenjamin@etsy.com" TargetMode="External"/><Relationship Id="rId1908" Type="http://schemas.openxmlformats.org/officeDocument/2006/relationships/hyperlink" Target="mailto:yzhang@etsy.com" TargetMode="External"/><Relationship Id="rId1909" Type="http://schemas.openxmlformats.org/officeDocument/2006/relationships/hyperlink" Target="mailto:whuang@etsy.com" TargetMode="External"/><Relationship Id="rId198" Type="http://schemas.openxmlformats.org/officeDocument/2006/relationships/hyperlink" Target="mailto:aangeleas@etsy.com" TargetMode="External"/><Relationship Id="rId197" Type="http://schemas.openxmlformats.org/officeDocument/2006/relationships/hyperlink" Target="mailto:csu@etsy.com" TargetMode="External"/><Relationship Id="rId196" Type="http://schemas.openxmlformats.org/officeDocument/2006/relationships/hyperlink" Target="mailto:whuang@etsy.com" TargetMode="External"/><Relationship Id="rId195" Type="http://schemas.openxmlformats.org/officeDocument/2006/relationships/hyperlink" Target="mailto:aangeleas@etsy.com" TargetMode="External"/><Relationship Id="rId199" Type="http://schemas.openxmlformats.org/officeDocument/2006/relationships/hyperlink" Target="mailto:whuang@etsy.com" TargetMode="External"/><Relationship Id="rId150" Type="http://schemas.openxmlformats.org/officeDocument/2006/relationships/hyperlink" Target="mailto:aangeleas@etsy.com" TargetMode="External"/><Relationship Id="rId149" Type="http://schemas.openxmlformats.org/officeDocument/2006/relationships/hyperlink" Target="mailto:csu@etsy.com" TargetMode="External"/><Relationship Id="rId148" Type="http://schemas.openxmlformats.org/officeDocument/2006/relationships/hyperlink" Target="mailto:whuang@etsy.com" TargetMode="External"/><Relationship Id="rId1090" Type="http://schemas.openxmlformats.org/officeDocument/2006/relationships/hyperlink" Target="mailto:whuang@etsy.com" TargetMode="External"/><Relationship Id="rId1091" Type="http://schemas.openxmlformats.org/officeDocument/2006/relationships/hyperlink" Target="mailto:aangeleas@etsy.com" TargetMode="External"/><Relationship Id="rId1092" Type="http://schemas.openxmlformats.org/officeDocument/2006/relationships/hyperlink" Target="mailto:yzhang@etsy.com" TargetMode="External"/><Relationship Id="rId1093" Type="http://schemas.openxmlformats.org/officeDocument/2006/relationships/hyperlink" Target="mailto:whuang@etsy.com" TargetMode="External"/><Relationship Id="rId1094" Type="http://schemas.openxmlformats.org/officeDocument/2006/relationships/hyperlink" Target="mailto:aangeleas@etsy.com" TargetMode="External"/><Relationship Id="rId143" Type="http://schemas.openxmlformats.org/officeDocument/2006/relationships/hyperlink" Target="mailto:csu@etsy.com" TargetMode="External"/><Relationship Id="rId1095" Type="http://schemas.openxmlformats.org/officeDocument/2006/relationships/hyperlink" Target="mailto:yzhang@etsy.com" TargetMode="External"/><Relationship Id="rId142" Type="http://schemas.openxmlformats.org/officeDocument/2006/relationships/hyperlink" Target="mailto:whuang@etsy.com" TargetMode="External"/><Relationship Id="rId1096" Type="http://schemas.openxmlformats.org/officeDocument/2006/relationships/hyperlink" Target="mailto:whuang@etsy.com" TargetMode="External"/><Relationship Id="rId141" Type="http://schemas.openxmlformats.org/officeDocument/2006/relationships/hyperlink" Target="mailto:aangeleas@etsy.com" TargetMode="External"/><Relationship Id="rId1097" Type="http://schemas.openxmlformats.org/officeDocument/2006/relationships/hyperlink" Target="mailto:aangeleas@etsy.com" TargetMode="External"/><Relationship Id="rId140" Type="http://schemas.openxmlformats.org/officeDocument/2006/relationships/hyperlink" Target="mailto:csu@etsy.com" TargetMode="External"/><Relationship Id="rId1098" Type="http://schemas.openxmlformats.org/officeDocument/2006/relationships/hyperlink" Target="mailto:yzhang@etsy.com" TargetMode="External"/><Relationship Id="rId147" Type="http://schemas.openxmlformats.org/officeDocument/2006/relationships/hyperlink" Target="mailto:aangeleas@etsy.com" TargetMode="External"/><Relationship Id="rId1099" Type="http://schemas.openxmlformats.org/officeDocument/2006/relationships/hyperlink" Target="mailto:whuang@etsy.com" TargetMode="External"/><Relationship Id="rId146" Type="http://schemas.openxmlformats.org/officeDocument/2006/relationships/hyperlink" Target="mailto:csu@etsy.com" TargetMode="External"/><Relationship Id="rId145" Type="http://schemas.openxmlformats.org/officeDocument/2006/relationships/hyperlink" Target="mailto:whuang@etsy.com" TargetMode="External"/><Relationship Id="rId144" Type="http://schemas.openxmlformats.org/officeDocument/2006/relationships/hyperlink" Target="mailto:aangeleas@etsy.com" TargetMode="External"/><Relationship Id="rId139" Type="http://schemas.openxmlformats.org/officeDocument/2006/relationships/hyperlink" Target="mailto:whuang@etsy.com" TargetMode="External"/><Relationship Id="rId138" Type="http://schemas.openxmlformats.org/officeDocument/2006/relationships/hyperlink" Target="mailto:aangeleas@etsy.com" TargetMode="External"/><Relationship Id="rId137" Type="http://schemas.openxmlformats.org/officeDocument/2006/relationships/hyperlink" Target="mailto:csu@etsy.com" TargetMode="External"/><Relationship Id="rId1080" Type="http://schemas.openxmlformats.org/officeDocument/2006/relationships/hyperlink" Target="mailto:yzhang@etsy.com" TargetMode="External"/><Relationship Id="rId1081" Type="http://schemas.openxmlformats.org/officeDocument/2006/relationships/hyperlink" Target="mailto:whuang@etsy.com" TargetMode="External"/><Relationship Id="rId1082" Type="http://schemas.openxmlformats.org/officeDocument/2006/relationships/hyperlink" Target="mailto:aangeleas@etsy.com" TargetMode="External"/><Relationship Id="rId1083" Type="http://schemas.openxmlformats.org/officeDocument/2006/relationships/hyperlink" Target="mailto:yzhang@etsy.com" TargetMode="External"/><Relationship Id="rId132" Type="http://schemas.openxmlformats.org/officeDocument/2006/relationships/hyperlink" Target="mailto:aangeleas@etsy.com" TargetMode="External"/><Relationship Id="rId1084" Type="http://schemas.openxmlformats.org/officeDocument/2006/relationships/hyperlink" Target="mailto:whuang@etsy.com" TargetMode="External"/><Relationship Id="rId131" Type="http://schemas.openxmlformats.org/officeDocument/2006/relationships/hyperlink" Target="mailto:csu@etsy.com" TargetMode="External"/><Relationship Id="rId1085" Type="http://schemas.openxmlformats.org/officeDocument/2006/relationships/hyperlink" Target="mailto:aangeleas@etsy.com" TargetMode="External"/><Relationship Id="rId130" Type="http://schemas.openxmlformats.org/officeDocument/2006/relationships/hyperlink" Target="mailto:whuang@etsy.com" TargetMode="External"/><Relationship Id="rId1086" Type="http://schemas.openxmlformats.org/officeDocument/2006/relationships/hyperlink" Target="mailto:yzhang@etsy.com" TargetMode="External"/><Relationship Id="rId1087" Type="http://schemas.openxmlformats.org/officeDocument/2006/relationships/hyperlink" Target="mailto:whuang@etsy.com" TargetMode="External"/><Relationship Id="rId136" Type="http://schemas.openxmlformats.org/officeDocument/2006/relationships/hyperlink" Target="mailto:whuang@etsy.com" TargetMode="External"/><Relationship Id="rId1088" Type="http://schemas.openxmlformats.org/officeDocument/2006/relationships/hyperlink" Target="mailto:aangeleas@etsy.com" TargetMode="External"/><Relationship Id="rId135" Type="http://schemas.openxmlformats.org/officeDocument/2006/relationships/hyperlink" Target="mailto:aangeleas@etsy.com" TargetMode="External"/><Relationship Id="rId1089" Type="http://schemas.openxmlformats.org/officeDocument/2006/relationships/hyperlink" Target="mailto:yzhang@etsy.com" TargetMode="External"/><Relationship Id="rId134" Type="http://schemas.openxmlformats.org/officeDocument/2006/relationships/hyperlink" Target="mailto:csu@etsy.com" TargetMode="External"/><Relationship Id="rId133" Type="http://schemas.openxmlformats.org/officeDocument/2006/relationships/hyperlink" Target="mailto:whuang@etsy.com" TargetMode="External"/><Relationship Id="rId172" Type="http://schemas.openxmlformats.org/officeDocument/2006/relationships/hyperlink" Target="mailto:whuang@etsy.com" TargetMode="External"/><Relationship Id="rId171" Type="http://schemas.openxmlformats.org/officeDocument/2006/relationships/hyperlink" Target="mailto:aangeleas@etsy.com" TargetMode="External"/><Relationship Id="rId170" Type="http://schemas.openxmlformats.org/officeDocument/2006/relationships/hyperlink" Target="mailto:csu@etsy.com" TargetMode="External"/><Relationship Id="rId165" Type="http://schemas.openxmlformats.org/officeDocument/2006/relationships/hyperlink" Target="mailto:aangeleas@etsy.com" TargetMode="External"/><Relationship Id="rId164" Type="http://schemas.openxmlformats.org/officeDocument/2006/relationships/hyperlink" Target="mailto:csu@etsy.com" TargetMode="External"/><Relationship Id="rId163" Type="http://schemas.openxmlformats.org/officeDocument/2006/relationships/hyperlink" Target="mailto:whuang@etsy.com" TargetMode="External"/><Relationship Id="rId162" Type="http://schemas.openxmlformats.org/officeDocument/2006/relationships/hyperlink" Target="mailto:aangeleas@etsy.com" TargetMode="External"/><Relationship Id="rId169" Type="http://schemas.openxmlformats.org/officeDocument/2006/relationships/hyperlink" Target="mailto:whuang@etsy.com" TargetMode="External"/><Relationship Id="rId168" Type="http://schemas.openxmlformats.org/officeDocument/2006/relationships/hyperlink" Target="mailto:aangeleas@etsy.com" TargetMode="External"/><Relationship Id="rId167" Type="http://schemas.openxmlformats.org/officeDocument/2006/relationships/hyperlink" Target="mailto:csu@etsy.com" TargetMode="External"/><Relationship Id="rId166" Type="http://schemas.openxmlformats.org/officeDocument/2006/relationships/hyperlink" Target="mailto:whuang@etsy.com" TargetMode="External"/><Relationship Id="rId161" Type="http://schemas.openxmlformats.org/officeDocument/2006/relationships/hyperlink" Target="mailto:csu@etsy.com" TargetMode="External"/><Relationship Id="rId160" Type="http://schemas.openxmlformats.org/officeDocument/2006/relationships/hyperlink" Target="mailto:whuang@etsy.com" TargetMode="External"/><Relationship Id="rId159" Type="http://schemas.openxmlformats.org/officeDocument/2006/relationships/hyperlink" Target="mailto:aangeleas@etsy.com" TargetMode="External"/><Relationship Id="rId154" Type="http://schemas.openxmlformats.org/officeDocument/2006/relationships/hyperlink" Target="mailto:whuang@etsy.com" TargetMode="External"/><Relationship Id="rId153" Type="http://schemas.openxmlformats.org/officeDocument/2006/relationships/hyperlink" Target="mailto:aangeleas@etsy.com" TargetMode="External"/><Relationship Id="rId152" Type="http://schemas.openxmlformats.org/officeDocument/2006/relationships/hyperlink" Target="mailto:csu@etsy.com" TargetMode="External"/><Relationship Id="rId151" Type="http://schemas.openxmlformats.org/officeDocument/2006/relationships/hyperlink" Target="mailto:whuang@etsy.com" TargetMode="External"/><Relationship Id="rId158" Type="http://schemas.openxmlformats.org/officeDocument/2006/relationships/hyperlink" Target="mailto:csu@etsy.com" TargetMode="External"/><Relationship Id="rId157" Type="http://schemas.openxmlformats.org/officeDocument/2006/relationships/hyperlink" Target="mailto:whuang@etsy.com" TargetMode="External"/><Relationship Id="rId156" Type="http://schemas.openxmlformats.org/officeDocument/2006/relationships/hyperlink" Target="mailto:aangeleas@etsy.com" TargetMode="External"/><Relationship Id="rId155" Type="http://schemas.openxmlformats.org/officeDocument/2006/relationships/hyperlink" Target="mailto:csu@etsy.com" TargetMode="External"/><Relationship Id="rId1972" Type="http://schemas.openxmlformats.org/officeDocument/2006/relationships/hyperlink" Target="mailto:whuang@etsy.com" TargetMode="External"/><Relationship Id="rId1973" Type="http://schemas.openxmlformats.org/officeDocument/2006/relationships/hyperlink" Target="mailto:ebenjamin@etsy.com" TargetMode="External"/><Relationship Id="rId1974" Type="http://schemas.openxmlformats.org/officeDocument/2006/relationships/hyperlink" Target="mailto:yzhang@etsy.com" TargetMode="External"/><Relationship Id="rId1975" Type="http://schemas.openxmlformats.org/officeDocument/2006/relationships/hyperlink" Target="mailto:whuang@etsy.com" TargetMode="External"/><Relationship Id="rId1976" Type="http://schemas.openxmlformats.org/officeDocument/2006/relationships/hyperlink" Target="mailto:ebenjamin@etsy.com" TargetMode="External"/><Relationship Id="rId1977" Type="http://schemas.openxmlformats.org/officeDocument/2006/relationships/hyperlink" Target="mailto:yzhang@etsy.com" TargetMode="External"/><Relationship Id="rId1978" Type="http://schemas.openxmlformats.org/officeDocument/2006/relationships/hyperlink" Target="mailto:whuang@etsy.com" TargetMode="External"/><Relationship Id="rId1979" Type="http://schemas.openxmlformats.org/officeDocument/2006/relationships/hyperlink" Target="mailto:ebenjamin@etsy.com" TargetMode="External"/><Relationship Id="rId1970" Type="http://schemas.openxmlformats.org/officeDocument/2006/relationships/hyperlink" Target="mailto:ebenjamin@etsy.com" TargetMode="External"/><Relationship Id="rId1971" Type="http://schemas.openxmlformats.org/officeDocument/2006/relationships/hyperlink" Target="mailto:yzhang@etsy.com" TargetMode="External"/><Relationship Id="rId1961" Type="http://schemas.openxmlformats.org/officeDocument/2006/relationships/hyperlink" Target="mailto:ebenjamin@etsy.com" TargetMode="External"/><Relationship Id="rId1962" Type="http://schemas.openxmlformats.org/officeDocument/2006/relationships/hyperlink" Target="mailto:yzhang@etsy.com" TargetMode="External"/><Relationship Id="rId1963" Type="http://schemas.openxmlformats.org/officeDocument/2006/relationships/hyperlink" Target="mailto:whuang@etsy.com" TargetMode="External"/><Relationship Id="rId1964" Type="http://schemas.openxmlformats.org/officeDocument/2006/relationships/hyperlink" Target="mailto:ebenjamin@etsy.com" TargetMode="External"/><Relationship Id="rId1965" Type="http://schemas.openxmlformats.org/officeDocument/2006/relationships/hyperlink" Target="mailto:yzhang@etsy.com" TargetMode="External"/><Relationship Id="rId1966" Type="http://schemas.openxmlformats.org/officeDocument/2006/relationships/hyperlink" Target="mailto:whuang@etsy.com" TargetMode="External"/><Relationship Id="rId1967" Type="http://schemas.openxmlformats.org/officeDocument/2006/relationships/hyperlink" Target="mailto:ebenjamin@etsy.com" TargetMode="External"/><Relationship Id="rId1968" Type="http://schemas.openxmlformats.org/officeDocument/2006/relationships/hyperlink" Target="mailto:yzhang@etsy.com" TargetMode="External"/><Relationship Id="rId1969" Type="http://schemas.openxmlformats.org/officeDocument/2006/relationships/hyperlink" Target="mailto:whuang@etsy.com" TargetMode="External"/><Relationship Id="rId1960" Type="http://schemas.openxmlformats.org/officeDocument/2006/relationships/hyperlink" Target="mailto:whuang@etsy.com" TargetMode="External"/><Relationship Id="rId1510" Type="http://schemas.openxmlformats.org/officeDocument/2006/relationships/hyperlink" Target="mailto:whuang@etsy.com" TargetMode="External"/><Relationship Id="rId1994" Type="http://schemas.openxmlformats.org/officeDocument/2006/relationships/hyperlink" Target="mailto:ebenjamin@etsy.com" TargetMode="External"/><Relationship Id="rId1511" Type="http://schemas.openxmlformats.org/officeDocument/2006/relationships/hyperlink" Target="mailto:aangeleas@etsy.com" TargetMode="External"/><Relationship Id="rId1995" Type="http://schemas.openxmlformats.org/officeDocument/2006/relationships/hyperlink" Target="mailto:yzhang@etsy.com" TargetMode="External"/><Relationship Id="rId1512" Type="http://schemas.openxmlformats.org/officeDocument/2006/relationships/hyperlink" Target="mailto:ebenjamin@etsy.com" TargetMode="External"/><Relationship Id="rId1996" Type="http://schemas.openxmlformats.org/officeDocument/2006/relationships/hyperlink" Target="mailto:whuang@etsy.com" TargetMode="External"/><Relationship Id="rId1513" Type="http://schemas.openxmlformats.org/officeDocument/2006/relationships/hyperlink" Target="mailto:whuang@etsy.com" TargetMode="External"/><Relationship Id="rId1997" Type="http://schemas.openxmlformats.org/officeDocument/2006/relationships/hyperlink" Target="mailto:ebenjamin@etsy.com" TargetMode="External"/><Relationship Id="rId1514" Type="http://schemas.openxmlformats.org/officeDocument/2006/relationships/hyperlink" Target="mailto:aangeleas@etsy.com" TargetMode="External"/><Relationship Id="rId1998" Type="http://schemas.openxmlformats.org/officeDocument/2006/relationships/hyperlink" Target="mailto:yzhang@etsy.com" TargetMode="External"/><Relationship Id="rId1515" Type="http://schemas.openxmlformats.org/officeDocument/2006/relationships/hyperlink" Target="mailto:ebenjamin@etsy.com" TargetMode="External"/><Relationship Id="rId1999" Type="http://schemas.openxmlformats.org/officeDocument/2006/relationships/hyperlink" Target="mailto:whuang@etsy.com" TargetMode="External"/><Relationship Id="rId1516" Type="http://schemas.openxmlformats.org/officeDocument/2006/relationships/hyperlink" Target="mailto:whuang@etsy.com" TargetMode="External"/><Relationship Id="rId1517" Type="http://schemas.openxmlformats.org/officeDocument/2006/relationships/hyperlink" Target="mailto:aangeleas@etsy.com" TargetMode="External"/><Relationship Id="rId1518" Type="http://schemas.openxmlformats.org/officeDocument/2006/relationships/hyperlink" Target="mailto:ebenjamin@etsy.com" TargetMode="External"/><Relationship Id="rId1519" Type="http://schemas.openxmlformats.org/officeDocument/2006/relationships/hyperlink" Target="mailto:whuang@etsy.com" TargetMode="External"/><Relationship Id="rId1990" Type="http://schemas.openxmlformats.org/officeDocument/2006/relationships/hyperlink" Target="mailto:whuang@etsy.com" TargetMode="External"/><Relationship Id="rId1991" Type="http://schemas.openxmlformats.org/officeDocument/2006/relationships/hyperlink" Target="mailto:ebenjamin@etsy.com" TargetMode="External"/><Relationship Id="rId1992" Type="http://schemas.openxmlformats.org/officeDocument/2006/relationships/hyperlink" Target="mailto:yzhang@etsy.com" TargetMode="External"/><Relationship Id="rId1993" Type="http://schemas.openxmlformats.org/officeDocument/2006/relationships/hyperlink" Target="mailto:whuang@etsy.com" TargetMode="External"/><Relationship Id="rId1983" Type="http://schemas.openxmlformats.org/officeDocument/2006/relationships/hyperlink" Target="mailto:yzhang@etsy.com" TargetMode="External"/><Relationship Id="rId1500" Type="http://schemas.openxmlformats.org/officeDocument/2006/relationships/hyperlink" Target="mailto:ebenjamin@etsy.com" TargetMode="External"/><Relationship Id="rId1984" Type="http://schemas.openxmlformats.org/officeDocument/2006/relationships/hyperlink" Target="mailto:whuang@etsy.com" TargetMode="External"/><Relationship Id="rId1501" Type="http://schemas.openxmlformats.org/officeDocument/2006/relationships/hyperlink" Target="mailto:whuang@etsy.com" TargetMode="External"/><Relationship Id="rId1985" Type="http://schemas.openxmlformats.org/officeDocument/2006/relationships/hyperlink" Target="mailto:ebenjamin@etsy.com" TargetMode="External"/><Relationship Id="rId1502" Type="http://schemas.openxmlformats.org/officeDocument/2006/relationships/hyperlink" Target="mailto:aangeleas@etsy.com" TargetMode="External"/><Relationship Id="rId1986" Type="http://schemas.openxmlformats.org/officeDocument/2006/relationships/hyperlink" Target="mailto:yzhang@etsy.com" TargetMode="External"/><Relationship Id="rId1503" Type="http://schemas.openxmlformats.org/officeDocument/2006/relationships/hyperlink" Target="mailto:ebenjamin@etsy.com" TargetMode="External"/><Relationship Id="rId1987" Type="http://schemas.openxmlformats.org/officeDocument/2006/relationships/hyperlink" Target="mailto:whuang@etsy.com" TargetMode="External"/><Relationship Id="rId1504" Type="http://schemas.openxmlformats.org/officeDocument/2006/relationships/hyperlink" Target="mailto:whuang@etsy.com" TargetMode="External"/><Relationship Id="rId1988" Type="http://schemas.openxmlformats.org/officeDocument/2006/relationships/hyperlink" Target="mailto:ebenjamin@etsy.com" TargetMode="External"/><Relationship Id="rId1505" Type="http://schemas.openxmlformats.org/officeDocument/2006/relationships/hyperlink" Target="mailto:aangeleas@etsy.com" TargetMode="External"/><Relationship Id="rId1989" Type="http://schemas.openxmlformats.org/officeDocument/2006/relationships/hyperlink" Target="mailto:yzhang@etsy.com" TargetMode="External"/><Relationship Id="rId1506" Type="http://schemas.openxmlformats.org/officeDocument/2006/relationships/hyperlink" Target="mailto:ebenjamin@etsy.com" TargetMode="External"/><Relationship Id="rId1507" Type="http://schemas.openxmlformats.org/officeDocument/2006/relationships/hyperlink" Target="mailto:whuang@etsy.com" TargetMode="External"/><Relationship Id="rId1508" Type="http://schemas.openxmlformats.org/officeDocument/2006/relationships/hyperlink" Target="mailto:aangeleas@etsy.com" TargetMode="External"/><Relationship Id="rId1509" Type="http://schemas.openxmlformats.org/officeDocument/2006/relationships/hyperlink" Target="mailto:ebenjamin@etsy.com" TargetMode="External"/><Relationship Id="rId1980" Type="http://schemas.openxmlformats.org/officeDocument/2006/relationships/hyperlink" Target="mailto:yzhang@etsy.com" TargetMode="External"/><Relationship Id="rId1981" Type="http://schemas.openxmlformats.org/officeDocument/2006/relationships/hyperlink" Target="mailto:whuang@etsy.com" TargetMode="External"/><Relationship Id="rId1982" Type="http://schemas.openxmlformats.org/officeDocument/2006/relationships/hyperlink" Target="mailto:ebenjamin@etsy.com" TargetMode="External"/><Relationship Id="rId1930" Type="http://schemas.openxmlformats.org/officeDocument/2006/relationships/hyperlink" Target="mailto:whuang@etsy.com" TargetMode="External"/><Relationship Id="rId1931" Type="http://schemas.openxmlformats.org/officeDocument/2006/relationships/hyperlink" Target="mailto:ebenjamin@etsy.com" TargetMode="External"/><Relationship Id="rId1932" Type="http://schemas.openxmlformats.org/officeDocument/2006/relationships/hyperlink" Target="mailto:yzhang@etsy.com" TargetMode="External"/><Relationship Id="rId1933" Type="http://schemas.openxmlformats.org/officeDocument/2006/relationships/hyperlink" Target="mailto:whuang@etsy.com" TargetMode="External"/><Relationship Id="rId1934" Type="http://schemas.openxmlformats.org/officeDocument/2006/relationships/hyperlink" Target="mailto:ebenjamin@etsy.com" TargetMode="External"/><Relationship Id="rId1935" Type="http://schemas.openxmlformats.org/officeDocument/2006/relationships/hyperlink" Target="mailto:yzhang@etsy.com" TargetMode="External"/><Relationship Id="rId1936" Type="http://schemas.openxmlformats.org/officeDocument/2006/relationships/hyperlink" Target="mailto:whuang@etsy.com" TargetMode="External"/><Relationship Id="rId1937" Type="http://schemas.openxmlformats.org/officeDocument/2006/relationships/hyperlink" Target="mailto:ebenjamin@etsy.com" TargetMode="External"/><Relationship Id="rId1938" Type="http://schemas.openxmlformats.org/officeDocument/2006/relationships/hyperlink" Target="mailto:yzhang@etsy.com" TargetMode="External"/><Relationship Id="rId1939" Type="http://schemas.openxmlformats.org/officeDocument/2006/relationships/hyperlink" Target="mailto:whuang@etsy.com" TargetMode="External"/><Relationship Id="rId1920" Type="http://schemas.openxmlformats.org/officeDocument/2006/relationships/hyperlink" Target="mailto:yzhang@etsy.com" TargetMode="External"/><Relationship Id="rId1921" Type="http://schemas.openxmlformats.org/officeDocument/2006/relationships/hyperlink" Target="mailto:whuang@etsy.com" TargetMode="External"/><Relationship Id="rId1922" Type="http://schemas.openxmlformats.org/officeDocument/2006/relationships/hyperlink" Target="mailto:ebenjamin@etsy.com" TargetMode="External"/><Relationship Id="rId1923" Type="http://schemas.openxmlformats.org/officeDocument/2006/relationships/hyperlink" Target="mailto:yzhang@etsy.com" TargetMode="External"/><Relationship Id="rId1924" Type="http://schemas.openxmlformats.org/officeDocument/2006/relationships/hyperlink" Target="mailto:whuang@etsy.com" TargetMode="External"/><Relationship Id="rId1925" Type="http://schemas.openxmlformats.org/officeDocument/2006/relationships/hyperlink" Target="mailto:ebenjamin@etsy.com" TargetMode="External"/><Relationship Id="rId1926" Type="http://schemas.openxmlformats.org/officeDocument/2006/relationships/hyperlink" Target="mailto:yzhang@etsy.com" TargetMode="External"/><Relationship Id="rId1927" Type="http://schemas.openxmlformats.org/officeDocument/2006/relationships/hyperlink" Target="mailto:whuang@etsy.com" TargetMode="External"/><Relationship Id="rId1928" Type="http://schemas.openxmlformats.org/officeDocument/2006/relationships/hyperlink" Target="mailto:ebenjamin@etsy.com" TargetMode="External"/><Relationship Id="rId1929" Type="http://schemas.openxmlformats.org/officeDocument/2006/relationships/hyperlink" Target="mailto:yzhang@etsy.com" TargetMode="External"/><Relationship Id="rId1950" Type="http://schemas.openxmlformats.org/officeDocument/2006/relationships/hyperlink" Target="mailto:yzhang@etsy.com" TargetMode="External"/><Relationship Id="rId1951" Type="http://schemas.openxmlformats.org/officeDocument/2006/relationships/hyperlink" Target="mailto:whuang@etsy.com" TargetMode="External"/><Relationship Id="rId1952" Type="http://schemas.openxmlformats.org/officeDocument/2006/relationships/hyperlink" Target="mailto:ebenjamin@etsy.com" TargetMode="External"/><Relationship Id="rId1953" Type="http://schemas.openxmlformats.org/officeDocument/2006/relationships/hyperlink" Target="mailto:yzhang@etsy.com" TargetMode="External"/><Relationship Id="rId1954" Type="http://schemas.openxmlformats.org/officeDocument/2006/relationships/hyperlink" Target="mailto:whuang@etsy.com" TargetMode="External"/><Relationship Id="rId1955" Type="http://schemas.openxmlformats.org/officeDocument/2006/relationships/hyperlink" Target="mailto:ebenjamin@etsy.com" TargetMode="External"/><Relationship Id="rId1956" Type="http://schemas.openxmlformats.org/officeDocument/2006/relationships/hyperlink" Target="mailto:yzhang@etsy.com" TargetMode="External"/><Relationship Id="rId1957" Type="http://schemas.openxmlformats.org/officeDocument/2006/relationships/hyperlink" Target="mailto:whuang@etsy.com" TargetMode="External"/><Relationship Id="rId1958" Type="http://schemas.openxmlformats.org/officeDocument/2006/relationships/hyperlink" Target="mailto:ebenjamin@etsy.com" TargetMode="External"/><Relationship Id="rId1959" Type="http://schemas.openxmlformats.org/officeDocument/2006/relationships/hyperlink" Target="mailto:yzhang@etsy.com" TargetMode="External"/><Relationship Id="rId1940" Type="http://schemas.openxmlformats.org/officeDocument/2006/relationships/hyperlink" Target="mailto:ebenjamin@etsy.com" TargetMode="External"/><Relationship Id="rId1941" Type="http://schemas.openxmlformats.org/officeDocument/2006/relationships/hyperlink" Target="mailto:yzhang@etsy.com" TargetMode="External"/><Relationship Id="rId1942" Type="http://schemas.openxmlformats.org/officeDocument/2006/relationships/hyperlink" Target="mailto:whuang@etsy.com" TargetMode="External"/><Relationship Id="rId1943" Type="http://schemas.openxmlformats.org/officeDocument/2006/relationships/hyperlink" Target="mailto:ebenjamin@etsy.com" TargetMode="External"/><Relationship Id="rId1944" Type="http://schemas.openxmlformats.org/officeDocument/2006/relationships/hyperlink" Target="mailto:yzhang@etsy.com" TargetMode="External"/><Relationship Id="rId1945" Type="http://schemas.openxmlformats.org/officeDocument/2006/relationships/hyperlink" Target="mailto:whuang@etsy.com" TargetMode="External"/><Relationship Id="rId1946" Type="http://schemas.openxmlformats.org/officeDocument/2006/relationships/hyperlink" Target="mailto:ebenjamin@etsy.com" TargetMode="External"/><Relationship Id="rId1947" Type="http://schemas.openxmlformats.org/officeDocument/2006/relationships/hyperlink" Target="mailto:yzhang@etsy.com" TargetMode="External"/><Relationship Id="rId1948" Type="http://schemas.openxmlformats.org/officeDocument/2006/relationships/hyperlink" Target="mailto:whuang@etsy.com" TargetMode="External"/><Relationship Id="rId1949" Type="http://schemas.openxmlformats.org/officeDocument/2006/relationships/hyperlink" Target="mailto:ebenjamin@etsy.com" TargetMode="External"/><Relationship Id="rId1576" Type="http://schemas.openxmlformats.org/officeDocument/2006/relationships/hyperlink" Target="mailto:whuang@etsy.com" TargetMode="External"/><Relationship Id="rId1577" Type="http://schemas.openxmlformats.org/officeDocument/2006/relationships/hyperlink" Target="mailto:aangeleas@etsy.com" TargetMode="External"/><Relationship Id="rId1578" Type="http://schemas.openxmlformats.org/officeDocument/2006/relationships/hyperlink" Target="mailto:ebenjamin@etsy.com" TargetMode="External"/><Relationship Id="rId1579" Type="http://schemas.openxmlformats.org/officeDocument/2006/relationships/hyperlink" Target="mailto:whuang@etsy.com" TargetMode="External"/><Relationship Id="rId509" Type="http://schemas.openxmlformats.org/officeDocument/2006/relationships/hyperlink" Target="mailto:csu@etsy.com" TargetMode="External"/><Relationship Id="rId508" Type="http://schemas.openxmlformats.org/officeDocument/2006/relationships/hyperlink" Target="mailto:whuang@etsy.com" TargetMode="External"/><Relationship Id="rId503" Type="http://schemas.openxmlformats.org/officeDocument/2006/relationships/hyperlink" Target="mailto:csu@etsy.com" TargetMode="External"/><Relationship Id="rId987" Type="http://schemas.openxmlformats.org/officeDocument/2006/relationships/hyperlink" Target="mailto:yzhang@etsy.com" TargetMode="External"/><Relationship Id="rId502" Type="http://schemas.openxmlformats.org/officeDocument/2006/relationships/hyperlink" Target="mailto:whuang@etsy.com" TargetMode="External"/><Relationship Id="rId986" Type="http://schemas.openxmlformats.org/officeDocument/2006/relationships/hyperlink" Target="mailto:csu@etsy.com" TargetMode="External"/><Relationship Id="rId501" Type="http://schemas.openxmlformats.org/officeDocument/2006/relationships/hyperlink" Target="mailto:ebenjamin@etsy.com" TargetMode="External"/><Relationship Id="rId985" Type="http://schemas.openxmlformats.org/officeDocument/2006/relationships/hyperlink" Target="mailto:whuang@etsy.com" TargetMode="External"/><Relationship Id="rId500" Type="http://schemas.openxmlformats.org/officeDocument/2006/relationships/hyperlink" Target="mailto:csu@etsy.com" TargetMode="External"/><Relationship Id="rId984" Type="http://schemas.openxmlformats.org/officeDocument/2006/relationships/hyperlink" Target="mailto:yzhang@etsy.com" TargetMode="External"/><Relationship Id="rId507" Type="http://schemas.openxmlformats.org/officeDocument/2006/relationships/hyperlink" Target="mailto:ebenjamin@etsy.com" TargetMode="External"/><Relationship Id="rId506" Type="http://schemas.openxmlformats.org/officeDocument/2006/relationships/hyperlink" Target="mailto:csu@etsy.com" TargetMode="External"/><Relationship Id="rId505" Type="http://schemas.openxmlformats.org/officeDocument/2006/relationships/hyperlink" Target="mailto:whuang@etsy.com" TargetMode="External"/><Relationship Id="rId989" Type="http://schemas.openxmlformats.org/officeDocument/2006/relationships/hyperlink" Target="mailto:csu@etsy.com" TargetMode="External"/><Relationship Id="rId504" Type="http://schemas.openxmlformats.org/officeDocument/2006/relationships/hyperlink" Target="mailto:ebenjamin@etsy.com" TargetMode="External"/><Relationship Id="rId988" Type="http://schemas.openxmlformats.org/officeDocument/2006/relationships/hyperlink" Target="mailto:whuang@etsy.com" TargetMode="External"/><Relationship Id="rId1570" Type="http://schemas.openxmlformats.org/officeDocument/2006/relationships/hyperlink" Target="mailto:whuang@etsy.com" TargetMode="External"/><Relationship Id="rId1571" Type="http://schemas.openxmlformats.org/officeDocument/2006/relationships/hyperlink" Target="mailto:aangeleas@etsy.com" TargetMode="External"/><Relationship Id="rId983" Type="http://schemas.openxmlformats.org/officeDocument/2006/relationships/hyperlink" Target="mailto:csu@etsy.com" TargetMode="External"/><Relationship Id="rId1572" Type="http://schemas.openxmlformats.org/officeDocument/2006/relationships/hyperlink" Target="mailto:ebenjamin@etsy.com" TargetMode="External"/><Relationship Id="rId982" Type="http://schemas.openxmlformats.org/officeDocument/2006/relationships/hyperlink" Target="mailto:whuang@etsy.com" TargetMode="External"/><Relationship Id="rId1573" Type="http://schemas.openxmlformats.org/officeDocument/2006/relationships/hyperlink" Target="mailto:whuang@etsy.com" TargetMode="External"/><Relationship Id="rId981" Type="http://schemas.openxmlformats.org/officeDocument/2006/relationships/hyperlink" Target="mailto:yzhang@etsy.com" TargetMode="External"/><Relationship Id="rId1574" Type="http://schemas.openxmlformats.org/officeDocument/2006/relationships/hyperlink" Target="mailto:aangeleas@etsy.com" TargetMode="External"/><Relationship Id="rId980" Type="http://schemas.openxmlformats.org/officeDocument/2006/relationships/hyperlink" Target="mailto:csu@etsy.com" TargetMode="External"/><Relationship Id="rId1575" Type="http://schemas.openxmlformats.org/officeDocument/2006/relationships/hyperlink" Target="mailto:ebenjamin@etsy.com" TargetMode="External"/><Relationship Id="rId1565" Type="http://schemas.openxmlformats.org/officeDocument/2006/relationships/hyperlink" Target="mailto:aangeleas@etsy.com" TargetMode="External"/><Relationship Id="rId1566" Type="http://schemas.openxmlformats.org/officeDocument/2006/relationships/hyperlink" Target="mailto:ebenjamin@etsy.com" TargetMode="External"/><Relationship Id="rId1567" Type="http://schemas.openxmlformats.org/officeDocument/2006/relationships/hyperlink" Target="mailto:whuang@etsy.com" TargetMode="External"/><Relationship Id="rId1568" Type="http://schemas.openxmlformats.org/officeDocument/2006/relationships/hyperlink" Target="mailto:aangeleas@etsy.com" TargetMode="External"/><Relationship Id="rId1569" Type="http://schemas.openxmlformats.org/officeDocument/2006/relationships/hyperlink" Target="mailto:ebenjamin@etsy.com" TargetMode="External"/><Relationship Id="rId976" Type="http://schemas.openxmlformats.org/officeDocument/2006/relationships/hyperlink" Target="mailto:whuang@etsy.com" TargetMode="External"/><Relationship Id="rId975" Type="http://schemas.openxmlformats.org/officeDocument/2006/relationships/hyperlink" Target="mailto:yzhang@etsy.com" TargetMode="External"/><Relationship Id="rId974" Type="http://schemas.openxmlformats.org/officeDocument/2006/relationships/hyperlink" Target="mailto:csu@etsy.com" TargetMode="External"/><Relationship Id="rId973" Type="http://schemas.openxmlformats.org/officeDocument/2006/relationships/hyperlink" Target="mailto:whuang@etsy.com" TargetMode="External"/><Relationship Id="rId979" Type="http://schemas.openxmlformats.org/officeDocument/2006/relationships/hyperlink" Target="mailto:whuang@etsy.com" TargetMode="External"/><Relationship Id="rId978" Type="http://schemas.openxmlformats.org/officeDocument/2006/relationships/hyperlink" Target="mailto:yzhang@etsy.com" TargetMode="External"/><Relationship Id="rId977" Type="http://schemas.openxmlformats.org/officeDocument/2006/relationships/hyperlink" Target="mailto:csu@etsy.com" TargetMode="External"/><Relationship Id="rId1560" Type="http://schemas.openxmlformats.org/officeDocument/2006/relationships/hyperlink" Target="mailto:ebenjamin@etsy.com" TargetMode="External"/><Relationship Id="rId972" Type="http://schemas.openxmlformats.org/officeDocument/2006/relationships/hyperlink" Target="mailto:yzhang@etsy.com" TargetMode="External"/><Relationship Id="rId1561" Type="http://schemas.openxmlformats.org/officeDocument/2006/relationships/hyperlink" Target="mailto:whuang@etsy.com" TargetMode="External"/><Relationship Id="rId971" Type="http://schemas.openxmlformats.org/officeDocument/2006/relationships/hyperlink" Target="mailto:csu@etsy.com" TargetMode="External"/><Relationship Id="rId1562" Type="http://schemas.openxmlformats.org/officeDocument/2006/relationships/hyperlink" Target="mailto:aangeleas@etsy.com" TargetMode="External"/><Relationship Id="rId970" Type="http://schemas.openxmlformats.org/officeDocument/2006/relationships/hyperlink" Target="mailto:whuang@etsy.com" TargetMode="External"/><Relationship Id="rId1563" Type="http://schemas.openxmlformats.org/officeDocument/2006/relationships/hyperlink" Target="mailto:ebenjamin@etsy.com" TargetMode="External"/><Relationship Id="rId1564" Type="http://schemas.openxmlformats.org/officeDocument/2006/relationships/hyperlink" Target="mailto:whuang@etsy.com" TargetMode="External"/><Relationship Id="rId1114" Type="http://schemas.openxmlformats.org/officeDocument/2006/relationships/hyperlink" Target="mailto:whuang@etsy.com" TargetMode="External"/><Relationship Id="rId1598" Type="http://schemas.openxmlformats.org/officeDocument/2006/relationships/hyperlink" Target="mailto:aangeleas@etsy.com" TargetMode="External"/><Relationship Id="rId1115" Type="http://schemas.openxmlformats.org/officeDocument/2006/relationships/hyperlink" Target="mailto:aangeleas@etsy.com" TargetMode="External"/><Relationship Id="rId1599" Type="http://schemas.openxmlformats.org/officeDocument/2006/relationships/hyperlink" Target="mailto:ebenjamin@etsy.com" TargetMode="External"/><Relationship Id="rId1116" Type="http://schemas.openxmlformats.org/officeDocument/2006/relationships/hyperlink" Target="mailto:yzhang@etsy.com" TargetMode="External"/><Relationship Id="rId1117" Type="http://schemas.openxmlformats.org/officeDocument/2006/relationships/hyperlink" Target="mailto:whuang@etsy.com" TargetMode="External"/><Relationship Id="rId1118" Type="http://schemas.openxmlformats.org/officeDocument/2006/relationships/hyperlink" Target="mailto:aangeleas@etsy.com" TargetMode="External"/><Relationship Id="rId1119" Type="http://schemas.openxmlformats.org/officeDocument/2006/relationships/hyperlink" Target="mailto:yzhang@etsy.com" TargetMode="External"/><Relationship Id="rId525" Type="http://schemas.openxmlformats.org/officeDocument/2006/relationships/hyperlink" Target="mailto:ebenjamin@etsy.com" TargetMode="External"/><Relationship Id="rId524" Type="http://schemas.openxmlformats.org/officeDocument/2006/relationships/hyperlink" Target="mailto:csu@etsy.com" TargetMode="External"/><Relationship Id="rId523" Type="http://schemas.openxmlformats.org/officeDocument/2006/relationships/hyperlink" Target="mailto:whuang@etsy.com" TargetMode="External"/><Relationship Id="rId522" Type="http://schemas.openxmlformats.org/officeDocument/2006/relationships/hyperlink" Target="mailto:ebenjamin@etsy.com" TargetMode="External"/><Relationship Id="rId529" Type="http://schemas.openxmlformats.org/officeDocument/2006/relationships/hyperlink" Target="mailto:whuang@etsy.com" TargetMode="External"/><Relationship Id="rId528" Type="http://schemas.openxmlformats.org/officeDocument/2006/relationships/hyperlink" Target="mailto:ebenjamin@etsy.com" TargetMode="External"/><Relationship Id="rId527" Type="http://schemas.openxmlformats.org/officeDocument/2006/relationships/hyperlink" Target="mailto:csu@etsy.com" TargetMode="External"/><Relationship Id="rId526" Type="http://schemas.openxmlformats.org/officeDocument/2006/relationships/hyperlink" Target="mailto:whuang@etsy.com" TargetMode="External"/><Relationship Id="rId1590" Type="http://schemas.openxmlformats.org/officeDocument/2006/relationships/hyperlink" Target="mailto:ebenjamin@etsy.com" TargetMode="External"/><Relationship Id="rId1591" Type="http://schemas.openxmlformats.org/officeDocument/2006/relationships/hyperlink" Target="mailto:whuang@etsy.com" TargetMode="External"/><Relationship Id="rId1592" Type="http://schemas.openxmlformats.org/officeDocument/2006/relationships/hyperlink" Target="mailto:aangeleas@etsy.com" TargetMode="External"/><Relationship Id="rId1593" Type="http://schemas.openxmlformats.org/officeDocument/2006/relationships/hyperlink" Target="mailto:ebenjamin@etsy.com" TargetMode="External"/><Relationship Id="rId521" Type="http://schemas.openxmlformats.org/officeDocument/2006/relationships/hyperlink" Target="mailto:csu@etsy.com" TargetMode="External"/><Relationship Id="rId1110" Type="http://schemas.openxmlformats.org/officeDocument/2006/relationships/hyperlink" Target="mailto:yzhang@etsy.com" TargetMode="External"/><Relationship Id="rId1594" Type="http://schemas.openxmlformats.org/officeDocument/2006/relationships/hyperlink" Target="mailto:whuang@etsy.com" TargetMode="External"/><Relationship Id="rId520" Type="http://schemas.openxmlformats.org/officeDocument/2006/relationships/hyperlink" Target="mailto:whuang@etsy.com" TargetMode="External"/><Relationship Id="rId1111" Type="http://schemas.openxmlformats.org/officeDocument/2006/relationships/hyperlink" Target="mailto:whuang@etsy.com" TargetMode="External"/><Relationship Id="rId1595" Type="http://schemas.openxmlformats.org/officeDocument/2006/relationships/hyperlink" Target="mailto:aangeleas@etsy.com" TargetMode="External"/><Relationship Id="rId1112" Type="http://schemas.openxmlformats.org/officeDocument/2006/relationships/hyperlink" Target="mailto:aangeleas@etsy.com" TargetMode="External"/><Relationship Id="rId1596" Type="http://schemas.openxmlformats.org/officeDocument/2006/relationships/hyperlink" Target="mailto:ebenjamin@etsy.com" TargetMode="External"/><Relationship Id="rId1113" Type="http://schemas.openxmlformats.org/officeDocument/2006/relationships/hyperlink" Target="mailto:yzhang@etsy.com" TargetMode="External"/><Relationship Id="rId1597" Type="http://schemas.openxmlformats.org/officeDocument/2006/relationships/hyperlink" Target="mailto:whuang@etsy.com" TargetMode="External"/><Relationship Id="rId1103" Type="http://schemas.openxmlformats.org/officeDocument/2006/relationships/hyperlink" Target="mailto:aangeleas@etsy.com" TargetMode="External"/><Relationship Id="rId1587" Type="http://schemas.openxmlformats.org/officeDocument/2006/relationships/hyperlink" Target="mailto:ebenjamin@etsy.com" TargetMode="External"/><Relationship Id="rId1104" Type="http://schemas.openxmlformats.org/officeDocument/2006/relationships/hyperlink" Target="mailto:yzhang@etsy.com" TargetMode="External"/><Relationship Id="rId1588" Type="http://schemas.openxmlformats.org/officeDocument/2006/relationships/hyperlink" Target="mailto:whuang@etsy.com" TargetMode="External"/><Relationship Id="rId1105" Type="http://schemas.openxmlformats.org/officeDocument/2006/relationships/hyperlink" Target="mailto:whuang@etsy.com" TargetMode="External"/><Relationship Id="rId1589" Type="http://schemas.openxmlformats.org/officeDocument/2006/relationships/hyperlink" Target="mailto:aangeleas@etsy.com" TargetMode="External"/><Relationship Id="rId1106" Type="http://schemas.openxmlformats.org/officeDocument/2006/relationships/hyperlink" Target="mailto:aangeleas@etsy.com" TargetMode="External"/><Relationship Id="rId1107" Type="http://schemas.openxmlformats.org/officeDocument/2006/relationships/hyperlink" Target="mailto:yzhang@etsy.com" TargetMode="External"/><Relationship Id="rId1108" Type="http://schemas.openxmlformats.org/officeDocument/2006/relationships/hyperlink" Target="mailto:whuang@etsy.com" TargetMode="External"/><Relationship Id="rId1109" Type="http://schemas.openxmlformats.org/officeDocument/2006/relationships/hyperlink" Target="mailto:aangeleas@etsy.com" TargetMode="External"/><Relationship Id="rId519" Type="http://schemas.openxmlformats.org/officeDocument/2006/relationships/hyperlink" Target="mailto:ebenjamin@etsy.com" TargetMode="External"/><Relationship Id="rId514" Type="http://schemas.openxmlformats.org/officeDocument/2006/relationships/hyperlink" Target="mailto:whuang@etsy.com" TargetMode="External"/><Relationship Id="rId998" Type="http://schemas.openxmlformats.org/officeDocument/2006/relationships/hyperlink" Target="mailto:csu@etsy.com" TargetMode="External"/><Relationship Id="rId513" Type="http://schemas.openxmlformats.org/officeDocument/2006/relationships/hyperlink" Target="mailto:ebenjamin@etsy.com" TargetMode="External"/><Relationship Id="rId997" Type="http://schemas.openxmlformats.org/officeDocument/2006/relationships/hyperlink" Target="mailto:whuang@etsy.com" TargetMode="External"/><Relationship Id="rId512" Type="http://schemas.openxmlformats.org/officeDocument/2006/relationships/hyperlink" Target="mailto:csu@etsy.com" TargetMode="External"/><Relationship Id="rId996" Type="http://schemas.openxmlformats.org/officeDocument/2006/relationships/hyperlink" Target="mailto:yzhang@etsy.com" TargetMode="External"/><Relationship Id="rId511" Type="http://schemas.openxmlformats.org/officeDocument/2006/relationships/hyperlink" Target="mailto:whuang@etsy.com" TargetMode="External"/><Relationship Id="rId995" Type="http://schemas.openxmlformats.org/officeDocument/2006/relationships/hyperlink" Target="mailto:csu@etsy.com" TargetMode="External"/><Relationship Id="rId518" Type="http://schemas.openxmlformats.org/officeDocument/2006/relationships/hyperlink" Target="mailto:csu@etsy.com" TargetMode="External"/><Relationship Id="rId517" Type="http://schemas.openxmlformats.org/officeDocument/2006/relationships/hyperlink" Target="mailto:whuang@etsy.com" TargetMode="External"/><Relationship Id="rId516" Type="http://schemas.openxmlformats.org/officeDocument/2006/relationships/hyperlink" Target="mailto:ebenjamin@etsy.com" TargetMode="External"/><Relationship Id="rId515" Type="http://schemas.openxmlformats.org/officeDocument/2006/relationships/hyperlink" Target="mailto:csu@etsy.com" TargetMode="External"/><Relationship Id="rId999" Type="http://schemas.openxmlformats.org/officeDocument/2006/relationships/hyperlink" Target="mailto:yzhang@etsy.com" TargetMode="External"/><Relationship Id="rId990" Type="http://schemas.openxmlformats.org/officeDocument/2006/relationships/hyperlink" Target="mailto:yzhang@etsy.com" TargetMode="External"/><Relationship Id="rId1580" Type="http://schemas.openxmlformats.org/officeDocument/2006/relationships/hyperlink" Target="mailto:aangeleas@etsy.com" TargetMode="External"/><Relationship Id="rId1581" Type="http://schemas.openxmlformats.org/officeDocument/2006/relationships/hyperlink" Target="mailto:ebenjamin@etsy.com" TargetMode="External"/><Relationship Id="rId1582" Type="http://schemas.openxmlformats.org/officeDocument/2006/relationships/hyperlink" Target="mailto:whuang@etsy.com" TargetMode="External"/><Relationship Id="rId510" Type="http://schemas.openxmlformats.org/officeDocument/2006/relationships/hyperlink" Target="mailto:ebenjamin@etsy.com" TargetMode="External"/><Relationship Id="rId994" Type="http://schemas.openxmlformats.org/officeDocument/2006/relationships/hyperlink" Target="mailto:whuang@etsy.com" TargetMode="External"/><Relationship Id="rId1583" Type="http://schemas.openxmlformats.org/officeDocument/2006/relationships/hyperlink" Target="mailto:aangeleas@etsy.com" TargetMode="External"/><Relationship Id="rId993" Type="http://schemas.openxmlformats.org/officeDocument/2006/relationships/hyperlink" Target="mailto:yzhang@etsy.com" TargetMode="External"/><Relationship Id="rId1100" Type="http://schemas.openxmlformats.org/officeDocument/2006/relationships/hyperlink" Target="mailto:aangeleas@etsy.com" TargetMode="External"/><Relationship Id="rId1584" Type="http://schemas.openxmlformats.org/officeDocument/2006/relationships/hyperlink" Target="mailto:ebenjamin@etsy.com" TargetMode="External"/><Relationship Id="rId992" Type="http://schemas.openxmlformats.org/officeDocument/2006/relationships/hyperlink" Target="mailto:csu@etsy.com" TargetMode="External"/><Relationship Id="rId1101" Type="http://schemas.openxmlformats.org/officeDocument/2006/relationships/hyperlink" Target="mailto:yzhang@etsy.com" TargetMode="External"/><Relationship Id="rId1585" Type="http://schemas.openxmlformats.org/officeDocument/2006/relationships/hyperlink" Target="mailto:whuang@etsy.com" TargetMode="External"/><Relationship Id="rId991" Type="http://schemas.openxmlformats.org/officeDocument/2006/relationships/hyperlink" Target="mailto:whuang@etsy.com" TargetMode="External"/><Relationship Id="rId1102" Type="http://schemas.openxmlformats.org/officeDocument/2006/relationships/hyperlink" Target="mailto:whuang@etsy.com" TargetMode="External"/><Relationship Id="rId1586" Type="http://schemas.openxmlformats.org/officeDocument/2006/relationships/hyperlink" Target="mailto:aangeleas@etsy.com" TargetMode="External"/><Relationship Id="rId1532" Type="http://schemas.openxmlformats.org/officeDocument/2006/relationships/hyperlink" Target="mailto:aangeleas@etsy.com" TargetMode="External"/><Relationship Id="rId1533" Type="http://schemas.openxmlformats.org/officeDocument/2006/relationships/hyperlink" Target="mailto:ebenjamin@etsy.com" TargetMode="External"/><Relationship Id="rId1534" Type="http://schemas.openxmlformats.org/officeDocument/2006/relationships/hyperlink" Target="mailto:whuang@etsy.com" TargetMode="External"/><Relationship Id="rId1535" Type="http://schemas.openxmlformats.org/officeDocument/2006/relationships/hyperlink" Target="mailto:aangeleas@etsy.com" TargetMode="External"/><Relationship Id="rId1536" Type="http://schemas.openxmlformats.org/officeDocument/2006/relationships/hyperlink" Target="mailto:ebenjamin@etsy.com" TargetMode="External"/><Relationship Id="rId1537" Type="http://schemas.openxmlformats.org/officeDocument/2006/relationships/hyperlink" Target="mailto:whuang@etsy.com" TargetMode="External"/><Relationship Id="rId1538" Type="http://schemas.openxmlformats.org/officeDocument/2006/relationships/hyperlink" Target="mailto:aangeleas@etsy.com" TargetMode="External"/><Relationship Id="rId1539" Type="http://schemas.openxmlformats.org/officeDocument/2006/relationships/hyperlink" Target="mailto:ebenjamin@etsy.com" TargetMode="External"/><Relationship Id="rId949" Type="http://schemas.openxmlformats.org/officeDocument/2006/relationships/hyperlink" Target="mailto:whuang@etsy.com" TargetMode="External"/><Relationship Id="rId948" Type="http://schemas.openxmlformats.org/officeDocument/2006/relationships/hyperlink" Target="mailto:yzhang@etsy.com" TargetMode="External"/><Relationship Id="rId943" Type="http://schemas.openxmlformats.org/officeDocument/2006/relationships/hyperlink" Target="mailto:whuang@etsy.com" TargetMode="External"/><Relationship Id="rId942" Type="http://schemas.openxmlformats.org/officeDocument/2006/relationships/hyperlink" Target="mailto:yzhang@etsy.com" TargetMode="External"/><Relationship Id="rId941" Type="http://schemas.openxmlformats.org/officeDocument/2006/relationships/hyperlink" Target="mailto:csu@etsy.com" TargetMode="External"/><Relationship Id="rId940" Type="http://schemas.openxmlformats.org/officeDocument/2006/relationships/hyperlink" Target="mailto:whuang@etsy.com" TargetMode="External"/><Relationship Id="rId947" Type="http://schemas.openxmlformats.org/officeDocument/2006/relationships/hyperlink" Target="mailto:csu@etsy.com" TargetMode="External"/><Relationship Id="rId946" Type="http://schemas.openxmlformats.org/officeDocument/2006/relationships/hyperlink" Target="mailto:whuang@etsy.com" TargetMode="External"/><Relationship Id="rId945" Type="http://schemas.openxmlformats.org/officeDocument/2006/relationships/hyperlink" Target="mailto:yzhang@etsy.com" TargetMode="External"/><Relationship Id="rId944" Type="http://schemas.openxmlformats.org/officeDocument/2006/relationships/hyperlink" Target="mailto:csu@etsy.com" TargetMode="External"/><Relationship Id="rId1530" Type="http://schemas.openxmlformats.org/officeDocument/2006/relationships/hyperlink" Target="mailto:ebenjamin@etsy.com" TargetMode="External"/><Relationship Id="rId1531" Type="http://schemas.openxmlformats.org/officeDocument/2006/relationships/hyperlink" Target="mailto:whuang@etsy.com" TargetMode="External"/><Relationship Id="rId1521" Type="http://schemas.openxmlformats.org/officeDocument/2006/relationships/hyperlink" Target="mailto:ebenjamin@etsy.com" TargetMode="External"/><Relationship Id="rId1522" Type="http://schemas.openxmlformats.org/officeDocument/2006/relationships/hyperlink" Target="mailto:whuang@etsy.com" TargetMode="External"/><Relationship Id="rId1523" Type="http://schemas.openxmlformats.org/officeDocument/2006/relationships/hyperlink" Target="mailto:aangeleas@etsy.com" TargetMode="External"/><Relationship Id="rId1524" Type="http://schemas.openxmlformats.org/officeDocument/2006/relationships/hyperlink" Target="mailto:ebenjamin@etsy.com" TargetMode="External"/><Relationship Id="rId1525" Type="http://schemas.openxmlformats.org/officeDocument/2006/relationships/hyperlink" Target="mailto:whuang@etsy.com" TargetMode="External"/><Relationship Id="rId1526" Type="http://schemas.openxmlformats.org/officeDocument/2006/relationships/hyperlink" Target="mailto:aangeleas@etsy.com" TargetMode="External"/><Relationship Id="rId1527" Type="http://schemas.openxmlformats.org/officeDocument/2006/relationships/hyperlink" Target="mailto:ebenjamin@etsy.com" TargetMode="External"/><Relationship Id="rId1528" Type="http://schemas.openxmlformats.org/officeDocument/2006/relationships/hyperlink" Target="mailto:whuang@etsy.com" TargetMode="External"/><Relationship Id="rId1529" Type="http://schemas.openxmlformats.org/officeDocument/2006/relationships/hyperlink" Target="mailto:aangeleas@etsy.com" TargetMode="External"/><Relationship Id="rId939" Type="http://schemas.openxmlformats.org/officeDocument/2006/relationships/hyperlink" Target="mailto:yzhang@etsy.com" TargetMode="External"/><Relationship Id="rId938" Type="http://schemas.openxmlformats.org/officeDocument/2006/relationships/hyperlink" Target="mailto:csu@etsy.com" TargetMode="External"/><Relationship Id="rId937" Type="http://schemas.openxmlformats.org/officeDocument/2006/relationships/hyperlink" Target="mailto:whuang@etsy.com" TargetMode="External"/><Relationship Id="rId932" Type="http://schemas.openxmlformats.org/officeDocument/2006/relationships/hyperlink" Target="mailto:csu@etsy.com" TargetMode="External"/><Relationship Id="rId931" Type="http://schemas.openxmlformats.org/officeDocument/2006/relationships/hyperlink" Target="mailto:whuang@etsy.com" TargetMode="External"/><Relationship Id="rId930" Type="http://schemas.openxmlformats.org/officeDocument/2006/relationships/hyperlink" Target="mailto:yzhang@etsy.com" TargetMode="External"/><Relationship Id="rId936" Type="http://schemas.openxmlformats.org/officeDocument/2006/relationships/hyperlink" Target="mailto:yzhang@etsy.com" TargetMode="External"/><Relationship Id="rId935" Type="http://schemas.openxmlformats.org/officeDocument/2006/relationships/hyperlink" Target="mailto:csu@etsy.com" TargetMode="External"/><Relationship Id="rId934" Type="http://schemas.openxmlformats.org/officeDocument/2006/relationships/hyperlink" Target="mailto:whuang@etsy.com" TargetMode="External"/><Relationship Id="rId933" Type="http://schemas.openxmlformats.org/officeDocument/2006/relationships/hyperlink" Target="mailto:yzhang@etsy.com" TargetMode="External"/><Relationship Id="rId1520" Type="http://schemas.openxmlformats.org/officeDocument/2006/relationships/hyperlink" Target="mailto:aangeleas@etsy.com" TargetMode="External"/><Relationship Id="rId1554" Type="http://schemas.openxmlformats.org/officeDocument/2006/relationships/hyperlink" Target="mailto:ebenjamin@etsy.com" TargetMode="External"/><Relationship Id="rId1555" Type="http://schemas.openxmlformats.org/officeDocument/2006/relationships/hyperlink" Target="mailto:whuang@etsy.com" TargetMode="External"/><Relationship Id="rId1556" Type="http://schemas.openxmlformats.org/officeDocument/2006/relationships/hyperlink" Target="mailto:aangeleas@etsy.com" TargetMode="External"/><Relationship Id="rId1557" Type="http://schemas.openxmlformats.org/officeDocument/2006/relationships/hyperlink" Target="mailto:ebenjamin@etsy.com" TargetMode="External"/><Relationship Id="rId1558" Type="http://schemas.openxmlformats.org/officeDocument/2006/relationships/hyperlink" Target="mailto:whuang@etsy.com" TargetMode="External"/><Relationship Id="rId1559" Type="http://schemas.openxmlformats.org/officeDocument/2006/relationships/hyperlink" Target="mailto:aangeleas@etsy.com" TargetMode="External"/><Relationship Id="rId965" Type="http://schemas.openxmlformats.org/officeDocument/2006/relationships/hyperlink" Target="mailto:csu@etsy.com" TargetMode="External"/><Relationship Id="rId964" Type="http://schemas.openxmlformats.org/officeDocument/2006/relationships/hyperlink" Target="mailto:whuang@etsy.com" TargetMode="External"/><Relationship Id="rId963" Type="http://schemas.openxmlformats.org/officeDocument/2006/relationships/hyperlink" Target="mailto:yzhang@etsy.com" TargetMode="External"/><Relationship Id="rId962" Type="http://schemas.openxmlformats.org/officeDocument/2006/relationships/hyperlink" Target="mailto:csu@etsy.com" TargetMode="External"/><Relationship Id="rId969" Type="http://schemas.openxmlformats.org/officeDocument/2006/relationships/hyperlink" Target="mailto:yzhang@etsy.com" TargetMode="External"/><Relationship Id="rId968" Type="http://schemas.openxmlformats.org/officeDocument/2006/relationships/hyperlink" Target="mailto:csu@etsy.com" TargetMode="External"/><Relationship Id="rId967" Type="http://schemas.openxmlformats.org/officeDocument/2006/relationships/hyperlink" Target="mailto:whuang@etsy.com" TargetMode="External"/><Relationship Id="rId966" Type="http://schemas.openxmlformats.org/officeDocument/2006/relationships/hyperlink" Target="mailto:yzhang@etsy.com" TargetMode="External"/><Relationship Id="rId961" Type="http://schemas.openxmlformats.org/officeDocument/2006/relationships/hyperlink" Target="mailto:whuang@etsy.com" TargetMode="External"/><Relationship Id="rId1550" Type="http://schemas.openxmlformats.org/officeDocument/2006/relationships/hyperlink" Target="mailto:aangeleas@etsy.com" TargetMode="External"/><Relationship Id="rId960" Type="http://schemas.openxmlformats.org/officeDocument/2006/relationships/hyperlink" Target="mailto:yzhang@etsy.com" TargetMode="External"/><Relationship Id="rId1551" Type="http://schemas.openxmlformats.org/officeDocument/2006/relationships/hyperlink" Target="mailto:ebenjamin@etsy.com" TargetMode="External"/><Relationship Id="rId1552" Type="http://schemas.openxmlformats.org/officeDocument/2006/relationships/hyperlink" Target="mailto:whuang@etsy.com" TargetMode="External"/><Relationship Id="rId1553" Type="http://schemas.openxmlformats.org/officeDocument/2006/relationships/hyperlink" Target="mailto:aangeleas@etsy.com" TargetMode="External"/><Relationship Id="rId1543" Type="http://schemas.openxmlformats.org/officeDocument/2006/relationships/hyperlink" Target="mailto:whuang@etsy.com" TargetMode="External"/><Relationship Id="rId1544" Type="http://schemas.openxmlformats.org/officeDocument/2006/relationships/hyperlink" Target="mailto:aangeleas@etsy.com" TargetMode="External"/><Relationship Id="rId1545" Type="http://schemas.openxmlformats.org/officeDocument/2006/relationships/hyperlink" Target="mailto:ebenjamin@etsy.com" TargetMode="External"/><Relationship Id="rId1546" Type="http://schemas.openxmlformats.org/officeDocument/2006/relationships/hyperlink" Target="mailto:whuang@etsy.com" TargetMode="External"/><Relationship Id="rId1547" Type="http://schemas.openxmlformats.org/officeDocument/2006/relationships/hyperlink" Target="mailto:aangeleas@etsy.com" TargetMode="External"/><Relationship Id="rId1548" Type="http://schemas.openxmlformats.org/officeDocument/2006/relationships/hyperlink" Target="mailto:ebenjamin@etsy.com" TargetMode="External"/><Relationship Id="rId1549" Type="http://schemas.openxmlformats.org/officeDocument/2006/relationships/hyperlink" Target="mailto:whuang@etsy.com" TargetMode="External"/><Relationship Id="rId959" Type="http://schemas.openxmlformats.org/officeDocument/2006/relationships/hyperlink" Target="mailto:csu@etsy.com" TargetMode="External"/><Relationship Id="rId954" Type="http://schemas.openxmlformats.org/officeDocument/2006/relationships/hyperlink" Target="mailto:yzhang@etsy.com" TargetMode="External"/><Relationship Id="rId953" Type="http://schemas.openxmlformats.org/officeDocument/2006/relationships/hyperlink" Target="mailto:csu@etsy.com" TargetMode="External"/><Relationship Id="rId952" Type="http://schemas.openxmlformats.org/officeDocument/2006/relationships/hyperlink" Target="mailto:whuang@etsy.com" TargetMode="External"/><Relationship Id="rId951" Type="http://schemas.openxmlformats.org/officeDocument/2006/relationships/hyperlink" Target="mailto:yzhang@etsy.com" TargetMode="External"/><Relationship Id="rId958" Type="http://schemas.openxmlformats.org/officeDocument/2006/relationships/hyperlink" Target="mailto:whuang@etsy.com" TargetMode="External"/><Relationship Id="rId957" Type="http://schemas.openxmlformats.org/officeDocument/2006/relationships/hyperlink" Target="mailto:yzhang@etsy.com" TargetMode="External"/><Relationship Id="rId956" Type="http://schemas.openxmlformats.org/officeDocument/2006/relationships/hyperlink" Target="mailto:csu@etsy.com" TargetMode="External"/><Relationship Id="rId955" Type="http://schemas.openxmlformats.org/officeDocument/2006/relationships/hyperlink" Target="mailto:whuang@etsy.com" TargetMode="External"/><Relationship Id="rId950" Type="http://schemas.openxmlformats.org/officeDocument/2006/relationships/hyperlink" Target="mailto:csu@etsy.com" TargetMode="External"/><Relationship Id="rId1540" Type="http://schemas.openxmlformats.org/officeDocument/2006/relationships/hyperlink" Target="mailto:whuang@etsy.com" TargetMode="External"/><Relationship Id="rId1541" Type="http://schemas.openxmlformats.org/officeDocument/2006/relationships/hyperlink" Target="mailto:aangeleas@etsy.com" TargetMode="External"/><Relationship Id="rId1542" Type="http://schemas.openxmlformats.org/officeDocument/2006/relationships/hyperlink" Target="mailto:ebenjamin@etsy.com" TargetMode="External"/><Relationship Id="rId2027" Type="http://schemas.openxmlformats.org/officeDocument/2006/relationships/hyperlink" Target="mailto:ebenjamin@etsy.com" TargetMode="External"/><Relationship Id="rId2028" Type="http://schemas.openxmlformats.org/officeDocument/2006/relationships/hyperlink" Target="mailto:yzhang@etsy.com" TargetMode="External"/><Relationship Id="rId2029" Type="http://schemas.openxmlformats.org/officeDocument/2006/relationships/hyperlink" Target="mailto:whuang@etsy.com" TargetMode="External"/><Relationship Id="rId590" Type="http://schemas.openxmlformats.org/officeDocument/2006/relationships/hyperlink" Target="mailto:csu@etsy.com" TargetMode="External"/><Relationship Id="rId107" Type="http://schemas.openxmlformats.org/officeDocument/2006/relationships/hyperlink" Target="mailto:csu@etsy.com" TargetMode="External"/><Relationship Id="rId106" Type="http://schemas.openxmlformats.org/officeDocument/2006/relationships/hyperlink" Target="mailto:whuang@etsy.com" TargetMode="External"/><Relationship Id="rId105" Type="http://schemas.openxmlformats.org/officeDocument/2006/relationships/hyperlink" Target="mailto:aangeleas@etsy.com" TargetMode="External"/><Relationship Id="rId589" Type="http://schemas.openxmlformats.org/officeDocument/2006/relationships/hyperlink" Target="mailto:whuang@etsy.com" TargetMode="External"/><Relationship Id="rId104" Type="http://schemas.openxmlformats.org/officeDocument/2006/relationships/hyperlink" Target="mailto:csu@etsy.com" TargetMode="External"/><Relationship Id="rId588" Type="http://schemas.openxmlformats.org/officeDocument/2006/relationships/hyperlink" Target="mailto:ebenjamin@etsy.com" TargetMode="External"/><Relationship Id="rId109" Type="http://schemas.openxmlformats.org/officeDocument/2006/relationships/hyperlink" Target="mailto:whuang@etsy.com" TargetMode="External"/><Relationship Id="rId1170" Type="http://schemas.openxmlformats.org/officeDocument/2006/relationships/hyperlink" Target="mailto:yzhang@etsy.com" TargetMode="External"/><Relationship Id="rId108" Type="http://schemas.openxmlformats.org/officeDocument/2006/relationships/hyperlink" Target="mailto:aangeleas@etsy.com" TargetMode="External"/><Relationship Id="rId1171" Type="http://schemas.openxmlformats.org/officeDocument/2006/relationships/hyperlink" Target="mailto:whuang@etsy.com" TargetMode="External"/><Relationship Id="rId583" Type="http://schemas.openxmlformats.org/officeDocument/2006/relationships/hyperlink" Target="mailto:whuang@etsy.com" TargetMode="External"/><Relationship Id="rId1172" Type="http://schemas.openxmlformats.org/officeDocument/2006/relationships/hyperlink" Target="mailto:aangeleas@etsy.com" TargetMode="External"/><Relationship Id="rId582" Type="http://schemas.openxmlformats.org/officeDocument/2006/relationships/hyperlink" Target="mailto:ebenjamin@etsy.com" TargetMode="External"/><Relationship Id="rId1173" Type="http://schemas.openxmlformats.org/officeDocument/2006/relationships/hyperlink" Target="mailto:yzhang@etsy.com" TargetMode="External"/><Relationship Id="rId2020" Type="http://schemas.openxmlformats.org/officeDocument/2006/relationships/hyperlink" Target="mailto:whuang@etsy.com" TargetMode="External"/><Relationship Id="rId581" Type="http://schemas.openxmlformats.org/officeDocument/2006/relationships/hyperlink" Target="mailto:csu@etsy.com" TargetMode="External"/><Relationship Id="rId1174" Type="http://schemas.openxmlformats.org/officeDocument/2006/relationships/hyperlink" Target="mailto:whuang@etsy.com" TargetMode="External"/><Relationship Id="rId2021" Type="http://schemas.openxmlformats.org/officeDocument/2006/relationships/hyperlink" Target="mailto:ebenjamin@etsy.com" TargetMode="External"/><Relationship Id="rId580" Type="http://schemas.openxmlformats.org/officeDocument/2006/relationships/hyperlink" Target="mailto:whuang@etsy.com" TargetMode="External"/><Relationship Id="rId1175" Type="http://schemas.openxmlformats.org/officeDocument/2006/relationships/hyperlink" Target="mailto:aangeleas@etsy.com" TargetMode="External"/><Relationship Id="rId2022" Type="http://schemas.openxmlformats.org/officeDocument/2006/relationships/hyperlink" Target="mailto:yzhang@etsy.com" TargetMode="External"/><Relationship Id="rId103" Type="http://schemas.openxmlformats.org/officeDocument/2006/relationships/hyperlink" Target="mailto:whuang@etsy.com" TargetMode="External"/><Relationship Id="rId587" Type="http://schemas.openxmlformats.org/officeDocument/2006/relationships/hyperlink" Target="mailto:csu@etsy.com" TargetMode="External"/><Relationship Id="rId1176" Type="http://schemas.openxmlformats.org/officeDocument/2006/relationships/hyperlink" Target="mailto:yzhang@etsy.com" TargetMode="External"/><Relationship Id="rId2023" Type="http://schemas.openxmlformats.org/officeDocument/2006/relationships/hyperlink" Target="mailto:whuang@etsy.com" TargetMode="External"/><Relationship Id="rId102" Type="http://schemas.openxmlformats.org/officeDocument/2006/relationships/hyperlink" Target="mailto:aangeleas@etsy.com" TargetMode="External"/><Relationship Id="rId586" Type="http://schemas.openxmlformats.org/officeDocument/2006/relationships/hyperlink" Target="mailto:whuang@etsy.com" TargetMode="External"/><Relationship Id="rId1177" Type="http://schemas.openxmlformats.org/officeDocument/2006/relationships/hyperlink" Target="mailto:whuang@etsy.com" TargetMode="External"/><Relationship Id="rId2024" Type="http://schemas.openxmlformats.org/officeDocument/2006/relationships/hyperlink" Target="mailto:ebenjamin@etsy.com" TargetMode="External"/><Relationship Id="rId101" Type="http://schemas.openxmlformats.org/officeDocument/2006/relationships/hyperlink" Target="mailto:csu@etsy.com" TargetMode="External"/><Relationship Id="rId585" Type="http://schemas.openxmlformats.org/officeDocument/2006/relationships/hyperlink" Target="mailto:ebenjamin@etsy.com" TargetMode="External"/><Relationship Id="rId1178" Type="http://schemas.openxmlformats.org/officeDocument/2006/relationships/hyperlink" Target="mailto:aangeleas@etsy.com" TargetMode="External"/><Relationship Id="rId2025" Type="http://schemas.openxmlformats.org/officeDocument/2006/relationships/hyperlink" Target="mailto:yzhang@etsy.com" TargetMode="External"/><Relationship Id="rId100" Type="http://schemas.openxmlformats.org/officeDocument/2006/relationships/hyperlink" Target="mailto:whuang@etsy.com" TargetMode="External"/><Relationship Id="rId584" Type="http://schemas.openxmlformats.org/officeDocument/2006/relationships/hyperlink" Target="mailto:csu@etsy.com" TargetMode="External"/><Relationship Id="rId1179" Type="http://schemas.openxmlformats.org/officeDocument/2006/relationships/hyperlink" Target="mailto:yzhang@etsy.com" TargetMode="External"/><Relationship Id="rId2026" Type="http://schemas.openxmlformats.org/officeDocument/2006/relationships/hyperlink" Target="mailto:whuang@etsy.com" TargetMode="External"/><Relationship Id="rId1169" Type="http://schemas.openxmlformats.org/officeDocument/2006/relationships/hyperlink" Target="mailto:aangeleas@etsy.com" TargetMode="External"/><Relationship Id="rId2016" Type="http://schemas.openxmlformats.org/officeDocument/2006/relationships/hyperlink" Target="mailto:yzhang@etsy.com" TargetMode="External"/><Relationship Id="rId2017" Type="http://schemas.openxmlformats.org/officeDocument/2006/relationships/hyperlink" Target="mailto:whuang@etsy.com" TargetMode="External"/><Relationship Id="rId2018" Type="http://schemas.openxmlformats.org/officeDocument/2006/relationships/hyperlink" Target="mailto:ebenjamin@etsy.com" TargetMode="External"/><Relationship Id="rId2019" Type="http://schemas.openxmlformats.org/officeDocument/2006/relationships/hyperlink" Target="mailto:yzhang@etsy.com" TargetMode="External"/><Relationship Id="rId579" Type="http://schemas.openxmlformats.org/officeDocument/2006/relationships/hyperlink" Target="mailto:ebenjamin@etsy.com" TargetMode="External"/><Relationship Id="rId578" Type="http://schemas.openxmlformats.org/officeDocument/2006/relationships/hyperlink" Target="mailto:csu@etsy.com" TargetMode="External"/><Relationship Id="rId577" Type="http://schemas.openxmlformats.org/officeDocument/2006/relationships/hyperlink" Target="mailto:whuang@etsy.com" TargetMode="External"/><Relationship Id="rId1160" Type="http://schemas.openxmlformats.org/officeDocument/2006/relationships/hyperlink" Target="mailto:aangeleas@etsy.com" TargetMode="External"/><Relationship Id="rId572" Type="http://schemas.openxmlformats.org/officeDocument/2006/relationships/hyperlink" Target="mailto:csu@etsy.com" TargetMode="External"/><Relationship Id="rId1161" Type="http://schemas.openxmlformats.org/officeDocument/2006/relationships/hyperlink" Target="mailto:yzhang@etsy.com" TargetMode="External"/><Relationship Id="rId571" Type="http://schemas.openxmlformats.org/officeDocument/2006/relationships/hyperlink" Target="mailto:whuang@etsy.com" TargetMode="External"/><Relationship Id="rId1162" Type="http://schemas.openxmlformats.org/officeDocument/2006/relationships/hyperlink" Target="mailto:whuang@etsy.com" TargetMode="External"/><Relationship Id="rId570" Type="http://schemas.openxmlformats.org/officeDocument/2006/relationships/hyperlink" Target="mailto:ebenjamin@etsy.com" TargetMode="External"/><Relationship Id="rId1163" Type="http://schemas.openxmlformats.org/officeDocument/2006/relationships/hyperlink" Target="mailto:aangeleas@etsy.com" TargetMode="External"/><Relationship Id="rId2010" Type="http://schemas.openxmlformats.org/officeDocument/2006/relationships/hyperlink" Target="mailto:yzhang@etsy.com" TargetMode="External"/><Relationship Id="rId1164" Type="http://schemas.openxmlformats.org/officeDocument/2006/relationships/hyperlink" Target="mailto:yzhang@etsy.com" TargetMode="External"/><Relationship Id="rId2011" Type="http://schemas.openxmlformats.org/officeDocument/2006/relationships/hyperlink" Target="mailto:whuang@etsy.com" TargetMode="External"/><Relationship Id="rId576" Type="http://schemas.openxmlformats.org/officeDocument/2006/relationships/hyperlink" Target="mailto:ebenjamin@etsy.com" TargetMode="External"/><Relationship Id="rId1165" Type="http://schemas.openxmlformats.org/officeDocument/2006/relationships/hyperlink" Target="mailto:whuang@etsy.com" TargetMode="External"/><Relationship Id="rId2012" Type="http://schemas.openxmlformats.org/officeDocument/2006/relationships/hyperlink" Target="mailto:ebenjamin@etsy.com" TargetMode="External"/><Relationship Id="rId575" Type="http://schemas.openxmlformats.org/officeDocument/2006/relationships/hyperlink" Target="mailto:csu@etsy.com" TargetMode="External"/><Relationship Id="rId1166" Type="http://schemas.openxmlformats.org/officeDocument/2006/relationships/hyperlink" Target="mailto:aangeleas@etsy.com" TargetMode="External"/><Relationship Id="rId2013" Type="http://schemas.openxmlformats.org/officeDocument/2006/relationships/hyperlink" Target="mailto:yzhang@etsy.com" TargetMode="External"/><Relationship Id="rId574" Type="http://schemas.openxmlformats.org/officeDocument/2006/relationships/hyperlink" Target="mailto:whuang@etsy.com" TargetMode="External"/><Relationship Id="rId1167" Type="http://schemas.openxmlformats.org/officeDocument/2006/relationships/hyperlink" Target="mailto:yzhang@etsy.com" TargetMode="External"/><Relationship Id="rId2014" Type="http://schemas.openxmlformats.org/officeDocument/2006/relationships/hyperlink" Target="mailto:whuang@etsy.com" TargetMode="External"/><Relationship Id="rId573" Type="http://schemas.openxmlformats.org/officeDocument/2006/relationships/hyperlink" Target="mailto:ebenjamin@etsy.com" TargetMode="External"/><Relationship Id="rId1168" Type="http://schemas.openxmlformats.org/officeDocument/2006/relationships/hyperlink" Target="mailto:whuang@etsy.com" TargetMode="External"/><Relationship Id="rId2015" Type="http://schemas.openxmlformats.org/officeDocument/2006/relationships/hyperlink" Target="mailto:ebenjamin@etsy.com" TargetMode="External"/><Relationship Id="rId2049" Type="http://schemas.openxmlformats.org/officeDocument/2006/relationships/hyperlink" Target="mailto:yzhang@etsy.com" TargetMode="External"/><Relationship Id="rId129" Type="http://schemas.openxmlformats.org/officeDocument/2006/relationships/hyperlink" Target="mailto:aangeleas@etsy.com" TargetMode="External"/><Relationship Id="rId128" Type="http://schemas.openxmlformats.org/officeDocument/2006/relationships/hyperlink" Target="mailto:csu@etsy.com" TargetMode="External"/><Relationship Id="rId127" Type="http://schemas.openxmlformats.org/officeDocument/2006/relationships/hyperlink" Target="mailto:whuang@etsy.com" TargetMode="External"/><Relationship Id="rId126" Type="http://schemas.openxmlformats.org/officeDocument/2006/relationships/hyperlink" Target="mailto:aangeleas@etsy.com" TargetMode="External"/><Relationship Id="rId1190" Type="http://schemas.openxmlformats.org/officeDocument/2006/relationships/hyperlink" Target="mailto:aangeleas@etsy.com" TargetMode="External"/><Relationship Id="rId1191" Type="http://schemas.openxmlformats.org/officeDocument/2006/relationships/hyperlink" Target="mailto:yzhang@etsy.com" TargetMode="External"/><Relationship Id="rId1192" Type="http://schemas.openxmlformats.org/officeDocument/2006/relationships/hyperlink" Target="mailto:whuang@etsy.com" TargetMode="External"/><Relationship Id="rId1193" Type="http://schemas.openxmlformats.org/officeDocument/2006/relationships/hyperlink" Target="mailto:aangeleas@etsy.com" TargetMode="External"/><Relationship Id="rId2040" Type="http://schemas.openxmlformats.org/officeDocument/2006/relationships/hyperlink" Target="mailto:yzhang@etsy.com" TargetMode="External"/><Relationship Id="rId121" Type="http://schemas.openxmlformats.org/officeDocument/2006/relationships/hyperlink" Target="mailto:whuang@etsy.com" TargetMode="External"/><Relationship Id="rId1194" Type="http://schemas.openxmlformats.org/officeDocument/2006/relationships/hyperlink" Target="mailto:yzhang@etsy.com" TargetMode="External"/><Relationship Id="rId2041" Type="http://schemas.openxmlformats.org/officeDocument/2006/relationships/hyperlink" Target="mailto:whuang@etsy.com" TargetMode="External"/><Relationship Id="rId120" Type="http://schemas.openxmlformats.org/officeDocument/2006/relationships/hyperlink" Target="mailto:aangeleas@etsy.com" TargetMode="External"/><Relationship Id="rId1195" Type="http://schemas.openxmlformats.org/officeDocument/2006/relationships/hyperlink" Target="mailto:whuang@etsy.com" TargetMode="External"/><Relationship Id="rId2042" Type="http://schemas.openxmlformats.org/officeDocument/2006/relationships/hyperlink" Target="mailto:ebenjamin@etsy.com" TargetMode="External"/><Relationship Id="rId1196" Type="http://schemas.openxmlformats.org/officeDocument/2006/relationships/hyperlink" Target="mailto:aangeleas@etsy.com" TargetMode="External"/><Relationship Id="rId2043" Type="http://schemas.openxmlformats.org/officeDocument/2006/relationships/hyperlink" Target="mailto:yzhang@etsy.com" TargetMode="External"/><Relationship Id="rId1197" Type="http://schemas.openxmlformats.org/officeDocument/2006/relationships/hyperlink" Target="mailto:yzhang@etsy.com" TargetMode="External"/><Relationship Id="rId2044" Type="http://schemas.openxmlformats.org/officeDocument/2006/relationships/hyperlink" Target="mailto:whuang@etsy.com" TargetMode="External"/><Relationship Id="rId125" Type="http://schemas.openxmlformats.org/officeDocument/2006/relationships/hyperlink" Target="mailto:csu@etsy.com" TargetMode="External"/><Relationship Id="rId1198" Type="http://schemas.openxmlformats.org/officeDocument/2006/relationships/hyperlink" Target="mailto:whuang@etsy.com" TargetMode="External"/><Relationship Id="rId2045" Type="http://schemas.openxmlformats.org/officeDocument/2006/relationships/hyperlink" Target="mailto:ebenjamin@etsy.com" TargetMode="External"/><Relationship Id="rId124" Type="http://schemas.openxmlformats.org/officeDocument/2006/relationships/hyperlink" Target="mailto:whuang@etsy.com" TargetMode="External"/><Relationship Id="rId1199" Type="http://schemas.openxmlformats.org/officeDocument/2006/relationships/hyperlink" Target="mailto:aangeleas@etsy.com" TargetMode="External"/><Relationship Id="rId2046" Type="http://schemas.openxmlformats.org/officeDocument/2006/relationships/hyperlink" Target="mailto:yzhang@etsy.com" TargetMode="External"/><Relationship Id="rId123" Type="http://schemas.openxmlformats.org/officeDocument/2006/relationships/hyperlink" Target="mailto:aangeleas@etsy.com" TargetMode="External"/><Relationship Id="rId2047" Type="http://schemas.openxmlformats.org/officeDocument/2006/relationships/hyperlink" Target="mailto:whuang@etsy.com" TargetMode="External"/><Relationship Id="rId122" Type="http://schemas.openxmlformats.org/officeDocument/2006/relationships/hyperlink" Target="mailto:csu@etsy.com" TargetMode="External"/><Relationship Id="rId2048" Type="http://schemas.openxmlformats.org/officeDocument/2006/relationships/hyperlink" Target="mailto:ebenjamin@etsy.com" TargetMode="External"/><Relationship Id="rId2038" Type="http://schemas.openxmlformats.org/officeDocument/2006/relationships/hyperlink" Target="mailto:whuang@etsy.com" TargetMode="External"/><Relationship Id="rId2039" Type="http://schemas.openxmlformats.org/officeDocument/2006/relationships/hyperlink" Target="mailto:ebenjamin@etsy.com" TargetMode="External"/><Relationship Id="rId118" Type="http://schemas.openxmlformats.org/officeDocument/2006/relationships/hyperlink" Target="mailto:whuang@etsy.com" TargetMode="External"/><Relationship Id="rId117" Type="http://schemas.openxmlformats.org/officeDocument/2006/relationships/hyperlink" Target="mailto:aangeleas@etsy.com" TargetMode="External"/><Relationship Id="rId116" Type="http://schemas.openxmlformats.org/officeDocument/2006/relationships/hyperlink" Target="mailto:csu@etsy.com" TargetMode="External"/><Relationship Id="rId115" Type="http://schemas.openxmlformats.org/officeDocument/2006/relationships/hyperlink" Target="mailto:whuang@etsy.com" TargetMode="External"/><Relationship Id="rId599" Type="http://schemas.openxmlformats.org/officeDocument/2006/relationships/hyperlink" Target="mailto:csu@etsy.com" TargetMode="External"/><Relationship Id="rId1180" Type="http://schemas.openxmlformats.org/officeDocument/2006/relationships/hyperlink" Target="mailto:whuang@etsy.com" TargetMode="External"/><Relationship Id="rId1181" Type="http://schemas.openxmlformats.org/officeDocument/2006/relationships/hyperlink" Target="mailto:aangeleas@etsy.com" TargetMode="External"/><Relationship Id="rId119" Type="http://schemas.openxmlformats.org/officeDocument/2006/relationships/hyperlink" Target="mailto:csu@etsy.com" TargetMode="External"/><Relationship Id="rId1182" Type="http://schemas.openxmlformats.org/officeDocument/2006/relationships/hyperlink" Target="mailto:yzhang@etsy.com" TargetMode="External"/><Relationship Id="rId110" Type="http://schemas.openxmlformats.org/officeDocument/2006/relationships/hyperlink" Target="mailto:csu@etsy.com" TargetMode="External"/><Relationship Id="rId594" Type="http://schemas.openxmlformats.org/officeDocument/2006/relationships/hyperlink" Target="mailto:ebenjamin@etsy.com" TargetMode="External"/><Relationship Id="rId1183" Type="http://schemas.openxmlformats.org/officeDocument/2006/relationships/hyperlink" Target="mailto:whuang@etsy.com" TargetMode="External"/><Relationship Id="rId2030" Type="http://schemas.openxmlformats.org/officeDocument/2006/relationships/hyperlink" Target="mailto:ebenjamin@etsy.com" TargetMode="External"/><Relationship Id="rId593" Type="http://schemas.openxmlformats.org/officeDocument/2006/relationships/hyperlink" Target="mailto:csu@etsy.com" TargetMode="External"/><Relationship Id="rId1184" Type="http://schemas.openxmlformats.org/officeDocument/2006/relationships/hyperlink" Target="mailto:aangeleas@etsy.com" TargetMode="External"/><Relationship Id="rId2031" Type="http://schemas.openxmlformats.org/officeDocument/2006/relationships/hyperlink" Target="mailto:yzhang@etsy.com" TargetMode="External"/><Relationship Id="rId592" Type="http://schemas.openxmlformats.org/officeDocument/2006/relationships/hyperlink" Target="mailto:whuang@etsy.com" TargetMode="External"/><Relationship Id="rId1185" Type="http://schemas.openxmlformats.org/officeDocument/2006/relationships/hyperlink" Target="mailto:yzhang@etsy.com" TargetMode="External"/><Relationship Id="rId2032" Type="http://schemas.openxmlformats.org/officeDocument/2006/relationships/hyperlink" Target="mailto:whuang@etsy.com" TargetMode="External"/><Relationship Id="rId591" Type="http://schemas.openxmlformats.org/officeDocument/2006/relationships/hyperlink" Target="mailto:ebenjamin@etsy.com" TargetMode="External"/><Relationship Id="rId1186" Type="http://schemas.openxmlformats.org/officeDocument/2006/relationships/hyperlink" Target="mailto:whuang@etsy.com" TargetMode="External"/><Relationship Id="rId2033" Type="http://schemas.openxmlformats.org/officeDocument/2006/relationships/hyperlink" Target="mailto:ebenjamin@etsy.com" TargetMode="External"/><Relationship Id="rId114" Type="http://schemas.openxmlformats.org/officeDocument/2006/relationships/hyperlink" Target="mailto:aangeleas@etsy.com" TargetMode="External"/><Relationship Id="rId598" Type="http://schemas.openxmlformats.org/officeDocument/2006/relationships/hyperlink" Target="mailto:whuang@etsy.com" TargetMode="External"/><Relationship Id="rId1187" Type="http://schemas.openxmlformats.org/officeDocument/2006/relationships/hyperlink" Target="mailto:aangeleas@etsy.com" TargetMode="External"/><Relationship Id="rId2034" Type="http://schemas.openxmlformats.org/officeDocument/2006/relationships/hyperlink" Target="mailto:yzhang@etsy.com" TargetMode="External"/><Relationship Id="rId113" Type="http://schemas.openxmlformats.org/officeDocument/2006/relationships/hyperlink" Target="mailto:csu@etsy.com" TargetMode="External"/><Relationship Id="rId597" Type="http://schemas.openxmlformats.org/officeDocument/2006/relationships/hyperlink" Target="mailto:ebenjamin@etsy.com" TargetMode="External"/><Relationship Id="rId1188" Type="http://schemas.openxmlformats.org/officeDocument/2006/relationships/hyperlink" Target="mailto:yzhang@etsy.com" TargetMode="External"/><Relationship Id="rId2035" Type="http://schemas.openxmlformats.org/officeDocument/2006/relationships/hyperlink" Target="mailto:whuang@etsy.com" TargetMode="External"/><Relationship Id="rId112" Type="http://schemas.openxmlformats.org/officeDocument/2006/relationships/hyperlink" Target="mailto:whuang@etsy.com" TargetMode="External"/><Relationship Id="rId596" Type="http://schemas.openxmlformats.org/officeDocument/2006/relationships/hyperlink" Target="mailto:csu@etsy.com" TargetMode="External"/><Relationship Id="rId1189" Type="http://schemas.openxmlformats.org/officeDocument/2006/relationships/hyperlink" Target="mailto:whuang@etsy.com" TargetMode="External"/><Relationship Id="rId2036" Type="http://schemas.openxmlformats.org/officeDocument/2006/relationships/hyperlink" Target="mailto:ebenjamin@etsy.com" TargetMode="External"/><Relationship Id="rId111" Type="http://schemas.openxmlformats.org/officeDocument/2006/relationships/hyperlink" Target="mailto:aangeleas@etsy.com" TargetMode="External"/><Relationship Id="rId595" Type="http://schemas.openxmlformats.org/officeDocument/2006/relationships/hyperlink" Target="mailto:whuang@etsy.com" TargetMode="External"/><Relationship Id="rId2037" Type="http://schemas.openxmlformats.org/officeDocument/2006/relationships/hyperlink" Target="mailto:yzhang@etsy.com" TargetMode="External"/><Relationship Id="rId1136" Type="http://schemas.openxmlformats.org/officeDocument/2006/relationships/hyperlink" Target="mailto:aangeleas@etsy.com" TargetMode="External"/><Relationship Id="rId1137" Type="http://schemas.openxmlformats.org/officeDocument/2006/relationships/hyperlink" Target="mailto:yzhang@etsy.com" TargetMode="External"/><Relationship Id="rId1138" Type="http://schemas.openxmlformats.org/officeDocument/2006/relationships/hyperlink" Target="mailto:whuang@etsy.com" TargetMode="External"/><Relationship Id="rId1139" Type="http://schemas.openxmlformats.org/officeDocument/2006/relationships/hyperlink" Target="mailto:aangeleas@etsy.com" TargetMode="External"/><Relationship Id="rId547" Type="http://schemas.openxmlformats.org/officeDocument/2006/relationships/hyperlink" Target="mailto:whuang@etsy.com" TargetMode="External"/><Relationship Id="rId546" Type="http://schemas.openxmlformats.org/officeDocument/2006/relationships/hyperlink" Target="mailto:ebenjamin@etsy.com" TargetMode="External"/><Relationship Id="rId545" Type="http://schemas.openxmlformats.org/officeDocument/2006/relationships/hyperlink" Target="mailto:csu@etsy.com" TargetMode="External"/><Relationship Id="rId544" Type="http://schemas.openxmlformats.org/officeDocument/2006/relationships/hyperlink" Target="mailto:whuang@etsy.com" TargetMode="External"/><Relationship Id="rId549" Type="http://schemas.openxmlformats.org/officeDocument/2006/relationships/hyperlink" Target="mailto:ebenjamin@etsy.com" TargetMode="External"/><Relationship Id="rId548" Type="http://schemas.openxmlformats.org/officeDocument/2006/relationships/hyperlink" Target="mailto:csu@etsy.com" TargetMode="External"/><Relationship Id="rId1130" Type="http://schemas.openxmlformats.org/officeDocument/2006/relationships/hyperlink" Target="mailto:aangeleas@etsy.com" TargetMode="External"/><Relationship Id="rId1131" Type="http://schemas.openxmlformats.org/officeDocument/2006/relationships/hyperlink" Target="mailto:yzhang@etsy.com" TargetMode="External"/><Relationship Id="rId543" Type="http://schemas.openxmlformats.org/officeDocument/2006/relationships/hyperlink" Target="mailto:ebenjamin@etsy.com" TargetMode="External"/><Relationship Id="rId1132" Type="http://schemas.openxmlformats.org/officeDocument/2006/relationships/hyperlink" Target="mailto:whuang@etsy.com" TargetMode="External"/><Relationship Id="rId542" Type="http://schemas.openxmlformats.org/officeDocument/2006/relationships/hyperlink" Target="mailto:csu@etsy.com" TargetMode="External"/><Relationship Id="rId1133" Type="http://schemas.openxmlformats.org/officeDocument/2006/relationships/hyperlink" Target="mailto:aangeleas@etsy.com" TargetMode="External"/><Relationship Id="rId541" Type="http://schemas.openxmlformats.org/officeDocument/2006/relationships/hyperlink" Target="mailto:whuang@etsy.com" TargetMode="External"/><Relationship Id="rId1134" Type="http://schemas.openxmlformats.org/officeDocument/2006/relationships/hyperlink" Target="mailto:yzhang@etsy.com" TargetMode="External"/><Relationship Id="rId540" Type="http://schemas.openxmlformats.org/officeDocument/2006/relationships/hyperlink" Target="mailto:ebenjamin@etsy.com" TargetMode="External"/><Relationship Id="rId1135" Type="http://schemas.openxmlformats.org/officeDocument/2006/relationships/hyperlink" Target="mailto:whuang@etsy.com" TargetMode="External"/><Relationship Id="rId1125" Type="http://schemas.openxmlformats.org/officeDocument/2006/relationships/hyperlink" Target="mailto:yzhang@etsy.com" TargetMode="External"/><Relationship Id="rId1126" Type="http://schemas.openxmlformats.org/officeDocument/2006/relationships/hyperlink" Target="mailto:whuang@etsy.com" TargetMode="External"/><Relationship Id="rId1127" Type="http://schemas.openxmlformats.org/officeDocument/2006/relationships/hyperlink" Target="mailto:aangeleas@etsy.com" TargetMode="External"/><Relationship Id="rId1128" Type="http://schemas.openxmlformats.org/officeDocument/2006/relationships/hyperlink" Target="mailto:yzhang@etsy.com" TargetMode="External"/><Relationship Id="rId1129" Type="http://schemas.openxmlformats.org/officeDocument/2006/relationships/hyperlink" Target="mailto:whuang@etsy.com" TargetMode="External"/><Relationship Id="rId536" Type="http://schemas.openxmlformats.org/officeDocument/2006/relationships/hyperlink" Target="mailto:csu@etsy.com" TargetMode="External"/><Relationship Id="rId535" Type="http://schemas.openxmlformats.org/officeDocument/2006/relationships/hyperlink" Target="mailto:whuang@etsy.com" TargetMode="External"/><Relationship Id="rId534" Type="http://schemas.openxmlformats.org/officeDocument/2006/relationships/hyperlink" Target="mailto:ebenjamin@etsy.com" TargetMode="External"/><Relationship Id="rId533" Type="http://schemas.openxmlformats.org/officeDocument/2006/relationships/hyperlink" Target="mailto:csu@etsy.com" TargetMode="External"/><Relationship Id="rId539" Type="http://schemas.openxmlformats.org/officeDocument/2006/relationships/hyperlink" Target="mailto:csu@etsy.com" TargetMode="External"/><Relationship Id="rId538" Type="http://schemas.openxmlformats.org/officeDocument/2006/relationships/hyperlink" Target="mailto:whuang@etsy.com" TargetMode="External"/><Relationship Id="rId537" Type="http://schemas.openxmlformats.org/officeDocument/2006/relationships/hyperlink" Target="mailto:ebenjamin@etsy.com" TargetMode="External"/><Relationship Id="rId1120" Type="http://schemas.openxmlformats.org/officeDocument/2006/relationships/hyperlink" Target="mailto:whuang@etsy.com" TargetMode="External"/><Relationship Id="rId532" Type="http://schemas.openxmlformats.org/officeDocument/2006/relationships/hyperlink" Target="mailto:whuang@etsy.com" TargetMode="External"/><Relationship Id="rId1121" Type="http://schemas.openxmlformats.org/officeDocument/2006/relationships/hyperlink" Target="mailto:aangeleas@etsy.com" TargetMode="External"/><Relationship Id="rId531" Type="http://schemas.openxmlformats.org/officeDocument/2006/relationships/hyperlink" Target="mailto:ebenjamin@etsy.com" TargetMode="External"/><Relationship Id="rId1122" Type="http://schemas.openxmlformats.org/officeDocument/2006/relationships/hyperlink" Target="mailto:yzhang@etsy.com" TargetMode="External"/><Relationship Id="rId530" Type="http://schemas.openxmlformats.org/officeDocument/2006/relationships/hyperlink" Target="mailto:csu@etsy.com" TargetMode="External"/><Relationship Id="rId1123" Type="http://schemas.openxmlformats.org/officeDocument/2006/relationships/hyperlink" Target="mailto:whuang@etsy.com" TargetMode="External"/><Relationship Id="rId1124" Type="http://schemas.openxmlformats.org/officeDocument/2006/relationships/hyperlink" Target="mailto:aangeleas@etsy.com" TargetMode="External"/><Relationship Id="rId1158" Type="http://schemas.openxmlformats.org/officeDocument/2006/relationships/hyperlink" Target="mailto:yzhang@etsy.com" TargetMode="External"/><Relationship Id="rId2005" Type="http://schemas.openxmlformats.org/officeDocument/2006/relationships/hyperlink" Target="mailto:whuang@etsy.com" TargetMode="External"/><Relationship Id="rId1159" Type="http://schemas.openxmlformats.org/officeDocument/2006/relationships/hyperlink" Target="mailto:whuang@etsy.com" TargetMode="External"/><Relationship Id="rId2006" Type="http://schemas.openxmlformats.org/officeDocument/2006/relationships/hyperlink" Target="mailto:ebenjamin@etsy.com" TargetMode="External"/><Relationship Id="rId2007" Type="http://schemas.openxmlformats.org/officeDocument/2006/relationships/hyperlink" Target="mailto:yzhang@etsy.com" TargetMode="External"/><Relationship Id="rId2008" Type="http://schemas.openxmlformats.org/officeDocument/2006/relationships/hyperlink" Target="mailto:whuang@etsy.com" TargetMode="External"/><Relationship Id="rId2009" Type="http://schemas.openxmlformats.org/officeDocument/2006/relationships/hyperlink" Target="mailto:ebenjamin@etsy.com" TargetMode="External"/><Relationship Id="rId569" Type="http://schemas.openxmlformats.org/officeDocument/2006/relationships/hyperlink" Target="mailto:csu@etsy.com" TargetMode="External"/><Relationship Id="rId568" Type="http://schemas.openxmlformats.org/officeDocument/2006/relationships/hyperlink" Target="mailto:whuang@etsy.com" TargetMode="External"/><Relationship Id="rId567" Type="http://schemas.openxmlformats.org/officeDocument/2006/relationships/hyperlink" Target="mailto:ebenjamin@etsy.com" TargetMode="External"/><Relationship Id="rId566" Type="http://schemas.openxmlformats.org/officeDocument/2006/relationships/hyperlink" Target="mailto:csu@etsy.com" TargetMode="External"/><Relationship Id="rId561" Type="http://schemas.openxmlformats.org/officeDocument/2006/relationships/hyperlink" Target="mailto:ebenjamin@etsy.com" TargetMode="External"/><Relationship Id="rId1150" Type="http://schemas.openxmlformats.org/officeDocument/2006/relationships/hyperlink" Target="mailto:whuang@etsy.com" TargetMode="External"/><Relationship Id="rId560" Type="http://schemas.openxmlformats.org/officeDocument/2006/relationships/hyperlink" Target="mailto:csu@etsy.com" TargetMode="External"/><Relationship Id="rId1151" Type="http://schemas.openxmlformats.org/officeDocument/2006/relationships/hyperlink" Target="mailto:aangeleas@etsy.com" TargetMode="External"/><Relationship Id="rId1152" Type="http://schemas.openxmlformats.org/officeDocument/2006/relationships/hyperlink" Target="mailto:yzhang@etsy.com" TargetMode="External"/><Relationship Id="rId1153" Type="http://schemas.openxmlformats.org/officeDocument/2006/relationships/hyperlink" Target="mailto:whuang@etsy.com" TargetMode="External"/><Relationship Id="rId2000" Type="http://schemas.openxmlformats.org/officeDocument/2006/relationships/hyperlink" Target="mailto:ebenjamin@etsy.com" TargetMode="External"/><Relationship Id="rId565" Type="http://schemas.openxmlformats.org/officeDocument/2006/relationships/hyperlink" Target="mailto:whuang@etsy.com" TargetMode="External"/><Relationship Id="rId1154" Type="http://schemas.openxmlformats.org/officeDocument/2006/relationships/hyperlink" Target="mailto:aangeleas@etsy.com" TargetMode="External"/><Relationship Id="rId2001" Type="http://schemas.openxmlformats.org/officeDocument/2006/relationships/hyperlink" Target="mailto:yzhang@etsy.com" TargetMode="External"/><Relationship Id="rId564" Type="http://schemas.openxmlformats.org/officeDocument/2006/relationships/hyperlink" Target="mailto:ebenjamin@etsy.com" TargetMode="External"/><Relationship Id="rId1155" Type="http://schemas.openxmlformats.org/officeDocument/2006/relationships/hyperlink" Target="mailto:yzhang@etsy.com" TargetMode="External"/><Relationship Id="rId2002" Type="http://schemas.openxmlformats.org/officeDocument/2006/relationships/hyperlink" Target="mailto:whuang@etsy.com" TargetMode="External"/><Relationship Id="rId563" Type="http://schemas.openxmlformats.org/officeDocument/2006/relationships/hyperlink" Target="mailto:csu@etsy.com" TargetMode="External"/><Relationship Id="rId1156" Type="http://schemas.openxmlformats.org/officeDocument/2006/relationships/hyperlink" Target="mailto:whuang@etsy.com" TargetMode="External"/><Relationship Id="rId2003" Type="http://schemas.openxmlformats.org/officeDocument/2006/relationships/hyperlink" Target="mailto:ebenjamin@etsy.com" TargetMode="External"/><Relationship Id="rId562" Type="http://schemas.openxmlformats.org/officeDocument/2006/relationships/hyperlink" Target="mailto:whuang@etsy.com" TargetMode="External"/><Relationship Id="rId1157" Type="http://schemas.openxmlformats.org/officeDocument/2006/relationships/hyperlink" Target="mailto:aangeleas@etsy.com" TargetMode="External"/><Relationship Id="rId2004" Type="http://schemas.openxmlformats.org/officeDocument/2006/relationships/hyperlink" Target="mailto:yzhang@etsy.com" TargetMode="External"/><Relationship Id="rId1147" Type="http://schemas.openxmlformats.org/officeDocument/2006/relationships/hyperlink" Target="mailto:whuang@etsy.com" TargetMode="External"/><Relationship Id="rId1148" Type="http://schemas.openxmlformats.org/officeDocument/2006/relationships/hyperlink" Target="mailto:aangeleas@etsy.com" TargetMode="External"/><Relationship Id="rId1149" Type="http://schemas.openxmlformats.org/officeDocument/2006/relationships/hyperlink" Target="mailto:yzhang@etsy.com" TargetMode="External"/><Relationship Id="rId558" Type="http://schemas.openxmlformats.org/officeDocument/2006/relationships/hyperlink" Target="mailto:ebenjamin@etsy.com" TargetMode="External"/><Relationship Id="rId557" Type="http://schemas.openxmlformats.org/officeDocument/2006/relationships/hyperlink" Target="mailto:csu@etsy.com" TargetMode="External"/><Relationship Id="rId556" Type="http://schemas.openxmlformats.org/officeDocument/2006/relationships/hyperlink" Target="mailto:whuang@etsy.com" TargetMode="External"/><Relationship Id="rId555" Type="http://schemas.openxmlformats.org/officeDocument/2006/relationships/hyperlink" Target="mailto:ebenjamin@etsy.com" TargetMode="External"/><Relationship Id="rId559" Type="http://schemas.openxmlformats.org/officeDocument/2006/relationships/hyperlink" Target="mailto:whuang@etsy.com" TargetMode="External"/><Relationship Id="rId550" Type="http://schemas.openxmlformats.org/officeDocument/2006/relationships/hyperlink" Target="mailto:whuang@etsy.com" TargetMode="External"/><Relationship Id="rId1140" Type="http://schemas.openxmlformats.org/officeDocument/2006/relationships/hyperlink" Target="mailto:yzhang@etsy.com" TargetMode="External"/><Relationship Id="rId1141" Type="http://schemas.openxmlformats.org/officeDocument/2006/relationships/hyperlink" Target="mailto:whuang@etsy.com" TargetMode="External"/><Relationship Id="rId1142" Type="http://schemas.openxmlformats.org/officeDocument/2006/relationships/hyperlink" Target="mailto:aangeleas@etsy.com" TargetMode="External"/><Relationship Id="rId554" Type="http://schemas.openxmlformats.org/officeDocument/2006/relationships/hyperlink" Target="mailto:csu@etsy.com" TargetMode="External"/><Relationship Id="rId1143" Type="http://schemas.openxmlformats.org/officeDocument/2006/relationships/hyperlink" Target="mailto:yzhang@etsy.com" TargetMode="External"/><Relationship Id="rId553" Type="http://schemas.openxmlformats.org/officeDocument/2006/relationships/hyperlink" Target="mailto:whuang@etsy.com" TargetMode="External"/><Relationship Id="rId1144" Type="http://schemas.openxmlformats.org/officeDocument/2006/relationships/hyperlink" Target="mailto:whuang@etsy.com" TargetMode="External"/><Relationship Id="rId552" Type="http://schemas.openxmlformats.org/officeDocument/2006/relationships/hyperlink" Target="mailto:ebenjamin@etsy.com" TargetMode="External"/><Relationship Id="rId1145" Type="http://schemas.openxmlformats.org/officeDocument/2006/relationships/hyperlink" Target="mailto:aangeleas@etsy.com" TargetMode="External"/><Relationship Id="rId551" Type="http://schemas.openxmlformats.org/officeDocument/2006/relationships/hyperlink" Target="mailto:csu@etsy.com" TargetMode="External"/><Relationship Id="rId1146" Type="http://schemas.openxmlformats.org/officeDocument/2006/relationships/hyperlink" Target="mailto:yzhang@etsy.com" TargetMode="External"/><Relationship Id="rId2090" Type="http://schemas.openxmlformats.org/officeDocument/2006/relationships/hyperlink" Target="mailto:ebenjamin@etsy.com" TargetMode="External"/><Relationship Id="rId2091" Type="http://schemas.openxmlformats.org/officeDocument/2006/relationships/hyperlink" Target="mailto:yzhang@etsy.com" TargetMode="External"/><Relationship Id="rId2092" Type="http://schemas.openxmlformats.org/officeDocument/2006/relationships/hyperlink" Target="mailto:whuang@etsy.com" TargetMode="External"/><Relationship Id="rId2093" Type="http://schemas.openxmlformats.org/officeDocument/2006/relationships/hyperlink" Target="mailto:ebenjamin@etsy.com" TargetMode="External"/><Relationship Id="rId2094" Type="http://schemas.openxmlformats.org/officeDocument/2006/relationships/hyperlink" Target="mailto:yzhang@etsy.com" TargetMode="External"/><Relationship Id="rId2095" Type="http://schemas.openxmlformats.org/officeDocument/2006/relationships/hyperlink" Target="mailto:whuang@etsy.com" TargetMode="External"/><Relationship Id="rId2096" Type="http://schemas.openxmlformats.org/officeDocument/2006/relationships/hyperlink" Target="mailto:ebenjamin@etsy.com" TargetMode="External"/><Relationship Id="rId2097" Type="http://schemas.openxmlformats.org/officeDocument/2006/relationships/hyperlink" Target="mailto:yzhang@etsy.com" TargetMode="External"/><Relationship Id="rId2098" Type="http://schemas.openxmlformats.org/officeDocument/2006/relationships/hyperlink" Target="mailto:whuang@etsy.com" TargetMode="External"/><Relationship Id="rId2099" Type="http://schemas.openxmlformats.org/officeDocument/2006/relationships/hyperlink" Target="mailto:ebenjamin@etsy.com" TargetMode="External"/><Relationship Id="rId2060" Type="http://schemas.openxmlformats.org/officeDocument/2006/relationships/hyperlink" Target="mailto:ebenjamin@etsy.com" TargetMode="External"/><Relationship Id="rId2061" Type="http://schemas.openxmlformats.org/officeDocument/2006/relationships/hyperlink" Target="mailto:yzhang@etsy.com" TargetMode="External"/><Relationship Id="rId2062" Type="http://schemas.openxmlformats.org/officeDocument/2006/relationships/hyperlink" Target="mailto:whuang@etsy.com" TargetMode="External"/><Relationship Id="rId2063" Type="http://schemas.openxmlformats.org/officeDocument/2006/relationships/hyperlink" Target="mailto:ebenjamin@etsy.com" TargetMode="External"/><Relationship Id="rId2064" Type="http://schemas.openxmlformats.org/officeDocument/2006/relationships/hyperlink" Target="mailto:yzhang@etsy.com" TargetMode="External"/><Relationship Id="rId2065" Type="http://schemas.openxmlformats.org/officeDocument/2006/relationships/hyperlink" Target="mailto:whuang@etsy.com" TargetMode="External"/><Relationship Id="rId2066" Type="http://schemas.openxmlformats.org/officeDocument/2006/relationships/hyperlink" Target="mailto:ebenjamin@etsy.com" TargetMode="External"/><Relationship Id="rId2067" Type="http://schemas.openxmlformats.org/officeDocument/2006/relationships/hyperlink" Target="mailto:yzhang@etsy.com" TargetMode="External"/><Relationship Id="rId2068" Type="http://schemas.openxmlformats.org/officeDocument/2006/relationships/hyperlink" Target="mailto:whuang@etsy.com" TargetMode="External"/><Relationship Id="rId2069" Type="http://schemas.openxmlformats.org/officeDocument/2006/relationships/hyperlink" Target="mailto:ebenjamin@etsy.com" TargetMode="External"/><Relationship Id="rId2050" Type="http://schemas.openxmlformats.org/officeDocument/2006/relationships/hyperlink" Target="mailto:whuang@etsy.com" TargetMode="External"/><Relationship Id="rId2051" Type="http://schemas.openxmlformats.org/officeDocument/2006/relationships/hyperlink" Target="mailto:ebenjamin@etsy.com" TargetMode="External"/><Relationship Id="rId495" Type="http://schemas.openxmlformats.org/officeDocument/2006/relationships/hyperlink" Target="mailto:ebenjamin@etsy.com" TargetMode="External"/><Relationship Id="rId2052" Type="http://schemas.openxmlformats.org/officeDocument/2006/relationships/hyperlink" Target="mailto:yzhang@etsy.com" TargetMode="External"/><Relationship Id="rId494" Type="http://schemas.openxmlformats.org/officeDocument/2006/relationships/hyperlink" Target="mailto:csu@etsy.com" TargetMode="External"/><Relationship Id="rId2053" Type="http://schemas.openxmlformats.org/officeDocument/2006/relationships/hyperlink" Target="mailto:whuang@etsy.com" TargetMode="External"/><Relationship Id="rId493" Type="http://schemas.openxmlformats.org/officeDocument/2006/relationships/hyperlink" Target="mailto:whuang@etsy.com" TargetMode="External"/><Relationship Id="rId2054" Type="http://schemas.openxmlformats.org/officeDocument/2006/relationships/hyperlink" Target="mailto:ebenjamin@etsy.com" TargetMode="External"/><Relationship Id="rId492" Type="http://schemas.openxmlformats.org/officeDocument/2006/relationships/hyperlink" Target="mailto:ebenjamin@etsy.com" TargetMode="External"/><Relationship Id="rId2055" Type="http://schemas.openxmlformats.org/officeDocument/2006/relationships/hyperlink" Target="mailto:yzhang@etsy.com" TargetMode="External"/><Relationship Id="rId499" Type="http://schemas.openxmlformats.org/officeDocument/2006/relationships/hyperlink" Target="mailto:whuang@etsy.com" TargetMode="External"/><Relationship Id="rId2056" Type="http://schemas.openxmlformats.org/officeDocument/2006/relationships/hyperlink" Target="mailto:whuang@etsy.com" TargetMode="External"/><Relationship Id="rId498" Type="http://schemas.openxmlformats.org/officeDocument/2006/relationships/hyperlink" Target="mailto:ebenjamin@etsy.com" TargetMode="External"/><Relationship Id="rId2057" Type="http://schemas.openxmlformats.org/officeDocument/2006/relationships/hyperlink" Target="mailto:ebenjamin@etsy.com" TargetMode="External"/><Relationship Id="rId497" Type="http://schemas.openxmlformats.org/officeDocument/2006/relationships/hyperlink" Target="mailto:csu@etsy.com" TargetMode="External"/><Relationship Id="rId2058" Type="http://schemas.openxmlformats.org/officeDocument/2006/relationships/hyperlink" Target="mailto:yzhang@etsy.com" TargetMode="External"/><Relationship Id="rId496" Type="http://schemas.openxmlformats.org/officeDocument/2006/relationships/hyperlink" Target="mailto:whuang@etsy.com" TargetMode="External"/><Relationship Id="rId2059" Type="http://schemas.openxmlformats.org/officeDocument/2006/relationships/hyperlink" Target="mailto:whuang@etsy.com" TargetMode="External"/><Relationship Id="rId2080" Type="http://schemas.openxmlformats.org/officeDocument/2006/relationships/hyperlink" Target="mailto:whuang@etsy.com" TargetMode="External"/><Relationship Id="rId2081" Type="http://schemas.openxmlformats.org/officeDocument/2006/relationships/hyperlink" Target="mailto:ebenjamin@etsy.com" TargetMode="External"/><Relationship Id="rId2082" Type="http://schemas.openxmlformats.org/officeDocument/2006/relationships/hyperlink" Target="mailto:yzhang@etsy.com" TargetMode="External"/><Relationship Id="rId2083" Type="http://schemas.openxmlformats.org/officeDocument/2006/relationships/hyperlink" Target="mailto:whuang@etsy.com" TargetMode="External"/><Relationship Id="rId2084" Type="http://schemas.openxmlformats.org/officeDocument/2006/relationships/hyperlink" Target="mailto:ebenjamin@etsy.com" TargetMode="External"/><Relationship Id="rId2085" Type="http://schemas.openxmlformats.org/officeDocument/2006/relationships/hyperlink" Target="mailto:yzhang@etsy.com" TargetMode="External"/><Relationship Id="rId2086" Type="http://schemas.openxmlformats.org/officeDocument/2006/relationships/hyperlink" Target="mailto:whuang@etsy.com" TargetMode="External"/><Relationship Id="rId2087" Type="http://schemas.openxmlformats.org/officeDocument/2006/relationships/hyperlink" Target="mailto:ebenjamin@etsy.com" TargetMode="External"/><Relationship Id="rId2088" Type="http://schemas.openxmlformats.org/officeDocument/2006/relationships/hyperlink" Target="mailto:yzhang@etsy.com" TargetMode="External"/><Relationship Id="rId2089" Type="http://schemas.openxmlformats.org/officeDocument/2006/relationships/hyperlink" Target="mailto:whuang@etsy.com" TargetMode="External"/><Relationship Id="rId2070" Type="http://schemas.openxmlformats.org/officeDocument/2006/relationships/hyperlink" Target="mailto:yzhang@etsy.com" TargetMode="External"/><Relationship Id="rId2071" Type="http://schemas.openxmlformats.org/officeDocument/2006/relationships/hyperlink" Target="mailto:whuang@etsy.com" TargetMode="External"/><Relationship Id="rId2072" Type="http://schemas.openxmlformats.org/officeDocument/2006/relationships/hyperlink" Target="mailto:ebenjamin@etsy.com" TargetMode="External"/><Relationship Id="rId2073" Type="http://schemas.openxmlformats.org/officeDocument/2006/relationships/hyperlink" Target="mailto:yzhang@etsy.com" TargetMode="External"/><Relationship Id="rId2074" Type="http://schemas.openxmlformats.org/officeDocument/2006/relationships/hyperlink" Target="mailto:whuang@etsy.com" TargetMode="External"/><Relationship Id="rId2075" Type="http://schemas.openxmlformats.org/officeDocument/2006/relationships/hyperlink" Target="mailto:ebenjamin@etsy.com" TargetMode="External"/><Relationship Id="rId2076" Type="http://schemas.openxmlformats.org/officeDocument/2006/relationships/hyperlink" Target="mailto:yzhang@etsy.com" TargetMode="External"/><Relationship Id="rId2077" Type="http://schemas.openxmlformats.org/officeDocument/2006/relationships/hyperlink" Target="mailto:whuang@etsy.com" TargetMode="External"/><Relationship Id="rId2078" Type="http://schemas.openxmlformats.org/officeDocument/2006/relationships/hyperlink" Target="mailto:ebenjamin@etsy.com" TargetMode="External"/><Relationship Id="rId2079" Type="http://schemas.openxmlformats.org/officeDocument/2006/relationships/hyperlink" Target="mailto:yzhang@etsy.com" TargetMode="External"/><Relationship Id="rId1610" Type="http://schemas.openxmlformats.org/officeDocument/2006/relationships/hyperlink" Target="mailto:aangeleas@etsy.com" TargetMode="External"/><Relationship Id="rId1611" Type="http://schemas.openxmlformats.org/officeDocument/2006/relationships/hyperlink" Target="mailto:ebenjamin@etsy.com" TargetMode="External"/><Relationship Id="rId1612" Type="http://schemas.openxmlformats.org/officeDocument/2006/relationships/hyperlink" Target="mailto:whuang@etsy.com" TargetMode="External"/><Relationship Id="rId1613" Type="http://schemas.openxmlformats.org/officeDocument/2006/relationships/hyperlink" Target="mailto:aangeleas@etsy.com" TargetMode="External"/><Relationship Id="rId1614" Type="http://schemas.openxmlformats.org/officeDocument/2006/relationships/hyperlink" Target="mailto:ebenjamin@etsy.com" TargetMode="External"/><Relationship Id="rId1615" Type="http://schemas.openxmlformats.org/officeDocument/2006/relationships/hyperlink" Target="mailto:whuang@etsy.com" TargetMode="External"/><Relationship Id="rId1616" Type="http://schemas.openxmlformats.org/officeDocument/2006/relationships/hyperlink" Target="mailto:aangeleas@etsy.com" TargetMode="External"/><Relationship Id="rId907" Type="http://schemas.openxmlformats.org/officeDocument/2006/relationships/hyperlink" Target="mailto:whuang@etsy.com" TargetMode="External"/><Relationship Id="rId1617" Type="http://schemas.openxmlformats.org/officeDocument/2006/relationships/hyperlink" Target="mailto:ebenjamin@etsy.com" TargetMode="External"/><Relationship Id="rId906" Type="http://schemas.openxmlformats.org/officeDocument/2006/relationships/hyperlink" Target="mailto:yzhang@etsy.com" TargetMode="External"/><Relationship Id="rId1618" Type="http://schemas.openxmlformats.org/officeDocument/2006/relationships/hyperlink" Target="mailto:whuang@etsy.com" TargetMode="External"/><Relationship Id="rId905" Type="http://schemas.openxmlformats.org/officeDocument/2006/relationships/hyperlink" Target="mailto:csu@etsy.com" TargetMode="External"/><Relationship Id="rId1619" Type="http://schemas.openxmlformats.org/officeDocument/2006/relationships/hyperlink" Target="mailto:aangeleas@etsy.com" TargetMode="External"/><Relationship Id="rId904" Type="http://schemas.openxmlformats.org/officeDocument/2006/relationships/hyperlink" Target="mailto:whuang@etsy.com" TargetMode="External"/><Relationship Id="rId909" Type="http://schemas.openxmlformats.org/officeDocument/2006/relationships/hyperlink" Target="mailto:yzhang@etsy.com" TargetMode="External"/><Relationship Id="rId908" Type="http://schemas.openxmlformats.org/officeDocument/2006/relationships/hyperlink" Target="mailto:csu@etsy.com" TargetMode="External"/><Relationship Id="rId903" Type="http://schemas.openxmlformats.org/officeDocument/2006/relationships/hyperlink" Target="mailto:yzhang@etsy.com" TargetMode="External"/><Relationship Id="rId902" Type="http://schemas.openxmlformats.org/officeDocument/2006/relationships/hyperlink" Target="mailto:csu@etsy.com" TargetMode="External"/><Relationship Id="rId901" Type="http://schemas.openxmlformats.org/officeDocument/2006/relationships/hyperlink" Target="mailto:whuang@etsy.com" TargetMode="External"/><Relationship Id="rId900" Type="http://schemas.openxmlformats.org/officeDocument/2006/relationships/hyperlink" Target="mailto:yzhang@etsy.com" TargetMode="External"/><Relationship Id="rId1600" Type="http://schemas.openxmlformats.org/officeDocument/2006/relationships/hyperlink" Target="mailto:whuang@etsy.com" TargetMode="External"/><Relationship Id="rId1601" Type="http://schemas.openxmlformats.org/officeDocument/2006/relationships/hyperlink" Target="mailto:aangeleas@etsy.com" TargetMode="External"/><Relationship Id="rId1602" Type="http://schemas.openxmlformats.org/officeDocument/2006/relationships/hyperlink" Target="mailto:ebenjamin@etsy.com" TargetMode="External"/><Relationship Id="rId1603" Type="http://schemas.openxmlformats.org/officeDocument/2006/relationships/hyperlink" Target="mailto:whuang@etsy.com" TargetMode="External"/><Relationship Id="rId1604" Type="http://schemas.openxmlformats.org/officeDocument/2006/relationships/hyperlink" Target="mailto:aangeleas@etsy.com" TargetMode="External"/><Relationship Id="rId1605" Type="http://schemas.openxmlformats.org/officeDocument/2006/relationships/hyperlink" Target="mailto:ebenjamin@etsy.com" TargetMode="External"/><Relationship Id="rId1606" Type="http://schemas.openxmlformats.org/officeDocument/2006/relationships/hyperlink" Target="mailto:whuang@etsy.com" TargetMode="External"/><Relationship Id="rId1607" Type="http://schemas.openxmlformats.org/officeDocument/2006/relationships/hyperlink" Target="mailto:aangeleas@etsy.com" TargetMode="External"/><Relationship Id="rId1608" Type="http://schemas.openxmlformats.org/officeDocument/2006/relationships/hyperlink" Target="mailto:ebenjamin@etsy.com" TargetMode="External"/><Relationship Id="rId1609" Type="http://schemas.openxmlformats.org/officeDocument/2006/relationships/hyperlink" Target="mailto:whuang@etsy.com" TargetMode="External"/><Relationship Id="rId1631" Type="http://schemas.openxmlformats.org/officeDocument/2006/relationships/hyperlink" Target="mailto:aangeleas@etsy.com" TargetMode="External"/><Relationship Id="rId1632" Type="http://schemas.openxmlformats.org/officeDocument/2006/relationships/hyperlink" Target="mailto:ebenjamin@etsy.com" TargetMode="External"/><Relationship Id="rId1633" Type="http://schemas.openxmlformats.org/officeDocument/2006/relationships/hyperlink" Target="mailto:whuang@etsy.com" TargetMode="External"/><Relationship Id="rId1634" Type="http://schemas.openxmlformats.org/officeDocument/2006/relationships/hyperlink" Target="mailto:aangeleas@etsy.com" TargetMode="External"/><Relationship Id="rId1635" Type="http://schemas.openxmlformats.org/officeDocument/2006/relationships/hyperlink" Target="mailto:ebenjamin@etsy.com" TargetMode="External"/><Relationship Id="rId1636" Type="http://schemas.openxmlformats.org/officeDocument/2006/relationships/hyperlink" Target="mailto:whuang@etsy.com" TargetMode="External"/><Relationship Id="rId1637" Type="http://schemas.openxmlformats.org/officeDocument/2006/relationships/hyperlink" Target="mailto:aangeleas@etsy.com" TargetMode="External"/><Relationship Id="rId1638" Type="http://schemas.openxmlformats.org/officeDocument/2006/relationships/hyperlink" Target="mailto:ebenjamin@etsy.com" TargetMode="External"/><Relationship Id="rId929" Type="http://schemas.openxmlformats.org/officeDocument/2006/relationships/hyperlink" Target="mailto:csu@etsy.com" TargetMode="External"/><Relationship Id="rId1639" Type="http://schemas.openxmlformats.org/officeDocument/2006/relationships/hyperlink" Target="mailto:whuang@etsy.com" TargetMode="External"/><Relationship Id="rId928" Type="http://schemas.openxmlformats.org/officeDocument/2006/relationships/hyperlink" Target="mailto:whuang@etsy.com" TargetMode="External"/><Relationship Id="rId927" Type="http://schemas.openxmlformats.org/officeDocument/2006/relationships/hyperlink" Target="mailto:yzhang@etsy.com" TargetMode="External"/><Relationship Id="rId926" Type="http://schemas.openxmlformats.org/officeDocument/2006/relationships/hyperlink" Target="mailto:csu@etsy.com" TargetMode="External"/><Relationship Id="rId921" Type="http://schemas.openxmlformats.org/officeDocument/2006/relationships/hyperlink" Target="mailto:yzhang@etsy.com" TargetMode="External"/><Relationship Id="rId920" Type="http://schemas.openxmlformats.org/officeDocument/2006/relationships/hyperlink" Target="mailto:csu@etsy.com" TargetMode="External"/><Relationship Id="rId925" Type="http://schemas.openxmlformats.org/officeDocument/2006/relationships/hyperlink" Target="mailto:whuang@etsy.com" TargetMode="External"/><Relationship Id="rId924" Type="http://schemas.openxmlformats.org/officeDocument/2006/relationships/hyperlink" Target="mailto:yzhang@etsy.com" TargetMode="External"/><Relationship Id="rId923" Type="http://schemas.openxmlformats.org/officeDocument/2006/relationships/hyperlink" Target="mailto:csu@etsy.com" TargetMode="External"/><Relationship Id="rId922" Type="http://schemas.openxmlformats.org/officeDocument/2006/relationships/hyperlink" Target="mailto:whuang@etsy.com" TargetMode="External"/><Relationship Id="rId1630" Type="http://schemas.openxmlformats.org/officeDocument/2006/relationships/hyperlink" Target="mailto:whuang@etsy.com" TargetMode="External"/><Relationship Id="rId1620" Type="http://schemas.openxmlformats.org/officeDocument/2006/relationships/hyperlink" Target="mailto:ebenjamin@etsy.com" TargetMode="External"/><Relationship Id="rId1621" Type="http://schemas.openxmlformats.org/officeDocument/2006/relationships/hyperlink" Target="mailto:whuang@etsy.com" TargetMode="External"/><Relationship Id="rId1622" Type="http://schemas.openxmlformats.org/officeDocument/2006/relationships/hyperlink" Target="mailto:aangeleas@etsy.com" TargetMode="External"/><Relationship Id="rId1623" Type="http://schemas.openxmlformats.org/officeDocument/2006/relationships/hyperlink" Target="mailto:ebenjamin@etsy.com" TargetMode="External"/><Relationship Id="rId1624" Type="http://schemas.openxmlformats.org/officeDocument/2006/relationships/hyperlink" Target="mailto:whuang@etsy.com" TargetMode="External"/><Relationship Id="rId1625" Type="http://schemas.openxmlformats.org/officeDocument/2006/relationships/hyperlink" Target="mailto:aangeleas@etsy.com" TargetMode="External"/><Relationship Id="rId1626" Type="http://schemas.openxmlformats.org/officeDocument/2006/relationships/hyperlink" Target="mailto:ebenjamin@etsy.com" TargetMode="External"/><Relationship Id="rId1627" Type="http://schemas.openxmlformats.org/officeDocument/2006/relationships/hyperlink" Target="mailto:whuang@etsy.com" TargetMode="External"/><Relationship Id="rId918" Type="http://schemas.openxmlformats.org/officeDocument/2006/relationships/hyperlink" Target="mailto:yzhang@etsy.com" TargetMode="External"/><Relationship Id="rId1628" Type="http://schemas.openxmlformats.org/officeDocument/2006/relationships/hyperlink" Target="mailto:aangeleas@etsy.com" TargetMode="External"/><Relationship Id="rId917" Type="http://schemas.openxmlformats.org/officeDocument/2006/relationships/hyperlink" Target="mailto:csu@etsy.com" TargetMode="External"/><Relationship Id="rId1629" Type="http://schemas.openxmlformats.org/officeDocument/2006/relationships/hyperlink" Target="mailto:ebenjamin@etsy.com" TargetMode="External"/><Relationship Id="rId916" Type="http://schemas.openxmlformats.org/officeDocument/2006/relationships/hyperlink" Target="mailto:whuang@etsy.com" TargetMode="External"/><Relationship Id="rId915" Type="http://schemas.openxmlformats.org/officeDocument/2006/relationships/hyperlink" Target="mailto:yzhang@etsy.com" TargetMode="External"/><Relationship Id="rId919" Type="http://schemas.openxmlformats.org/officeDocument/2006/relationships/hyperlink" Target="mailto:whuang@etsy.com" TargetMode="External"/><Relationship Id="rId910" Type="http://schemas.openxmlformats.org/officeDocument/2006/relationships/hyperlink" Target="mailto:whuang@etsy.com" TargetMode="External"/><Relationship Id="rId914" Type="http://schemas.openxmlformats.org/officeDocument/2006/relationships/hyperlink" Target="mailto:csu@etsy.com" TargetMode="External"/><Relationship Id="rId913" Type="http://schemas.openxmlformats.org/officeDocument/2006/relationships/hyperlink" Target="mailto:whuang@etsy.com" TargetMode="External"/><Relationship Id="rId912" Type="http://schemas.openxmlformats.org/officeDocument/2006/relationships/hyperlink" Target="mailto:yzhang@etsy.com" TargetMode="External"/><Relationship Id="rId911" Type="http://schemas.openxmlformats.org/officeDocument/2006/relationships/hyperlink" Target="mailto:csu@etsy.com" TargetMode="External"/><Relationship Id="rId1213" Type="http://schemas.openxmlformats.org/officeDocument/2006/relationships/hyperlink" Target="mailto:whuang@etsy.com" TargetMode="External"/><Relationship Id="rId1697" Type="http://schemas.openxmlformats.org/officeDocument/2006/relationships/hyperlink" Target="mailto:aangeleas@etsy.com" TargetMode="External"/><Relationship Id="rId1214" Type="http://schemas.openxmlformats.org/officeDocument/2006/relationships/hyperlink" Target="mailto:aangeleas@etsy.com" TargetMode="External"/><Relationship Id="rId1698" Type="http://schemas.openxmlformats.org/officeDocument/2006/relationships/hyperlink" Target="mailto:ebenjamin@etsy.com" TargetMode="External"/><Relationship Id="rId1215" Type="http://schemas.openxmlformats.org/officeDocument/2006/relationships/hyperlink" Target="mailto:yzhang@etsy.com" TargetMode="External"/><Relationship Id="rId1699" Type="http://schemas.openxmlformats.org/officeDocument/2006/relationships/hyperlink" Target="mailto:whuang@etsy.com" TargetMode="External"/><Relationship Id="rId1216" Type="http://schemas.openxmlformats.org/officeDocument/2006/relationships/hyperlink" Target="mailto:whuang@etsy.com" TargetMode="External"/><Relationship Id="rId1217" Type="http://schemas.openxmlformats.org/officeDocument/2006/relationships/hyperlink" Target="mailto:aangeleas@etsy.com" TargetMode="External"/><Relationship Id="rId1218" Type="http://schemas.openxmlformats.org/officeDocument/2006/relationships/hyperlink" Target="mailto:yzhang@etsy.com" TargetMode="External"/><Relationship Id="rId1219" Type="http://schemas.openxmlformats.org/officeDocument/2006/relationships/hyperlink" Target="mailto:whuang@etsy.com" TargetMode="External"/><Relationship Id="rId866" Type="http://schemas.openxmlformats.org/officeDocument/2006/relationships/hyperlink" Target="mailto:csu@etsy.com" TargetMode="External"/><Relationship Id="rId865" Type="http://schemas.openxmlformats.org/officeDocument/2006/relationships/hyperlink" Target="mailto:whuang@etsy.com" TargetMode="External"/><Relationship Id="rId864" Type="http://schemas.openxmlformats.org/officeDocument/2006/relationships/hyperlink" Target="mailto:yzhang@etsy.com" TargetMode="External"/><Relationship Id="rId863" Type="http://schemas.openxmlformats.org/officeDocument/2006/relationships/hyperlink" Target="mailto:csu@etsy.com" TargetMode="External"/><Relationship Id="rId869" Type="http://schemas.openxmlformats.org/officeDocument/2006/relationships/hyperlink" Target="mailto:csu@etsy.com" TargetMode="External"/><Relationship Id="rId868" Type="http://schemas.openxmlformats.org/officeDocument/2006/relationships/hyperlink" Target="mailto:whuang@etsy.com" TargetMode="External"/><Relationship Id="rId867" Type="http://schemas.openxmlformats.org/officeDocument/2006/relationships/hyperlink" Target="mailto:yzhang@etsy.com" TargetMode="External"/><Relationship Id="rId1690" Type="http://schemas.openxmlformats.org/officeDocument/2006/relationships/hyperlink" Target="mailto:whuang@etsy.com" TargetMode="External"/><Relationship Id="rId1691" Type="http://schemas.openxmlformats.org/officeDocument/2006/relationships/hyperlink" Target="mailto:aangeleas@etsy.com" TargetMode="External"/><Relationship Id="rId1692" Type="http://schemas.openxmlformats.org/officeDocument/2006/relationships/hyperlink" Target="mailto:ebenjamin@etsy.com" TargetMode="External"/><Relationship Id="rId862" Type="http://schemas.openxmlformats.org/officeDocument/2006/relationships/hyperlink" Target="mailto:whuang@etsy.com" TargetMode="External"/><Relationship Id="rId1693" Type="http://schemas.openxmlformats.org/officeDocument/2006/relationships/hyperlink" Target="mailto:whuang@etsy.com" TargetMode="External"/><Relationship Id="rId861" Type="http://schemas.openxmlformats.org/officeDocument/2006/relationships/hyperlink" Target="mailto:yzhang@etsy.com" TargetMode="External"/><Relationship Id="rId1210" Type="http://schemas.openxmlformats.org/officeDocument/2006/relationships/hyperlink" Target="mailto:whuang@etsy.com" TargetMode="External"/><Relationship Id="rId1694" Type="http://schemas.openxmlformats.org/officeDocument/2006/relationships/hyperlink" Target="mailto:aangeleas@etsy.com" TargetMode="External"/><Relationship Id="rId860" Type="http://schemas.openxmlformats.org/officeDocument/2006/relationships/hyperlink" Target="mailto:csu@etsy.com" TargetMode="External"/><Relationship Id="rId1211" Type="http://schemas.openxmlformats.org/officeDocument/2006/relationships/hyperlink" Target="mailto:aangeleas@etsy.com" TargetMode="External"/><Relationship Id="rId1695" Type="http://schemas.openxmlformats.org/officeDocument/2006/relationships/hyperlink" Target="mailto:ebenjamin@etsy.com" TargetMode="External"/><Relationship Id="rId1212" Type="http://schemas.openxmlformats.org/officeDocument/2006/relationships/hyperlink" Target="mailto:yzhang@etsy.com" TargetMode="External"/><Relationship Id="rId1696" Type="http://schemas.openxmlformats.org/officeDocument/2006/relationships/hyperlink" Target="mailto:whuang@etsy.com" TargetMode="External"/><Relationship Id="rId1202" Type="http://schemas.openxmlformats.org/officeDocument/2006/relationships/hyperlink" Target="mailto:aangeleas@etsy.com" TargetMode="External"/><Relationship Id="rId1686" Type="http://schemas.openxmlformats.org/officeDocument/2006/relationships/hyperlink" Target="mailto:ebenjamin@etsy.com" TargetMode="External"/><Relationship Id="rId1203" Type="http://schemas.openxmlformats.org/officeDocument/2006/relationships/hyperlink" Target="mailto:yzhang@etsy.com" TargetMode="External"/><Relationship Id="rId1687" Type="http://schemas.openxmlformats.org/officeDocument/2006/relationships/hyperlink" Target="mailto:whuang@etsy.com" TargetMode="External"/><Relationship Id="rId1204" Type="http://schemas.openxmlformats.org/officeDocument/2006/relationships/hyperlink" Target="mailto:whuang@etsy.com" TargetMode="External"/><Relationship Id="rId1688" Type="http://schemas.openxmlformats.org/officeDocument/2006/relationships/hyperlink" Target="mailto:aangeleas@etsy.com" TargetMode="External"/><Relationship Id="rId1205" Type="http://schemas.openxmlformats.org/officeDocument/2006/relationships/hyperlink" Target="mailto:aangeleas@etsy.com" TargetMode="External"/><Relationship Id="rId1689" Type="http://schemas.openxmlformats.org/officeDocument/2006/relationships/hyperlink" Target="mailto:ebenjamin@etsy.com" TargetMode="External"/><Relationship Id="rId1206" Type="http://schemas.openxmlformats.org/officeDocument/2006/relationships/hyperlink" Target="mailto:yzhang@etsy.com" TargetMode="External"/><Relationship Id="rId1207" Type="http://schemas.openxmlformats.org/officeDocument/2006/relationships/hyperlink" Target="mailto:whuang@etsy.com" TargetMode="External"/><Relationship Id="rId1208" Type="http://schemas.openxmlformats.org/officeDocument/2006/relationships/hyperlink" Target="mailto:aangeleas@etsy.com" TargetMode="External"/><Relationship Id="rId1209" Type="http://schemas.openxmlformats.org/officeDocument/2006/relationships/hyperlink" Target="mailto:yzhang@etsy.com" TargetMode="External"/><Relationship Id="rId855" Type="http://schemas.openxmlformats.org/officeDocument/2006/relationships/hyperlink" Target="mailto:yzhang@etsy.com" TargetMode="External"/><Relationship Id="rId854" Type="http://schemas.openxmlformats.org/officeDocument/2006/relationships/hyperlink" Target="mailto:csu@etsy.com" TargetMode="External"/><Relationship Id="rId853" Type="http://schemas.openxmlformats.org/officeDocument/2006/relationships/hyperlink" Target="mailto:whuang@etsy.com" TargetMode="External"/><Relationship Id="rId852" Type="http://schemas.openxmlformats.org/officeDocument/2006/relationships/hyperlink" Target="mailto:yzhang@etsy.com" TargetMode="External"/><Relationship Id="rId859" Type="http://schemas.openxmlformats.org/officeDocument/2006/relationships/hyperlink" Target="mailto:whuang@etsy.com" TargetMode="External"/><Relationship Id="rId858" Type="http://schemas.openxmlformats.org/officeDocument/2006/relationships/hyperlink" Target="mailto:yzhang@etsy.com" TargetMode="External"/><Relationship Id="rId857" Type="http://schemas.openxmlformats.org/officeDocument/2006/relationships/hyperlink" Target="mailto:csu@etsy.com" TargetMode="External"/><Relationship Id="rId856" Type="http://schemas.openxmlformats.org/officeDocument/2006/relationships/hyperlink" Target="mailto:whuang@etsy.com" TargetMode="External"/><Relationship Id="rId1680" Type="http://schemas.openxmlformats.org/officeDocument/2006/relationships/hyperlink" Target="mailto:ebenjamin@etsy.com" TargetMode="External"/><Relationship Id="rId1681" Type="http://schemas.openxmlformats.org/officeDocument/2006/relationships/hyperlink" Target="mailto:whuang@etsy.com" TargetMode="External"/><Relationship Id="rId851" Type="http://schemas.openxmlformats.org/officeDocument/2006/relationships/hyperlink" Target="mailto:csu@etsy.com" TargetMode="External"/><Relationship Id="rId1682" Type="http://schemas.openxmlformats.org/officeDocument/2006/relationships/hyperlink" Target="mailto:aangeleas@etsy.com" TargetMode="External"/><Relationship Id="rId850" Type="http://schemas.openxmlformats.org/officeDocument/2006/relationships/hyperlink" Target="mailto:whuang@etsy.com" TargetMode="External"/><Relationship Id="rId1683" Type="http://schemas.openxmlformats.org/officeDocument/2006/relationships/hyperlink" Target="mailto:ebenjamin@etsy.com" TargetMode="External"/><Relationship Id="rId1200" Type="http://schemas.openxmlformats.org/officeDocument/2006/relationships/hyperlink" Target="mailto:yzhang@etsy.com" TargetMode="External"/><Relationship Id="rId1684" Type="http://schemas.openxmlformats.org/officeDocument/2006/relationships/hyperlink" Target="mailto:whuang@etsy.com" TargetMode="External"/><Relationship Id="rId1201" Type="http://schemas.openxmlformats.org/officeDocument/2006/relationships/hyperlink" Target="mailto:whuang@etsy.com" TargetMode="External"/><Relationship Id="rId1685" Type="http://schemas.openxmlformats.org/officeDocument/2006/relationships/hyperlink" Target="mailto:aangeleas@etsy.com" TargetMode="External"/><Relationship Id="rId1235" Type="http://schemas.openxmlformats.org/officeDocument/2006/relationships/hyperlink" Target="mailto:aangeleas@etsy.com" TargetMode="External"/><Relationship Id="rId1236" Type="http://schemas.openxmlformats.org/officeDocument/2006/relationships/hyperlink" Target="mailto:yzhang@etsy.com" TargetMode="External"/><Relationship Id="rId1237" Type="http://schemas.openxmlformats.org/officeDocument/2006/relationships/hyperlink" Target="mailto:whuang@etsy.com" TargetMode="External"/><Relationship Id="rId1238" Type="http://schemas.openxmlformats.org/officeDocument/2006/relationships/hyperlink" Target="mailto:aangeleas@etsy.com" TargetMode="External"/><Relationship Id="rId1239" Type="http://schemas.openxmlformats.org/officeDocument/2006/relationships/hyperlink" Target="mailto:yzhang@etsy.com" TargetMode="External"/><Relationship Id="rId409" Type="http://schemas.openxmlformats.org/officeDocument/2006/relationships/hyperlink" Target="mailto:whuang@etsy.com" TargetMode="External"/><Relationship Id="rId404" Type="http://schemas.openxmlformats.org/officeDocument/2006/relationships/hyperlink" Target="mailto:csu@etsy.com" TargetMode="External"/><Relationship Id="rId888" Type="http://schemas.openxmlformats.org/officeDocument/2006/relationships/hyperlink" Target="mailto:yzhang@etsy.com" TargetMode="External"/><Relationship Id="rId403" Type="http://schemas.openxmlformats.org/officeDocument/2006/relationships/hyperlink" Target="mailto:whuang@etsy.com" TargetMode="External"/><Relationship Id="rId887" Type="http://schemas.openxmlformats.org/officeDocument/2006/relationships/hyperlink" Target="mailto:csu@etsy.com" TargetMode="External"/><Relationship Id="rId402" Type="http://schemas.openxmlformats.org/officeDocument/2006/relationships/hyperlink" Target="mailto:ebenjamin@etsy.com" TargetMode="External"/><Relationship Id="rId886" Type="http://schemas.openxmlformats.org/officeDocument/2006/relationships/hyperlink" Target="mailto:whuang@etsy.com" TargetMode="External"/><Relationship Id="rId401" Type="http://schemas.openxmlformats.org/officeDocument/2006/relationships/hyperlink" Target="mailto:csu@etsy.com" TargetMode="External"/><Relationship Id="rId885" Type="http://schemas.openxmlformats.org/officeDocument/2006/relationships/hyperlink" Target="mailto:yzhang@etsy.com" TargetMode="External"/><Relationship Id="rId408" Type="http://schemas.openxmlformats.org/officeDocument/2006/relationships/hyperlink" Target="mailto:ebenjamin@etsy.com" TargetMode="External"/><Relationship Id="rId407" Type="http://schemas.openxmlformats.org/officeDocument/2006/relationships/hyperlink" Target="mailto:csu@etsy.com" TargetMode="External"/><Relationship Id="rId406" Type="http://schemas.openxmlformats.org/officeDocument/2006/relationships/hyperlink" Target="mailto:whuang@etsy.com" TargetMode="External"/><Relationship Id="rId405" Type="http://schemas.openxmlformats.org/officeDocument/2006/relationships/hyperlink" Target="mailto:ebenjamin@etsy.com" TargetMode="External"/><Relationship Id="rId889" Type="http://schemas.openxmlformats.org/officeDocument/2006/relationships/hyperlink" Target="mailto:whuang@etsy.com" TargetMode="External"/><Relationship Id="rId880" Type="http://schemas.openxmlformats.org/officeDocument/2006/relationships/hyperlink" Target="mailto:whuang@etsy.com" TargetMode="External"/><Relationship Id="rId1230" Type="http://schemas.openxmlformats.org/officeDocument/2006/relationships/hyperlink" Target="mailto:yzhang@etsy.com" TargetMode="External"/><Relationship Id="rId400" Type="http://schemas.openxmlformats.org/officeDocument/2006/relationships/hyperlink" Target="mailto:whuang@etsy.com" TargetMode="External"/><Relationship Id="rId884" Type="http://schemas.openxmlformats.org/officeDocument/2006/relationships/hyperlink" Target="mailto:csu@etsy.com" TargetMode="External"/><Relationship Id="rId1231" Type="http://schemas.openxmlformats.org/officeDocument/2006/relationships/hyperlink" Target="mailto:whuang@etsy.com" TargetMode="External"/><Relationship Id="rId883" Type="http://schemas.openxmlformats.org/officeDocument/2006/relationships/hyperlink" Target="mailto:whuang@etsy.com" TargetMode="External"/><Relationship Id="rId1232" Type="http://schemas.openxmlformats.org/officeDocument/2006/relationships/hyperlink" Target="mailto:aangeleas@etsy.com" TargetMode="External"/><Relationship Id="rId882" Type="http://schemas.openxmlformats.org/officeDocument/2006/relationships/hyperlink" Target="mailto:yzhang@etsy.com" TargetMode="External"/><Relationship Id="rId1233" Type="http://schemas.openxmlformats.org/officeDocument/2006/relationships/hyperlink" Target="mailto:yzhang@etsy.com" TargetMode="External"/><Relationship Id="rId881" Type="http://schemas.openxmlformats.org/officeDocument/2006/relationships/hyperlink" Target="mailto:csu@etsy.com" TargetMode="External"/><Relationship Id="rId1234" Type="http://schemas.openxmlformats.org/officeDocument/2006/relationships/hyperlink" Target="mailto:whuang@etsy.com" TargetMode="External"/><Relationship Id="rId1224" Type="http://schemas.openxmlformats.org/officeDocument/2006/relationships/hyperlink" Target="mailto:yzhang@etsy.com" TargetMode="External"/><Relationship Id="rId1225" Type="http://schemas.openxmlformats.org/officeDocument/2006/relationships/hyperlink" Target="mailto:whuang@etsy.com" TargetMode="External"/><Relationship Id="rId1226" Type="http://schemas.openxmlformats.org/officeDocument/2006/relationships/hyperlink" Target="mailto:aangeleas@etsy.com" TargetMode="External"/><Relationship Id="rId1227" Type="http://schemas.openxmlformats.org/officeDocument/2006/relationships/hyperlink" Target="mailto:yzhang@etsy.com" TargetMode="External"/><Relationship Id="rId1228" Type="http://schemas.openxmlformats.org/officeDocument/2006/relationships/hyperlink" Target="mailto:whuang@etsy.com" TargetMode="External"/><Relationship Id="rId1229" Type="http://schemas.openxmlformats.org/officeDocument/2006/relationships/hyperlink" Target="mailto:aangeleas@etsy.com" TargetMode="External"/><Relationship Id="rId877" Type="http://schemas.openxmlformats.org/officeDocument/2006/relationships/hyperlink" Target="mailto:whuang@etsy.com" TargetMode="External"/><Relationship Id="rId876" Type="http://schemas.openxmlformats.org/officeDocument/2006/relationships/hyperlink" Target="mailto:yzhang@etsy.com" TargetMode="External"/><Relationship Id="rId875" Type="http://schemas.openxmlformats.org/officeDocument/2006/relationships/hyperlink" Target="mailto:csu@etsy.com" TargetMode="External"/><Relationship Id="rId874" Type="http://schemas.openxmlformats.org/officeDocument/2006/relationships/hyperlink" Target="mailto:whuang@etsy.com" TargetMode="External"/><Relationship Id="rId879" Type="http://schemas.openxmlformats.org/officeDocument/2006/relationships/hyperlink" Target="mailto:yzhang@etsy.com" TargetMode="External"/><Relationship Id="rId878" Type="http://schemas.openxmlformats.org/officeDocument/2006/relationships/hyperlink" Target="mailto:csu@etsy.com" TargetMode="External"/><Relationship Id="rId873" Type="http://schemas.openxmlformats.org/officeDocument/2006/relationships/hyperlink" Target="mailto:yzhang@etsy.com" TargetMode="External"/><Relationship Id="rId1220" Type="http://schemas.openxmlformats.org/officeDocument/2006/relationships/hyperlink" Target="mailto:aangeleas@etsy.com" TargetMode="External"/><Relationship Id="rId872" Type="http://schemas.openxmlformats.org/officeDocument/2006/relationships/hyperlink" Target="mailto:csu@etsy.com" TargetMode="External"/><Relationship Id="rId1221" Type="http://schemas.openxmlformats.org/officeDocument/2006/relationships/hyperlink" Target="mailto:yzhang@etsy.com" TargetMode="External"/><Relationship Id="rId871" Type="http://schemas.openxmlformats.org/officeDocument/2006/relationships/hyperlink" Target="mailto:whuang@etsy.com" TargetMode="External"/><Relationship Id="rId1222" Type="http://schemas.openxmlformats.org/officeDocument/2006/relationships/hyperlink" Target="mailto:whuang@etsy.com" TargetMode="External"/><Relationship Id="rId870" Type="http://schemas.openxmlformats.org/officeDocument/2006/relationships/hyperlink" Target="mailto:yzhang@etsy.com" TargetMode="External"/><Relationship Id="rId1223" Type="http://schemas.openxmlformats.org/officeDocument/2006/relationships/hyperlink" Target="mailto:aangeleas@etsy.com" TargetMode="External"/><Relationship Id="rId1653" Type="http://schemas.openxmlformats.org/officeDocument/2006/relationships/hyperlink" Target="mailto:ebenjamin@etsy.com" TargetMode="External"/><Relationship Id="rId1654" Type="http://schemas.openxmlformats.org/officeDocument/2006/relationships/hyperlink" Target="mailto:whuang@etsy.com" TargetMode="External"/><Relationship Id="rId1655" Type="http://schemas.openxmlformats.org/officeDocument/2006/relationships/hyperlink" Target="mailto:aangeleas@etsy.com" TargetMode="External"/><Relationship Id="rId1656" Type="http://schemas.openxmlformats.org/officeDocument/2006/relationships/hyperlink" Target="mailto:ebenjamin@etsy.com" TargetMode="External"/><Relationship Id="rId1657" Type="http://schemas.openxmlformats.org/officeDocument/2006/relationships/hyperlink" Target="mailto:whuang@etsy.com" TargetMode="External"/><Relationship Id="rId1658" Type="http://schemas.openxmlformats.org/officeDocument/2006/relationships/hyperlink" Target="mailto:aangeleas@etsy.com" TargetMode="External"/><Relationship Id="rId1659" Type="http://schemas.openxmlformats.org/officeDocument/2006/relationships/hyperlink" Target="mailto:ebenjamin@etsy.com" TargetMode="External"/><Relationship Id="rId829" Type="http://schemas.openxmlformats.org/officeDocument/2006/relationships/hyperlink" Target="mailto:whuang@etsy.com" TargetMode="External"/><Relationship Id="rId828" Type="http://schemas.openxmlformats.org/officeDocument/2006/relationships/hyperlink" Target="mailto:yzhang@etsy.com" TargetMode="External"/><Relationship Id="rId827" Type="http://schemas.openxmlformats.org/officeDocument/2006/relationships/hyperlink" Target="mailto:csu@etsy.com" TargetMode="External"/><Relationship Id="rId822" Type="http://schemas.openxmlformats.org/officeDocument/2006/relationships/hyperlink" Target="mailto:yzhang@etsy.com" TargetMode="External"/><Relationship Id="rId821" Type="http://schemas.openxmlformats.org/officeDocument/2006/relationships/hyperlink" Target="mailto:csu@etsy.com" TargetMode="External"/><Relationship Id="rId820" Type="http://schemas.openxmlformats.org/officeDocument/2006/relationships/hyperlink" Target="mailto:whuang@etsy.com" TargetMode="External"/><Relationship Id="rId826" Type="http://schemas.openxmlformats.org/officeDocument/2006/relationships/hyperlink" Target="mailto:whuang@etsy.com" TargetMode="External"/><Relationship Id="rId825" Type="http://schemas.openxmlformats.org/officeDocument/2006/relationships/hyperlink" Target="mailto:yzhang@etsy.com" TargetMode="External"/><Relationship Id="rId824" Type="http://schemas.openxmlformats.org/officeDocument/2006/relationships/hyperlink" Target="mailto:csu@etsy.com" TargetMode="External"/><Relationship Id="rId823" Type="http://schemas.openxmlformats.org/officeDocument/2006/relationships/hyperlink" Target="mailto:whuang@etsy.com" TargetMode="External"/><Relationship Id="rId1650" Type="http://schemas.openxmlformats.org/officeDocument/2006/relationships/hyperlink" Target="mailto:ebenjamin@etsy.com" TargetMode="External"/><Relationship Id="rId1651" Type="http://schemas.openxmlformats.org/officeDocument/2006/relationships/hyperlink" Target="mailto:whuang@etsy.com" TargetMode="External"/><Relationship Id="rId1652" Type="http://schemas.openxmlformats.org/officeDocument/2006/relationships/hyperlink" Target="mailto:aangeleas@etsy.com" TargetMode="External"/><Relationship Id="rId1642" Type="http://schemas.openxmlformats.org/officeDocument/2006/relationships/hyperlink" Target="mailto:whuang@etsy.com" TargetMode="External"/><Relationship Id="rId1643" Type="http://schemas.openxmlformats.org/officeDocument/2006/relationships/hyperlink" Target="mailto:aangeleas@etsy.com" TargetMode="External"/><Relationship Id="rId1644" Type="http://schemas.openxmlformats.org/officeDocument/2006/relationships/hyperlink" Target="mailto:ebenjamin@etsy.com" TargetMode="External"/><Relationship Id="rId1645" Type="http://schemas.openxmlformats.org/officeDocument/2006/relationships/hyperlink" Target="mailto:whuang@etsy.com" TargetMode="External"/><Relationship Id="rId1646" Type="http://schemas.openxmlformats.org/officeDocument/2006/relationships/hyperlink" Target="mailto:aangeleas@etsy.com" TargetMode="External"/><Relationship Id="rId1647" Type="http://schemas.openxmlformats.org/officeDocument/2006/relationships/hyperlink" Target="mailto:ebenjamin@etsy.com" TargetMode="External"/><Relationship Id="rId1648" Type="http://schemas.openxmlformats.org/officeDocument/2006/relationships/hyperlink" Target="mailto:whuang@etsy.com" TargetMode="External"/><Relationship Id="rId1649" Type="http://schemas.openxmlformats.org/officeDocument/2006/relationships/hyperlink" Target="mailto:aangeleas@etsy.com" TargetMode="External"/><Relationship Id="rId819" Type="http://schemas.openxmlformats.org/officeDocument/2006/relationships/hyperlink" Target="mailto:yzhang@etsy.com" TargetMode="External"/><Relationship Id="rId818" Type="http://schemas.openxmlformats.org/officeDocument/2006/relationships/hyperlink" Target="mailto:csu@etsy.com" TargetMode="External"/><Relationship Id="rId817" Type="http://schemas.openxmlformats.org/officeDocument/2006/relationships/hyperlink" Target="mailto:whuang@etsy.com" TargetMode="External"/><Relationship Id="rId816" Type="http://schemas.openxmlformats.org/officeDocument/2006/relationships/hyperlink" Target="mailto:yzhang@etsy.com" TargetMode="External"/><Relationship Id="rId811" Type="http://schemas.openxmlformats.org/officeDocument/2006/relationships/hyperlink" Target="mailto:whuang@etsy.com" TargetMode="External"/><Relationship Id="rId810" Type="http://schemas.openxmlformats.org/officeDocument/2006/relationships/hyperlink" Target="mailto:yzhang@etsy.com" TargetMode="External"/><Relationship Id="rId815" Type="http://schemas.openxmlformats.org/officeDocument/2006/relationships/hyperlink" Target="mailto:csu@etsy.com" TargetMode="External"/><Relationship Id="rId814" Type="http://schemas.openxmlformats.org/officeDocument/2006/relationships/hyperlink" Target="mailto:whuang@etsy.com" TargetMode="External"/><Relationship Id="rId813" Type="http://schemas.openxmlformats.org/officeDocument/2006/relationships/hyperlink" Target="mailto:yzhang@etsy.com" TargetMode="External"/><Relationship Id="rId812" Type="http://schemas.openxmlformats.org/officeDocument/2006/relationships/hyperlink" Target="mailto:csu@etsy.com" TargetMode="External"/><Relationship Id="rId1640" Type="http://schemas.openxmlformats.org/officeDocument/2006/relationships/hyperlink" Target="mailto:aangeleas@etsy.com" TargetMode="External"/><Relationship Id="rId1641" Type="http://schemas.openxmlformats.org/officeDocument/2006/relationships/hyperlink" Target="mailto:ebenjamin@etsy.com" TargetMode="External"/><Relationship Id="rId1675" Type="http://schemas.openxmlformats.org/officeDocument/2006/relationships/hyperlink" Target="mailto:whuang@etsy.com" TargetMode="External"/><Relationship Id="rId1676" Type="http://schemas.openxmlformats.org/officeDocument/2006/relationships/hyperlink" Target="mailto:aangeleas@etsy.com" TargetMode="External"/><Relationship Id="rId1677" Type="http://schemas.openxmlformats.org/officeDocument/2006/relationships/hyperlink" Target="mailto:ebenjamin@etsy.com" TargetMode="External"/><Relationship Id="rId1678" Type="http://schemas.openxmlformats.org/officeDocument/2006/relationships/hyperlink" Target="mailto:whuang@etsy.com" TargetMode="External"/><Relationship Id="rId1679" Type="http://schemas.openxmlformats.org/officeDocument/2006/relationships/hyperlink" Target="mailto:aangeleas@etsy.com" TargetMode="External"/><Relationship Id="rId849" Type="http://schemas.openxmlformats.org/officeDocument/2006/relationships/hyperlink" Target="mailto:yzhang@etsy.com" TargetMode="External"/><Relationship Id="rId844" Type="http://schemas.openxmlformats.org/officeDocument/2006/relationships/hyperlink" Target="mailto:whuang@etsy.com" TargetMode="External"/><Relationship Id="rId843" Type="http://schemas.openxmlformats.org/officeDocument/2006/relationships/hyperlink" Target="mailto:yzhang@etsy.com" TargetMode="External"/><Relationship Id="rId842" Type="http://schemas.openxmlformats.org/officeDocument/2006/relationships/hyperlink" Target="mailto:csu@etsy.com" TargetMode="External"/><Relationship Id="rId841" Type="http://schemas.openxmlformats.org/officeDocument/2006/relationships/hyperlink" Target="mailto:whuang@etsy.com" TargetMode="External"/><Relationship Id="rId848" Type="http://schemas.openxmlformats.org/officeDocument/2006/relationships/hyperlink" Target="mailto:csu@etsy.com" TargetMode="External"/><Relationship Id="rId847" Type="http://schemas.openxmlformats.org/officeDocument/2006/relationships/hyperlink" Target="mailto:whuang@etsy.com" TargetMode="External"/><Relationship Id="rId846" Type="http://schemas.openxmlformats.org/officeDocument/2006/relationships/hyperlink" Target="mailto:yzhang@etsy.com" TargetMode="External"/><Relationship Id="rId845" Type="http://schemas.openxmlformats.org/officeDocument/2006/relationships/hyperlink" Target="mailto:csu@etsy.com" TargetMode="External"/><Relationship Id="rId1670" Type="http://schemas.openxmlformats.org/officeDocument/2006/relationships/hyperlink" Target="mailto:aangeleas@etsy.com" TargetMode="External"/><Relationship Id="rId840" Type="http://schemas.openxmlformats.org/officeDocument/2006/relationships/hyperlink" Target="mailto:yzhang@etsy.com" TargetMode="External"/><Relationship Id="rId1671" Type="http://schemas.openxmlformats.org/officeDocument/2006/relationships/hyperlink" Target="mailto:ebenjamin@etsy.com" TargetMode="External"/><Relationship Id="rId1672" Type="http://schemas.openxmlformats.org/officeDocument/2006/relationships/hyperlink" Target="mailto:whuang@etsy.com" TargetMode="External"/><Relationship Id="rId1673" Type="http://schemas.openxmlformats.org/officeDocument/2006/relationships/hyperlink" Target="mailto:aangeleas@etsy.com" TargetMode="External"/><Relationship Id="rId1674" Type="http://schemas.openxmlformats.org/officeDocument/2006/relationships/hyperlink" Target="mailto:ebenjamin@etsy.com" TargetMode="External"/><Relationship Id="rId1664" Type="http://schemas.openxmlformats.org/officeDocument/2006/relationships/hyperlink" Target="mailto:aangeleas@etsy.com" TargetMode="External"/><Relationship Id="rId1665" Type="http://schemas.openxmlformats.org/officeDocument/2006/relationships/hyperlink" Target="mailto:ebenjamin@etsy.com" TargetMode="External"/><Relationship Id="rId1666" Type="http://schemas.openxmlformats.org/officeDocument/2006/relationships/hyperlink" Target="mailto:whuang@etsy.com" TargetMode="External"/><Relationship Id="rId1667" Type="http://schemas.openxmlformats.org/officeDocument/2006/relationships/hyperlink" Target="mailto:aangeleas@etsy.com" TargetMode="External"/><Relationship Id="rId1668" Type="http://schemas.openxmlformats.org/officeDocument/2006/relationships/hyperlink" Target="mailto:ebenjamin@etsy.com" TargetMode="External"/><Relationship Id="rId1669" Type="http://schemas.openxmlformats.org/officeDocument/2006/relationships/hyperlink" Target="mailto:whuang@etsy.com" TargetMode="External"/><Relationship Id="rId839" Type="http://schemas.openxmlformats.org/officeDocument/2006/relationships/hyperlink" Target="mailto:csu@etsy.com" TargetMode="External"/><Relationship Id="rId838" Type="http://schemas.openxmlformats.org/officeDocument/2006/relationships/hyperlink" Target="mailto:whuang@etsy.com" TargetMode="External"/><Relationship Id="rId833" Type="http://schemas.openxmlformats.org/officeDocument/2006/relationships/hyperlink" Target="mailto:csu@etsy.com" TargetMode="External"/><Relationship Id="rId832" Type="http://schemas.openxmlformats.org/officeDocument/2006/relationships/hyperlink" Target="mailto:whuang@etsy.com" TargetMode="External"/><Relationship Id="rId831" Type="http://schemas.openxmlformats.org/officeDocument/2006/relationships/hyperlink" Target="mailto:yzhang@etsy.com" TargetMode="External"/><Relationship Id="rId830" Type="http://schemas.openxmlformats.org/officeDocument/2006/relationships/hyperlink" Target="mailto:csu@etsy.com" TargetMode="External"/><Relationship Id="rId837" Type="http://schemas.openxmlformats.org/officeDocument/2006/relationships/hyperlink" Target="mailto:yzhang@etsy.com" TargetMode="External"/><Relationship Id="rId836" Type="http://schemas.openxmlformats.org/officeDocument/2006/relationships/hyperlink" Target="mailto:csu@etsy.com" TargetMode="External"/><Relationship Id="rId835" Type="http://schemas.openxmlformats.org/officeDocument/2006/relationships/hyperlink" Target="mailto:whuang@etsy.com" TargetMode="External"/><Relationship Id="rId834" Type="http://schemas.openxmlformats.org/officeDocument/2006/relationships/hyperlink" Target="mailto:yzhang@etsy.com" TargetMode="External"/><Relationship Id="rId1660" Type="http://schemas.openxmlformats.org/officeDocument/2006/relationships/hyperlink" Target="mailto:whuang@etsy.com" TargetMode="External"/><Relationship Id="rId1661" Type="http://schemas.openxmlformats.org/officeDocument/2006/relationships/hyperlink" Target="mailto:aangeleas@etsy.com" TargetMode="External"/><Relationship Id="rId1662" Type="http://schemas.openxmlformats.org/officeDocument/2006/relationships/hyperlink" Target="mailto:ebenjamin@etsy.com" TargetMode="External"/><Relationship Id="rId1663" Type="http://schemas.openxmlformats.org/officeDocument/2006/relationships/hyperlink" Target="mailto:whuang@etsy.com" TargetMode="External"/><Relationship Id="rId2148" Type="http://schemas.openxmlformats.org/officeDocument/2006/relationships/hyperlink" Target="mailto:yzhang@etsy.com" TargetMode="External"/><Relationship Id="rId2149" Type="http://schemas.openxmlformats.org/officeDocument/2006/relationships/hyperlink" Target="mailto:whuang@etsy.com" TargetMode="External"/><Relationship Id="rId469" Type="http://schemas.openxmlformats.org/officeDocument/2006/relationships/hyperlink" Target="mailto:whuang@etsy.com" TargetMode="External"/><Relationship Id="rId468" Type="http://schemas.openxmlformats.org/officeDocument/2006/relationships/hyperlink" Target="mailto:ebenjamin@etsy.com" TargetMode="External"/><Relationship Id="rId467" Type="http://schemas.openxmlformats.org/officeDocument/2006/relationships/hyperlink" Target="mailto:csu@etsy.com" TargetMode="External"/><Relationship Id="rId1290" Type="http://schemas.openxmlformats.org/officeDocument/2006/relationships/hyperlink" Target="mailto:yzhang@etsy.com" TargetMode="External"/><Relationship Id="rId1291" Type="http://schemas.openxmlformats.org/officeDocument/2006/relationships/hyperlink" Target="mailto:whuang@etsy.com" TargetMode="External"/><Relationship Id="rId1292" Type="http://schemas.openxmlformats.org/officeDocument/2006/relationships/hyperlink" Target="mailto:aangeleas@etsy.com" TargetMode="External"/><Relationship Id="rId462" Type="http://schemas.openxmlformats.org/officeDocument/2006/relationships/hyperlink" Target="mailto:ebenjamin@etsy.com" TargetMode="External"/><Relationship Id="rId1293" Type="http://schemas.openxmlformats.org/officeDocument/2006/relationships/hyperlink" Target="mailto:yzhang@etsy.com" TargetMode="External"/><Relationship Id="rId2140" Type="http://schemas.openxmlformats.org/officeDocument/2006/relationships/hyperlink" Target="mailto:whuang@etsy.com" TargetMode="External"/><Relationship Id="rId461" Type="http://schemas.openxmlformats.org/officeDocument/2006/relationships/hyperlink" Target="mailto:csu@etsy.com" TargetMode="External"/><Relationship Id="rId1294" Type="http://schemas.openxmlformats.org/officeDocument/2006/relationships/hyperlink" Target="mailto:whuang@etsy.com" TargetMode="External"/><Relationship Id="rId2141" Type="http://schemas.openxmlformats.org/officeDocument/2006/relationships/hyperlink" Target="mailto:ebenjamin@etsy.com" TargetMode="External"/><Relationship Id="rId460" Type="http://schemas.openxmlformats.org/officeDocument/2006/relationships/hyperlink" Target="mailto:whuang@etsy.com" TargetMode="External"/><Relationship Id="rId1295" Type="http://schemas.openxmlformats.org/officeDocument/2006/relationships/hyperlink" Target="mailto:aangeleas@etsy.com" TargetMode="External"/><Relationship Id="rId2142" Type="http://schemas.openxmlformats.org/officeDocument/2006/relationships/hyperlink" Target="mailto:yzhang@etsy.com" TargetMode="External"/><Relationship Id="rId1296" Type="http://schemas.openxmlformats.org/officeDocument/2006/relationships/hyperlink" Target="mailto:yzhang@etsy.com" TargetMode="External"/><Relationship Id="rId2143" Type="http://schemas.openxmlformats.org/officeDocument/2006/relationships/hyperlink" Target="mailto:whuang@etsy.com" TargetMode="External"/><Relationship Id="rId466" Type="http://schemas.openxmlformats.org/officeDocument/2006/relationships/hyperlink" Target="mailto:whuang@etsy.com" TargetMode="External"/><Relationship Id="rId1297" Type="http://schemas.openxmlformats.org/officeDocument/2006/relationships/hyperlink" Target="mailto:whuang@etsy.com" TargetMode="External"/><Relationship Id="rId2144" Type="http://schemas.openxmlformats.org/officeDocument/2006/relationships/hyperlink" Target="mailto:ebenjamin@etsy.com" TargetMode="External"/><Relationship Id="rId465" Type="http://schemas.openxmlformats.org/officeDocument/2006/relationships/hyperlink" Target="mailto:ebenjamin@etsy.com" TargetMode="External"/><Relationship Id="rId1298" Type="http://schemas.openxmlformats.org/officeDocument/2006/relationships/hyperlink" Target="mailto:aangeleas@etsy.com" TargetMode="External"/><Relationship Id="rId2145" Type="http://schemas.openxmlformats.org/officeDocument/2006/relationships/hyperlink" Target="mailto:yzhang@etsy.com" TargetMode="External"/><Relationship Id="rId464" Type="http://schemas.openxmlformats.org/officeDocument/2006/relationships/hyperlink" Target="mailto:csu@etsy.com" TargetMode="External"/><Relationship Id="rId1299" Type="http://schemas.openxmlformats.org/officeDocument/2006/relationships/hyperlink" Target="mailto:yzhang@etsy.com" TargetMode="External"/><Relationship Id="rId2146" Type="http://schemas.openxmlformats.org/officeDocument/2006/relationships/hyperlink" Target="mailto:whuang@etsy.com" TargetMode="External"/><Relationship Id="rId463" Type="http://schemas.openxmlformats.org/officeDocument/2006/relationships/hyperlink" Target="mailto:whuang@etsy.com" TargetMode="External"/><Relationship Id="rId2147" Type="http://schemas.openxmlformats.org/officeDocument/2006/relationships/hyperlink" Target="mailto:ebenjamin@etsy.com" TargetMode="External"/><Relationship Id="rId2137" Type="http://schemas.openxmlformats.org/officeDocument/2006/relationships/hyperlink" Target="mailto:whuang@etsy.com" TargetMode="External"/><Relationship Id="rId2138" Type="http://schemas.openxmlformats.org/officeDocument/2006/relationships/hyperlink" Target="mailto:ebenjamin@etsy.com" TargetMode="External"/><Relationship Id="rId2139" Type="http://schemas.openxmlformats.org/officeDocument/2006/relationships/hyperlink" Target="mailto:yzhang@etsy.com" TargetMode="External"/><Relationship Id="rId459" Type="http://schemas.openxmlformats.org/officeDocument/2006/relationships/hyperlink" Target="mailto:ebenjamin@etsy.com" TargetMode="External"/><Relationship Id="rId458" Type="http://schemas.openxmlformats.org/officeDocument/2006/relationships/hyperlink" Target="mailto:csu@etsy.com" TargetMode="External"/><Relationship Id="rId457" Type="http://schemas.openxmlformats.org/officeDocument/2006/relationships/hyperlink" Target="mailto:whuang@etsy.com" TargetMode="External"/><Relationship Id="rId456" Type="http://schemas.openxmlformats.org/officeDocument/2006/relationships/hyperlink" Target="mailto:ebenjamin@etsy.com" TargetMode="External"/><Relationship Id="rId1280" Type="http://schemas.openxmlformats.org/officeDocument/2006/relationships/hyperlink" Target="mailto:aangeleas@etsy.com" TargetMode="External"/><Relationship Id="rId1281" Type="http://schemas.openxmlformats.org/officeDocument/2006/relationships/hyperlink" Target="mailto:yzhang@etsy.com" TargetMode="External"/><Relationship Id="rId451" Type="http://schemas.openxmlformats.org/officeDocument/2006/relationships/hyperlink" Target="mailto:whuang@etsy.com" TargetMode="External"/><Relationship Id="rId1282" Type="http://schemas.openxmlformats.org/officeDocument/2006/relationships/hyperlink" Target="mailto:whuang@etsy.com" TargetMode="External"/><Relationship Id="rId450" Type="http://schemas.openxmlformats.org/officeDocument/2006/relationships/hyperlink" Target="mailto:ebenjamin@etsy.com" TargetMode="External"/><Relationship Id="rId1283" Type="http://schemas.openxmlformats.org/officeDocument/2006/relationships/hyperlink" Target="mailto:aangeleas@etsy.com" TargetMode="External"/><Relationship Id="rId2130" Type="http://schemas.openxmlformats.org/officeDocument/2006/relationships/hyperlink" Target="mailto:yzhang@etsy.com" TargetMode="External"/><Relationship Id="rId1284" Type="http://schemas.openxmlformats.org/officeDocument/2006/relationships/hyperlink" Target="mailto:yzhang@etsy.com" TargetMode="External"/><Relationship Id="rId2131" Type="http://schemas.openxmlformats.org/officeDocument/2006/relationships/hyperlink" Target="mailto:whuang@etsy.com" TargetMode="External"/><Relationship Id="rId1285" Type="http://schemas.openxmlformats.org/officeDocument/2006/relationships/hyperlink" Target="mailto:whuang@etsy.com" TargetMode="External"/><Relationship Id="rId2132" Type="http://schemas.openxmlformats.org/officeDocument/2006/relationships/hyperlink" Target="mailto:ebenjamin@etsy.com" TargetMode="External"/><Relationship Id="rId455" Type="http://schemas.openxmlformats.org/officeDocument/2006/relationships/hyperlink" Target="mailto:csu@etsy.com" TargetMode="External"/><Relationship Id="rId1286" Type="http://schemas.openxmlformats.org/officeDocument/2006/relationships/hyperlink" Target="mailto:aangeleas@etsy.com" TargetMode="External"/><Relationship Id="rId2133" Type="http://schemas.openxmlformats.org/officeDocument/2006/relationships/hyperlink" Target="mailto:yzhang@etsy.com" TargetMode="External"/><Relationship Id="rId454" Type="http://schemas.openxmlformats.org/officeDocument/2006/relationships/hyperlink" Target="mailto:whuang@etsy.com" TargetMode="External"/><Relationship Id="rId1287" Type="http://schemas.openxmlformats.org/officeDocument/2006/relationships/hyperlink" Target="mailto:yzhang@etsy.com" TargetMode="External"/><Relationship Id="rId2134" Type="http://schemas.openxmlformats.org/officeDocument/2006/relationships/hyperlink" Target="mailto:whuang@etsy.com" TargetMode="External"/><Relationship Id="rId453" Type="http://schemas.openxmlformats.org/officeDocument/2006/relationships/hyperlink" Target="mailto:ebenjamin@etsy.com" TargetMode="External"/><Relationship Id="rId1288" Type="http://schemas.openxmlformats.org/officeDocument/2006/relationships/hyperlink" Target="mailto:whuang@etsy.com" TargetMode="External"/><Relationship Id="rId2135" Type="http://schemas.openxmlformats.org/officeDocument/2006/relationships/hyperlink" Target="mailto:ebenjamin@etsy.com" TargetMode="External"/><Relationship Id="rId452" Type="http://schemas.openxmlformats.org/officeDocument/2006/relationships/hyperlink" Target="mailto:csu@etsy.com" TargetMode="External"/><Relationship Id="rId1289" Type="http://schemas.openxmlformats.org/officeDocument/2006/relationships/hyperlink" Target="mailto:aangeleas@etsy.com" TargetMode="External"/><Relationship Id="rId2136" Type="http://schemas.openxmlformats.org/officeDocument/2006/relationships/hyperlink" Target="mailto:yzhang@etsy.com" TargetMode="External"/><Relationship Id="rId491" Type="http://schemas.openxmlformats.org/officeDocument/2006/relationships/hyperlink" Target="mailto:csu@etsy.com" TargetMode="External"/><Relationship Id="rId490" Type="http://schemas.openxmlformats.org/officeDocument/2006/relationships/hyperlink" Target="mailto:whuang@etsy.com" TargetMode="External"/><Relationship Id="rId489" Type="http://schemas.openxmlformats.org/officeDocument/2006/relationships/hyperlink" Target="mailto:ebenjamin@etsy.com" TargetMode="External"/><Relationship Id="rId2160" Type="http://schemas.openxmlformats.org/officeDocument/2006/relationships/hyperlink" Target="mailto:yzhang@etsy.com" TargetMode="External"/><Relationship Id="rId2161" Type="http://schemas.openxmlformats.org/officeDocument/2006/relationships/drawing" Target="../drawings/drawing1.xml"/><Relationship Id="rId484" Type="http://schemas.openxmlformats.org/officeDocument/2006/relationships/hyperlink" Target="mailto:whuang@etsy.com" TargetMode="External"/><Relationship Id="rId483" Type="http://schemas.openxmlformats.org/officeDocument/2006/relationships/hyperlink" Target="mailto:ebenjamin@etsy.com" TargetMode="External"/><Relationship Id="rId482" Type="http://schemas.openxmlformats.org/officeDocument/2006/relationships/hyperlink" Target="mailto:csu@etsy.com" TargetMode="External"/><Relationship Id="rId481" Type="http://schemas.openxmlformats.org/officeDocument/2006/relationships/hyperlink" Target="mailto:whuang@etsy.com" TargetMode="External"/><Relationship Id="rId488" Type="http://schemas.openxmlformats.org/officeDocument/2006/relationships/hyperlink" Target="mailto:csu@etsy.com" TargetMode="External"/><Relationship Id="rId487" Type="http://schemas.openxmlformats.org/officeDocument/2006/relationships/hyperlink" Target="mailto:whuang@etsy.com" TargetMode="External"/><Relationship Id="rId486" Type="http://schemas.openxmlformats.org/officeDocument/2006/relationships/hyperlink" Target="mailto:ebenjamin@etsy.com" TargetMode="External"/><Relationship Id="rId485" Type="http://schemas.openxmlformats.org/officeDocument/2006/relationships/hyperlink" Target="mailto:csu@etsy.com" TargetMode="External"/><Relationship Id="rId2159" Type="http://schemas.openxmlformats.org/officeDocument/2006/relationships/hyperlink" Target="mailto:ebenjamin@etsy.com" TargetMode="External"/><Relationship Id="rId480" Type="http://schemas.openxmlformats.org/officeDocument/2006/relationships/hyperlink" Target="mailto:ebenjamin@etsy.com" TargetMode="External"/><Relationship Id="rId479" Type="http://schemas.openxmlformats.org/officeDocument/2006/relationships/hyperlink" Target="mailto:csu@etsy.com" TargetMode="External"/><Relationship Id="rId478" Type="http://schemas.openxmlformats.org/officeDocument/2006/relationships/hyperlink" Target="mailto:whuang@etsy.com" TargetMode="External"/><Relationship Id="rId2150" Type="http://schemas.openxmlformats.org/officeDocument/2006/relationships/hyperlink" Target="mailto:ebenjamin@etsy.com" TargetMode="External"/><Relationship Id="rId473" Type="http://schemas.openxmlformats.org/officeDocument/2006/relationships/hyperlink" Target="mailto:csu@etsy.com" TargetMode="External"/><Relationship Id="rId2151" Type="http://schemas.openxmlformats.org/officeDocument/2006/relationships/hyperlink" Target="mailto:yzhang@etsy.com" TargetMode="External"/><Relationship Id="rId472" Type="http://schemas.openxmlformats.org/officeDocument/2006/relationships/hyperlink" Target="mailto:whuang@etsy.com" TargetMode="External"/><Relationship Id="rId2152" Type="http://schemas.openxmlformats.org/officeDocument/2006/relationships/hyperlink" Target="mailto:whuang@etsy.com" TargetMode="External"/><Relationship Id="rId471" Type="http://schemas.openxmlformats.org/officeDocument/2006/relationships/hyperlink" Target="mailto:ebenjamin@etsy.com" TargetMode="External"/><Relationship Id="rId2153" Type="http://schemas.openxmlformats.org/officeDocument/2006/relationships/hyperlink" Target="mailto:ebenjamin@etsy.com" TargetMode="External"/><Relationship Id="rId470" Type="http://schemas.openxmlformats.org/officeDocument/2006/relationships/hyperlink" Target="mailto:csu@etsy.com" TargetMode="External"/><Relationship Id="rId2154" Type="http://schemas.openxmlformats.org/officeDocument/2006/relationships/hyperlink" Target="mailto:yzhang@etsy.com" TargetMode="External"/><Relationship Id="rId477" Type="http://schemas.openxmlformats.org/officeDocument/2006/relationships/hyperlink" Target="mailto:ebenjamin@etsy.com" TargetMode="External"/><Relationship Id="rId2155" Type="http://schemas.openxmlformats.org/officeDocument/2006/relationships/hyperlink" Target="mailto:whuang@etsy.com" TargetMode="External"/><Relationship Id="rId476" Type="http://schemas.openxmlformats.org/officeDocument/2006/relationships/hyperlink" Target="mailto:csu@etsy.com" TargetMode="External"/><Relationship Id="rId2156" Type="http://schemas.openxmlformats.org/officeDocument/2006/relationships/hyperlink" Target="mailto:ebenjamin@etsy.com" TargetMode="External"/><Relationship Id="rId475" Type="http://schemas.openxmlformats.org/officeDocument/2006/relationships/hyperlink" Target="mailto:whuang@etsy.com" TargetMode="External"/><Relationship Id="rId2157" Type="http://schemas.openxmlformats.org/officeDocument/2006/relationships/hyperlink" Target="mailto:yzhang@etsy.com" TargetMode="External"/><Relationship Id="rId474" Type="http://schemas.openxmlformats.org/officeDocument/2006/relationships/hyperlink" Target="mailto:ebenjamin@etsy.com" TargetMode="External"/><Relationship Id="rId2158" Type="http://schemas.openxmlformats.org/officeDocument/2006/relationships/hyperlink" Target="mailto:whuang@etsy.com" TargetMode="External"/><Relationship Id="rId1257" Type="http://schemas.openxmlformats.org/officeDocument/2006/relationships/hyperlink" Target="mailto:yzhang@etsy.com" TargetMode="External"/><Relationship Id="rId2104" Type="http://schemas.openxmlformats.org/officeDocument/2006/relationships/hyperlink" Target="mailto:whuang@etsy.com" TargetMode="External"/><Relationship Id="rId1258" Type="http://schemas.openxmlformats.org/officeDocument/2006/relationships/hyperlink" Target="mailto:whuang@etsy.com" TargetMode="External"/><Relationship Id="rId2105" Type="http://schemas.openxmlformats.org/officeDocument/2006/relationships/hyperlink" Target="mailto:ebenjamin@etsy.com" TargetMode="External"/><Relationship Id="rId1259" Type="http://schemas.openxmlformats.org/officeDocument/2006/relationships/hyperlink" Target="mailto:aangeleas@etsy.com" TargetMode="External"/><Relationship Id="rId2106" Type="http://schemas.openxmlformats.org/officeDocument/2006/relationships/hyperlink" Target="mailto:yzhang@etsy.com" TargetMode="External"/><Relationship Id="rId2107" Type="http://schemas.openxmlformats.org/officeDocument/2006/relationships/hyperlink" Target="mailto:whuang@etsy.com" TargetMode="External"/><Relationship Id="rId2108" Type="http://schemas.openxmlformats.org/officeDocument/2006/relationships/hyperlink" Target="mailto:ebenjamin@etsy.com" TargetMode="External"/><Relationship Id="rId2109" Type="http://schemas.openxmlformats.org/officeDocument/2006/relationships/hyperlink" Target="mailto:yzhang@etsy.com" TargetMode="External"/><Relationship Id="rId426" Type="http://schemas.openxmlformats.org/officeDocument/2006/relationships/hyperlink" Target="mailto:ebenjamin@etsy.com" TargetMode="External"/><Relationship Id="rId425" Type="http://schemas.openxmlformats.org/officeDocument/2006/relationships/hyperlink" Target="mailto:csu@etsy.com" TargetMode="External"/><Relationship Id="rId424" Type="http://schemas.openxmlformats.org/officeDocument/2006/relationships/hyperlink" Target="mailto:whuang@etsy.com" TargetMode="External"/><Relationship Id="rId423" Type="http://schemas.openxmlformats.org/officeDocument/2006/relationships/hyperlink" Target="mailto:ebenjamin@etsy.com" TargetMode="External"/><Relationship Id="rId429" Type="http://schemas.openxmlformats.org/officeDocument/2006/relationships/hyperlink" Target="mailto:ebenjamin@etsy.com" TargetMode="External"/><Relationship Id="rId428" Type="http://schemas.openxmlformats.org/officeDocument/2006/relationships/hyperlink" Target="mailto:csu@etsy.com" TargetMode="External"/><Relationship Id="rId427" Type="http://schemas.openxmlformats.org/officeDocument/2006/relationships/hyperlink" Target="mailto:whuang@etsy.com" TargetMode="External"/><Relationship Id="rId1250" Type="http://schemas.openxmlformats.org/officeDocument/2006/relationships/hyperlink" Target="mailto:aangeleas@etsy.com" TargetMode="External"/><Relationship Id="rId1251" Type="http://schemas.openxmlformats.org/officeDocument/2006/relationships/hyperlink" Target="mailto:yzhang@etsy.com" TargetMode="External"/><Relationship Id="rId1252" Type="http://schemas.openxmlformats.org/officeDocument/2006/relationships/hyperlink" Target="mailto:whuang@etsy.com" TargetMode="External"/><Relationship Id="rId422" Type="http://schemas.openxmlformats.org/officeDocument/2006/relationships/hyperlink" Target="mailto:csu@etsy.com" TargetMode="External"/><Relationship Id="rId1253" Type="http://schemas.openxmlformats.org/officeDocument/2006/relationships/hyperlink" Target="mailto:aangeleas@etsy.com" TargetMode="External"/><Relationship Id="rId2100" Type="http://schemas.openxmlformats.org/officeDocument/2006/relationships/hyperlink" Target="mailto:yzhang@etsy.com" TargetMode="External"/><Relationship Id="rId421" Type="http://schemas.openxmlformats.org/officeDocument/2006/relationships/hyperlink" Target="mailto:whuang@etsy.com" TargetMode="External"/><Relationship Id="rId1254" Type="http://schemas.openxmlformats.org/officeDocument/2006/relationships/hyperlink" Target="mailto:yzhang@etsy.com" TargetMode="External"/><Relationship Id="rId2101" Type="http://schemas.openxmlformats.org/officeDocument/2006/relationships/hyperlink" Target="mailto:whuang@etsy.com" TargetMode="External"/><Relationship Id="rId420" Type="http://schemas.openxmlformats.org/officeDocument/2006/relationships/hyperlink" Target="mailto:ebenjamin@etsy.com" TargetMode="External"/><Relationship Id="rId1255" Type="http://schemas.openxmlformats.org/officeDocument/2006/relationships/hyperlink" Target="mailto:whuang@etsy.com" TargetMode="External"/><Relationship Id="rId2102" Type="http://schemas.openxmlformats.org/officeDocument/2006/relationships/hyperlink" Target="mailto:ebenjamin@etsy.com" TargetMode="External"/><Relationship Id="rId1256" Type="http://schemas.openxmlformats.org/officeDocument/2006/relationships/hyperlink" Target="mailto:aangeleas@etsy.com" TargetMode="External"/><Relationship Id="rId2103" Type="http://schemas.openxmlformats.org/officeDocument/2006/relationships/hyperlink" Target="mailto:yzhang@etsy.com" TargetMode="External"/><Relationship Id="rId1246" Type="http://schemas.openxmlformats.org/officeDocument/2006/relationships/hyperlink" Target="mailto:whuang@etsy.com" TargetMode="External"/><Relationship Id="rId1247" Type="http://schemas.openxmlformats.org/officeDocument/2006/relationships/hyperlink" Target="mailto:aangeleas@etsy.com" TargetMode="External"/><Relationship Id="rId1248" Type="http://schemas.openxmlformats.org/officeDocument/2006/relationships/hyperlink" Target="mailto:yzhang@etsy.com" TargetMode="External"/><Relationship Id="rId1249" Type="http://schemas.openxmlformats.org/officeDocument/2006/relationships/hyperlink" Target="mailto:whuang@etsy.com" TargetMode="External"/><Relationship Id="rId415" Type="http://schemas.openxmlformats.org/officeDocument/2006/relationships/hyperlink" Target="mailto:whuang@etsy.com" TargetMode="External"/><Relationship Id="rId899" Type="http://schemas.openxmlformats.org/officeDocument/2006/relationships/hyperlink" Target="mailto:csu@etsy.com" TargetMode="External"/><Relationship Id="rId414" Type="http://schemas.openxmlformats.org/officeDocument/2006/relationships/hyperlink" Target="mailto:ebenjamin@etsy.com" TargetMode="External"/><Relationship Id="rId898" Type="http://schemas.openxmlformats.org/officeDocument/2006/relationships/hyperlink" Target="mailto:whuang@etsy.com" TargetMode="External"/><Relationship Id="rId413" Type="http://schemas.openxmlformats.org/officeDocument/2006/relationships/hyperlink" Target="mailto:csu@etsy.com" TargetMode="External"/><Relationship Id="rId897" Type="http://schemas.openxmlformats.org/officeDocument/2006/relationships/hyperlink" Target="mailto:yzhang@etsy.com" TargetMode="External"/><Relationship Id="rId412" Type="http://schemas.openxmlformats.org/officeDocument/2006/relationships/hyperlink" Target="mailto:whuang@etsy.com" TargetMode="External"/><Relationship Id="rId896" Type="http://schemas.openxmlformats.org/officeDocument/2006/relationships/hyperlink" Target="mailto:csu@etsy.com" TargetMode="External"/><Relationship Id="rId419" Type="http://schemas.openxmlformats.org/officeDocument/2006/relationships/hyperlink" Target="mailto:csu@etsy.com" TargetMode="External"/><Relationship Id="rId418" Type="http://schemas.openxmlformats.org/officeDocument/2006/relationships/hyperlink" Target="mailto:whuang@etsy.com" TargetMode="External"/><Relationship Id="rId417" Type="http://schemas.openxmlformats.org/officeDocument/2006/relationships/hyperlink" Target="mailto:ebenjamin@etsy.com" TargetMode="External"/><Relationship Id="rId416" Type="http://schemas.openxmlformats.org/officeDocument/2006/relationships/hyperlink" Target="mailto:csu@etsy.com" TargetMode="External"/><Relationship Id="rId891" Type="http://schemas.openxmlformats.org/officeDocument/2006/relationships/hyperlink" Target="mailto:yzhang@etsy.com" TargetMode="External"/><Relationship Id="rId890" Type="http://schemas.openxmlformats.org/officeDocument/2006/relationships/hyperlink" Target="mailto:csu@etsy.com" TargetMode="External"/><Relationship Id="rId1240" Type="http://schemas.openxmlformats.org/officeDocument/2006/relationships/hyperlink" Target="mailto:whuang@etsy.com" TargetMode="External"/><Relationship Id="rId1241" Type="http://schemas.openxmlformats.org/officeDocument/2006/relationships/hyperlink" Target="mailto:aangeleas@etsy.com" TargetMode="External"/><Relationship Id="rId411" Type="http://schemas.openxmlformats.org/officeDocument/2006/relationships/hyperlink" Target="mailto:ebenjamin@etsy.com" TargetMode="External"/><Relationship Id="rId895" Type="http://schemas.openxmlformats.org/officeDocument/2006/relationships/hyperlink" Target="mailto:whuang@etsy.com" TargetMode="External"/><Relationship Id="rId1242" Type="http://schemas.openxmlformats.org/officeDocument/2006/relationships/hyperlink" Target="mailto:yzhang@etsy.com" TargetMode="External"/><Relationship Id="rId410" Type="http://schemas.openxmlformats.org/officeDocument/2006/relationships/hyperlink" Target="mailto:csu@etsy.com" TargetMode="External"/><Relationship Id="rId894" Type="http://schemas.openxmlformats.org/officeDocument/2006/relationships/hyperlink" Target="mailto:yzhang@etsy.com" TargetMode="External"/><Relationship Id="rId1243" Type="http://schemas.openxmlformats.org/officeDocument/2006/relationships/hyperlink" Target="mailto:whuang@etsy.com" TargetMode="External"/><Relationship Id="rId893" Type="http://schemas.openxmlformats.org/officeDocument/2006/relationships/hyperlink" Target="mailto:csu@etsy.com" TargetMode="External"/><Relationship Id="rId1244" Type="http://schemas.openxmlformats.org/officeDocument/2006/relationships/hyperlink" Target="mailto:aangeleas@etsy.com" TargetMode="External"/><Relationship Id="rId892" Type="http://schemas.openxmlformats.org/officeDocument/2006/relationships/hyperlink" Target="mailto:whuang@etsy.com" TargetMode="External"/><Relationship Id="rId1245" Type="http://schemas.openxmlformats.org/officeDocument/2006/relationships/hyperlink" Target="mailto:yzhang@etsy.com" TargetMode="External"/><Relationship Id="rId1279" Type="http://schemas.openxmlformats.org/officeDocument/2006/relationships/hyperlink" Target="mailto:whuang@etsy.com" TargetMode="External"/><Relationship Id="rId2126" Type="http://schemas.openxmlformats.org/officeDocument/2006/relationships/hyperlink" Target="mailto:ebenjamin@etsy.com" TargetMode="External"/><Relationship Id="rId2127" Type="http://schemas.openxmlformats.org/officeDocument/2006/relationships/hyperlink" Target="mailto:yzhang@etsy.com" TargetMode="External"/><Relationship Id="rId2128" Type="http://schemas.openxmlformats.org/officeDocument/2006/relationships/hyperlink" Target="mailto:whuang@etsy.com" TargetMode="External"/><Relationship Id="rId2129" Type="http://schemas.openxmlformats.org/officeDocument/2006/relationships/hyperlink" Target="mailto:ebenjamin@etsy.com" TargetMode="External"/><Relationship Id="rId448" Type="http://schemas.openxmlformats.org/officeDocument/2006/relationships/hyperlink" Target="mailto:whuang@etsy.com" TargetMode="External"/><Relationship Id="rId447" Type="http://schemas.openxmlformats.org/officeDocument/2006/relationships/hyperlink" Target="mailto:ebenjamin@etsy.com" TargetMode="External"/><Relationship Id="rId446" Type="http://schemas.openxmlformats.org/officeDocument/2006/relationships/hyperlink" Target="mailto:csu@etsy.com" TargetMode="External"/><Relationship Id="rId445" Type="http://schemas.openxmlformats.org/officeDocument/2006/relationships/hyperlink" Target="mailto:whuang@etsy.com" TargetMode="External"/><Relationship Id="rId449" Type="http://schemas.openxmlformats.org/officeDocument/2006/relationships/hyperlink" Target="mailto:csu@etsy.com" TargetMode="External"/><Relationship Id="rId1270" Type="http://schemas.openxmlformats.org/officeDocument/2006/relationships/hyperlink" Target="mailto:whuang@etsy.com" TargetMode="External"/><Relationship Id="rId440" Type="http://schemas.openxmlformats.org/officeDocument/2006/relationships/hyperlink" Target="mailto:csu@etsy.com" TargetMode="External"/><Relationship Id="rId1271" Type="http://schemas.openxmlformats.org/officeDocument/2006/relationships/hyperlink" Target="mailto:aangeleas@etsy.com" TargetMode="External"/><Relationship Id="rId1272" Type="http://schemas.openxmlformats.org/officeDocument/2006/relationships/hyperlink" Target="mailto:yzhang@etsy.com" TargetMode="External"/><Relationship Id="rId1273" Type="http://schemas.openxmlformats.org/officeDocument/2006/relationships/hyperlink" Target="mailto:whuang@etsy.com" TargetMode="External"/><Relationship Id="rId2120" Type="http://schemas.openxmlformats.org/officeDocument/2006/relationships/hyperlink" Target="mailto:ebenjamin@etsy.com" TargetMode="External"/><Relationship Id="rId1274" Type="http://schemas.openxmlformats.org/officeDocument/2006/relationships/hyperlink" Target="mailto:aangeleas@etsy.com" TargetMode="External"/><Relationship Id="rId2121" Type="http://schemas.openxmlformats.org/officeDocument/2006/relationships/hyperlink" Target="mailto:yzhang@etsy.com" TargetMode="External"/><Relationship Id="rId444" Type="http://schemas.openxmlformats.org/officeDocument/2006/relationships/hyperlink" Target="mailto:ebenjamin@etsy.com" TargetMode="External"/><Relationship Id="rId1275" Type="http://schemas.openxmlformats.org/officeDocument/2006/relationships/hyperlink" Target="mailto:yzhang@etsy.com" TargetMode="External"/><Relationship Id="rId2122" Type="http://schemas.openxmlformats.org/officeDocument/2006/relationships/hyperlink" Target="mailto:whuang@etsy.com" TargetMode="External"/><Relationship Id="rId443" Type="http://schemas.openxmlformats.org/officeDocument/2006/relationships/hyperlink" Target="mailto:csu@etsy.com" TargetMode="External"/><Relationship Id="rId1276" Type="http://schemas.openxmlformats.org/officeDocument/2006/relationships/hyperlink" Target="mailto:whuang@etsy.com" TargetMode="External"/><Relationship Id="rId2123" Type="http://schemas.openxmlformats.org/officeDocument/2006/relationships/hyperlink" Target="mailto:ebenjamin@etsy.com" TargetMode="External"/><Relationship Id="rId442" Type="http://schemas.openxmlformats.org/officeDocument/2006/relationships/hyperlink" Target="mailto:whuang@etsy.com" TargetMode="External"/><Relationship Id="rId1277" Type="http://schemas.openxmlformats.org/officeDocument/2006/relationships/hyperlink" Target="mailto:aangeleas@etsy.com" TargetMode="External"/><Relationship Id="rId2124" Type="http://schemas.openxmlformats.org/officeDocument/2006/relationships/hyperlink" Target="mailto:yzhang@etsy.com" TargetMode="External"/><Relationship Id="rId441" Type="http://schemas.openxmlformats.org/officeDocument/2006/relationships/hyperlink" Target="mailto:ebenjamin@etsy.com" TargetMode="External"/><Relationship Id="rId1278" Type="http://schemas.openxmlformats.org/officeDocument/2006/relationships/hyperlink" Target="mailto:yzhang@etsy.com" TargetMode="External"/><Relationship Id="rId2125" Type="http://schemas.openxmlformats.org/officeDocument/2006/relationships/hyperlink" Target="mailto:whuang@etsy.com" TargetMode="External"/><Relationship Id="rId1268" Type="http://schemas.openxmlformats.org/officeDocument/2006/relationships/hyperlink" Target="mailto:aangeleas@etsy.com" TargetMode="External"/><Relationship Id="rId2115" Type="http://schemas.openxmlformats.org/officeDocument/2006/relationships/hyperlink" Target="mailto:yzhang@etsy.com" TargetMode="External"/><Relationship Id="rId1269" Type="http://schemas.openxmlformats.org/officeDocument/2006/relationships/hyperlink" Target="mailto:yzhang@etsy.com" TargetMode="External"/><Relationship Id="rId2116" Type="http://schemas.openxmlformats.org/officeDocument/2006/relationships/hyperlink" Target="mailto:whuang@etsy.com" TargetMode="External"/><Relationship Id="rId2117" Type="http://schemas.openxmlformats.org/officeDocument/2006/relationships/hyperlink" Target="mailto:ebenjamin@etsy.com" TargetMode="External"/><Relationship Id="rId2118" Type="http://schemas.openxmlformats.org/officeDocument/2006/relationships/hyperlink" Target="mailto:yzhang@etsy.com" TargetMode="External"/><Relationship Id="rId2119" Type="http://schemas.openxmlformats.org/officeDocument/2006/relationships/hyperlink" Target="mailto:whuang@etsy.com" TargetMode="External"/><Relationship Id="rId437" Type="http://schemas.openxmlformats.org/officeDocument/2006/relationships/hyperlink" Target="mailto:csu@etsy.com" TargetMode="External"/><Relationship Id="rId436" Type="http://schemas.openxmlformats.org/officeDocument/2006/relationships/hyperlink" Target="mailto:whuang@etsy.com" TargetMode="External"/><Relationship Id="rId435" Type="http://schemas.openxmlformats.org/officeDocument/2006/relationships/hyperlink" Target="mailto:ebenjamin@etsy.com" TargetMode="External"/><Relationship Id="rId434" Type="http://schemas.openxmlformats.org/officeDocument/2006/relationships/hyperlink" Target="mailto:csu@etsy.com" TargetMode="External"/><Relationship Id="rId439" Type="http://schemas.openxmlformats.org/officeDocument/2006/relationships/hyperlink" Target="mailto:whuang@etsy.com" TargetMode="External"/><Relationship Id="rId438" Type="http://schemas.openxmlformats.org/officeDocument/2006/relationships/hyperlink" Target="mailto:ebenjamin@etsy.com" TargetMode="External"/><Relationship Id="rId1260" Type="http://schemas.openxmlformats.org/officeDocument/2006/relationships/hyperlink" Target="mailto:yzhang@etsy.com" TargetMode="External"/><Relationship Id="rId1261" Type="http://schemas.openxmlformats.org/officeDocument/2006/relationships/hyperlink" Target="mailto:whuang@etsy.com" TargetMode="External"/><Relationship Id="rId1262" Type="http://schemas.openxmlformats.org/officeDocument/2006/relationships/hyperlink" Target="mailto:aangeleas@etsy.com" TargetMode="External"/><Relationship Id="rId1263" Type="http://schemas.openxmlformats.org/officeDocument/2006/relationships/hyperlink" Target="mailto:yzhang@etsy.com" TargetMode="External"/><Relationship Id="rId2110" Type="http://schemas.openxmlformats.org/officeDocument/2006/relationships/hyperlink" Target="mailto:whuang@etsy.com" TargetMode="External"/><Relationship Id="rId433" Type="http://schemas.openxmlformats.org/officeDocument/2006/relationships/hyperlink" Target="mailto:whuang@etsy.com" TargetMode="External"/><Relationship Id="rId1264" Type="http://schemas.openxmlformats.org/officeDocument/2006/relationships/hyperlink" Target="mailto:whuang@etsy.com" TargetMode="External"/><Relationship Id="rId2111" Type="http://schemas.openxmlformats.org/officeDocument/2006/relationships/hyperlink" Target="mailto:ebenjamin@etsy.com" TargetMode="External"/><Relationship Id="rId432" Type="http://schemas.openxmlformats.org/officeDocument/2006/relationships/hyperlink" Target="mailto:ebenjamin@etsy.com" TargetMode="External"/><Relationship Id="rId1265" Type="http://schemas.openxmlformats.org/officeDocument/2006/relationships/hyperlink" Target="mailto:aangeleas@etsy.com" TargetMode="External"/><Relationship Id="rId2112" Type="http://schemas.openxmlformats.org/officeDocument/2006/relationships/hyperlink" Target="mailto:yzhang@etsy.com" TargetMode="External"/><Relationship Id="rId431" Type="http://schemas.openxmlformats.org/officeDocument/2006/relationships/hyperlink" Target="mailto:csu@etsy.com" TargetMode="External"/><Relationship Id="rId1266" Type="http://schemas.openxmlformats.org/officeDocument/2006/relationships/hyperlink" Target="mailto:yzhang@etsy.com" TargetMode="External"/><Relationship Id="rId2113" Type="http://schemas.openxmlformats.org/officeDocument/2006/relationships/hyperlink" Target="mailto:whuang@etsy.com" TargetMode="External"/><Relationship Id="rId430" Type="http://schemas.openxmlformats.org/officeDocument/2006/relationships/hyperlink" Target="mailto:whuang@etsy.com" TargetMode="External"/><Relationship Id="rId1267" Type="http://schemas.openxmlformats.org/officeDocument/2006/relationships/hyperlink" Target="mailto:whuang@etsy.com" TargetMode="External"/><Relationship Id="rId2114" Type="http://schemas.openxmlformats.org/officeDocument/2006/relationships/hyperlink" Target="mailto:ebenjamin@ets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3.29"/>
    <col customWidth="1" min="2" max="2" width="25.29"/>
    <col customWidth="1" min="3" max="3" width="70.71"/>
    <col customWidth="1" min="4" max="4" width="46.0"/>
    <col customWidth="1" min="5" max="5" width="39.86"/>
    <col customWidth="1" hidden="1" min="6" max="6" width="12.86"/>
    <col customWidth="1" hidden="1" min="7" max="7" width="9.14"/>
    <col customWidth="1" hidden="1" min="8" max="8" width="9.71"/>
    <col customWidth="1" hidden="1" min="9" max="9" width="147.71"/>
    <col customWidth="1" hidden="1" min="10" max="10" width="20.0"/>
    <col customWidth="1" hidden="1" min="11" max="11" width="15.43"/>
    <col customWidth="1" hidden="1" min="12" max="12" width="24.29"/>
    <col customWidth="1" hidden="1" min="13" max="15" width="17.57"/>
    <col customWidth="1" min="16" max="20" width="8.71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2" t="s">
        <v>14</v>
      </c>
      <c r="P1" s="5"/>
      <c r="Q1" s="5"/>
      <c r="R1" s="5"/>
      <c r="S1" s="5"/>
      <c r="T1" s="5"/>
    </row>
    <row r="2">
      <c r="A2" s="6" t="str">
        <f t="shared" ref="A2:A721" si="1">TEXTJOIN(", ", TRUE, D2, F2)</f>
        <v>nautical baby shower favors, 1014137217</v>
      </c>
      <c r="B2" s="7" t="s">
        <v>15</v>
      </c>
      <c r="C2" s="5"/>
      <c r="D2" s="5" t="s">
        <v>16</v>
      </c>
      <c r="E2" s="5"/>
      <c r="F2" s="8">
        <v>1.014137217E9</v>
      </c>
      <c r="G2" s="9" t="str">
        <f>HYPERLINK("https://www.etsy.com/listing/1014137217", "link")</f>
        <v>link</v>
      </c>
      <c r="H2" s="9" t="str">
        <f>HYPERLINK("https://atlas.etsycorp.com/listing/1014137217/lookup", "link")</f>
        <v>link</v>
      </c>
      <c r="I2" s="5" t="s">
        <v>17</v>
      </c>
      <c r="J2" s="5" t="s">
        <v>18</v>
      </c>
      <c r="K2" s="5" t="s">
        <v>19</v>
      </c>
      <c r="L2" s="5" t="s">
        <v>20</v>
      </c>
      <c r="M2" s="10" t="s">
        <v>21</v>
      </c>
      <c r="N2" s="10" t="s">
        <v>22</v>
      </c>
      <c r="O2" s="11" t="s">
        <v>23</v>
      </c>
      <c r="P2" s="5"/>
      <c r="Q2" s="5"/>
      <c r="R2" s="5"/>
      <c r="S2" s="5"/>
      <c r="T2" s="5"/>
    </row>
    <row r="3">
      <c r="A3" s="6" t="str">
        <f t="shared" si="1"/>
        <v>vivienne westwood lighter, 1480332546</v>
      </c>
      <c r="B3" s="7" t="s">
        <v>24</v>
      </c>
      <c r="C3" s="7" t="s">
        <v>25</v>
      </c>
      <c r="D3" s="5" t="s">
        <v>26</v>
      </c>
      <c r="E3" s="5" t="s">
        <v>26</v>
      </c>
      <c r="F3" s="8">
        <v>1.480332546E9</v>
      </c>
      <c r="G3" s="9" t="str">
        <f>HYPERLINK("https://www.etsy.com/listing/1480332546", "link")</f>
        <v>link</v>
      </c>
      <c r="H3" s="9" t="str">
        <f>HYPERLINK("https://atlas.etsycorp.com/listing/1480332546/lookup", "link")</f>
        <v>link</v>
      </c>
      <c r="I3" s="5" t="s">
        <v>27</v>
      </c>
      <c r="J3" s="5" t="s">
        <v>28</v>
      </c>
      <c r="K3" s="5" t="s">
        <v>29</v>
      </c>
      <c r="L3" s="5" t="s">
        <v>30</v>
      </c>
      <c r="M3" s="10" t="s">
        <v>21</v>
      </c>
      <c r="N3" s="10" t="s">
        <v>22</v>
      </c>
      <c r="O3" s="11" t="s">
        <v>23</v>
      </c>
      <c r="P3" s="5"/>
      <c r="Q3" s="5"/>
      <c r="R3" s="5"/>
      <c r="S3" s="5"/>
      <c r="T3" s="5"/>
    </row>
    <row r="4">
      <c r="A4" s="6" t="str">
        <f t="shared" si="1"/>
        <v>warrior, 688801429</v>
      </c>
      <c r="B4" s="7" t="s">
        <v>15</v>
      </c>
      <c r="C4" s="7" t="s">
        <v>31</v>
      </c>
      <c r="D4" s="5" t="s">
        <v>32</v>
      </c>
      <c r="E4" s="5" t="s">
        <v>32</v>
      </c>
      <c r="F4" s="8">
        <v>6.88801429E8</v>
      </c>
      <c r="G4" s="9" t="str">
        <f>HYPERLINK("https://www.etsy.com/listing/688801429", "link")</f>
        <v>link</v>
      </c>
      <c r="H4" s="9" t="str">
        <f>HYPERLINK("https://atlas.etsycorp.com/listing/688801429/lookup", "link")</f>
        <v>link</v>
      </c>
      <c r="I4" s="5" t="s">
        <v>33</v>
      </c>
      <c r="J4" s="5" t="s">
        <v>34</v>
      </c>
      <c r="K4" s="5" t="s">
        <v>35</v>
      </c>
      <c r="L4" s="5" t="s">
        <v>36</v>
      </c>
      <c r="M4" s="10" t="s">
        <v>21</v>
      </c>
      <c r="N4" s="10" t="s">
        <v>22</v>
      </c>
      <c r="O4" s="11" t="s">
        <v>23</v>
      </c>
      <c r="P4" s="5"/>
      <c r="Q4" s="5"/>
      <c r="R4" s="5"/>
      <c r="S4" s="5"/>
      <c r="T4" s="5"/>
    </row>
    <row r="5">
      <c r="A5" s="6" t="str">
        <f t="shared" si="1"/>
        <v>drum lamp shade, 1425707409</v>
      </c>
      <c r="B5" s="7" t="s">
        <v>15</v>
      </c>
      <c r="C5" s="7" t="s">
        <v>37</v>
      </c>
      <c r="D5" s="5" t="s">
        <v>38</v>
      </c>
      <c r="E5" s="5"/>
      <c r="F5" s="8">
        <v>1.425707409E9</v>
      </c>
      <c r="G5" s="9" t="str">
        <f>HYPERLINK("https://www.etsy.com/listing/1425707409", "link")</f>
        <v>link</v>
      </c>
      <c r="H5" s="9" t="str">
        <f>HYPERLINK("https://atlas.etsycorp.com/listing/1425707409/lookup", "link")</f>
        <v>link</v>
      </c>
      <c r="I5" s="5" t="s">
        <v>39</v>
      </c>
      <c r="J5" s="5" t="s">
        <v>40</v>
      </c>
      <c r="K5" s="5" t="s">
        <v>19</v>
      </c>
      <c r="L5" s="5" t="s">
        <v>41</v>
      </c>
      <c r="M5" s="10" t="s">
        <v>21</v>
      </c>
      <c r="N5" s="10" t="s">
        <v>22</v>
      </c>
      <c r="O5" s="11" t="s">
        <v>23</v>
      </c>
      <c r="P5" s="5"/>
      <c r="Q5" s="5"/>
      <c r="R5" s="5"/>
      <c r="S5" s="5"/>
      <c r="T5" s="5"/>
    </row>
    <row r="6">
      <c r="A6" s="6" t="str">
        <f t="shared" si="1"/>
        <v>beast ring, 686462928</v>
      </c>
      <c r="B6" s="7" t="s">
        <v>15</v>
      </c>
      <c r="C6" s="7" t="s">
        <v>42</v>
      </c>
      <c r="D6" s="5" t="s">
        <v>43</v>
      </c>
      <c r="E6" s="5" t="s">
        <v>43</v>
      </c>
      <c r="F6" s="8">
        <v>6.86462928E8</v>
      </c>
      <c r="G6" s="9" t="str">
        <f>HYPERLINK("https://www.etsy.com/listing/686462928", "link")</f>
        <v>link</v>
      </c>
      <c r="H6" s="9" t="str">
        <f>HYPERLINK("https://atlas.etsycorp.com/listing/686462928/lookup", "link")</f>
        <v>link</v>
      </c>
      <c r="I6" s="5" t="s">
        <v>44</v>
      </c>
      <c r="J6" s="5" t="s">
        <v>45</v>
      </c>
      <c r="K6" s="5" t="s">
        <v>46</v>
      </c>
      <c r="L6" s="5" t="s">
        <v>47</v>
      </c>
      <c r="M6" s="10" t="s">
        <v>21</v>
      </c>
      <c r="N6" s="10" t="s">
        <v>22</v>
      </c>
      <c r="O6" s="11" t="s">
        <v>23</v>
      </c>
      <c r="P6" s="5"/>
      <c r="Q6" s="5"/>
      <c r="R6" s="5"/>
      <c r="S6" s="5"/>
      <c r="T6" s="5"/>
    </row>
    <row r="7">
      <c r="A7" s="6" t="str">
        <f t="shared" si="1"/>
        <v>cadre bijoux enfant, 955684776</v>
      </c>
      <c r="B7" s="7" t="s">
        <v>48</v>
      </c>
      <c r="C7" s="7" t="s">
        <v>49</v>
      </c>
      <c r="D7" s="5" t="s">
        <v>50</v>
      </c>
      <c r="E7" s="5" t="s">
        <v>51</v>
      </c>
      <c r="F7" s="8">
        <v>9.55684776E8</v>
      </c>
      <c r="G7" s="9" t="str">
        <f>HYPERLINK("https://www.etsy.com/listing/955684776", "link")</f>
        <v>link</v>
      </c>
      <c r="H7" s="9" t="str">
        <f>HYPERLINK("https://atlas.etsycorp.com/listing/955684776/lookup", "link")</f>
        <v>link</v>
      </c>
      <c r="I7" s="5" t="s">
        <v>52</v>
      </c>
      <c r="J7" s="5" t="s">
        <v>53</v>
      </c>
      <c r="K7" s="5" t="s">
        <v>54</v>
      </c>
      <c r="L7" s="5" t="s">
        <v>55</v>
      </c>
      <c r="M7" s="10" t="s">
        <v>21</v>
      </c>
      <c r="N7" s="10" t="s">
        <v>22</v>
      </c>
      <c r="O7" s="11" t="s">
        <v>23</v>
      </c>
      <c r="P7" s="5"/>
      <c r="Q7" s="5"/>
      <c r="R7" s="5"/>
      <c r="S7" s="5"/>
      <c r="T7" s="5"/>
    </row>
    <row r="8">
      <c r="A8" s="6" t="str">
        <f t="shared" si="1"/>
        <v>hanfu yellow, 1080142973</v>
      </c>
      <c r="B8" s="7" t="s">
        <v>24</v>
      </c>
      <c r="C8" s="7" t="s">
        <v>56</v>
      </c>
      <c r="D8" s="5" t="s">
        <v>57</v>
      </c>
      <c r="E8" s="5"/>
      <c r="F8" s="8">
        <v>1.080142973E9</v>
      </c>
      <c r="G8" s="9" t="str">
        <f>HYPERLINK("https://www.etsy.com/listing/1080142973", "link")</f>
        <v>link</v>
      </c>
      <c r="H8" s="9" t="str">
        <f>HYPERLINK("https://atlas.etsycorp.com/listing/1080142973/lookup", "link")</f>
        <v>link</v>
      </c>
      <c r="I8" s="5" t="s">
        <v>58</v>
      </c>
      <c r="J8" s="5" t="s">
        <v>59</v>
      </c>
      <c r="K8" s="5" t="s">
        <v>19</v>
      </c>
      <c r="L8" s="5" t="s">
        <v>20</v>
      </c>
      <c r="M8" s="10" t="s">
        <v>21</v>
      </c>
      <c r="N8" s="10" t="s">
        <v>22</v>
      </c>
      <c r="O8" s="11" t="s">
        <v>23</v>
      </c>
      <c r="P8" s="5"/>
      <c r="Q8" s="5"/>
      <c r="R8" s="5"/>
      <c r="S8" s="5"/>
      <c r="T8" s="5"/>
    </row>
    <row r="9">
      <c r="A9" s="6" t="str">
        <f t="shared" si="1"/>
        <v>schwebender nachttisch schwarz schmal, 717506555</v>
      </c>
      <c r="B9" s="7" t="s">
        <v>24</v>
      </c>
      <c r="C9" s="7" t="s">
        <v>60</v>
      </c>
      <c r="D9" s="5" t="s">
        <v>61</v>
      </c>
      <c r="E9" s="5" t="s">
        <v>62</v>
      </c>
      <c r="F9" s="8">
        <v>7.17506555E8</v>
      </c>
      <c r="G9" s="9" t="str">
        <f>HYPERLINK("https://www.etsy.com/listing/717506555", "link")</f>
        <v>link</v>
      </c>
      <c r="H9" s="9" t="str">
        <f>HYPERLINK("https://atlas.etsycorp.com/listing/717506555/lookup", "link")</f>
        <v>link</v>
      </c>
      <c r="I9" s="5" t="s">
        <v>63</v>
      </c>
      <c r="J9" s="5" t="s">
        <v>64</v>
      </c>
      <c r="K9" s="5" t="s">
        <v>46</v>
      </c>
      <c r="L9" s="5" t="s">
        <v>47</v>
      </c>
      <c r="M9" s="10" t="s">
        <v>21</v>
      </c>
      <c r="N9" s="10" t="s">
        <v>22</v>
      </c>
      <c r="O9" s="11" t="s">
        <v>23</v>
      </c>
      <c r="P9" s="5"/>
      <c r="Q9" s="5"/>
      <c r="R9" s="5"/>
      <c r="S9" s="5"/>
      <c r="T9" s="5"/>
    </row>
    <row r="10">
      <c r="A10" s="6" t="str">
        <f t="shared" si="1"/>
        <v>Etsy customer service contact, 1094320863</v>
      </c>
      <c r="B10" s="7" t="s">
        <v>65</v>
      </c>
      <c r="C10" s="7" t="s">
        <v>66</v>
      </c>
      <c r="D10" s="5" t="s">
        <v>67</v>
      </c>
      <c r="E10" s="5"/>
      <c r="F10" s="8">
        <v>1.094320863E9</v>
      </c>
      <c r="G10" s="9" t="str">
        <f>HYPERLINK("https://www.etsy.com/listing/1094320863", "link")</f>
        <v>link</v>
      </c>
      <c r="H10" s="9" t="str">
        <f>HYPERLINK("https://atlas.etsycorp.com/listing/1094320863/lookup", "link")</f>
        <v>link</v>
      </c>
      <c r="I10" s="5" t="s">
        <v>68</v>
      </c>
      <c r="J10" s="5" t="s">
        <v>69</v>
      </c>
      <c r="K10" s="5" t="s">
        <v>19</v>
      </c>
      <c r="L10" s="5" t="s">
        <v>41</v>
      </c>
      <c r="M10" s="10" t="s">
        <v>21</v>
      </c>
      <c r="N10" s="10" t="s">
        <v>22</v>
      </c>
      <c r="O10" s="11" t="s">
        <v>23</v>
      </c>
      <c r="P10" s="5"/>
      <c r="Q10" s="5"/>
      <c r="R10" s="5"/>
      <c r="S10" s="5"/>
      <c r="T10" s="5"/>
    </row>
    <row r="11">
      <c r="A11" s="6" t="str">
        <f t="shared" si="1"/>
        <v>Custom baby blanket, 1530581565</v>
      </c>
      <c r="B11" s="7" t="s">
        <v>15</v>
      </c>
      <c r="C11" s="5"/>
      <c r="D11" s="5" t="s">
        <v>70</v>
      </c>
      <c r="E11" s="5"/>
      <c r="F11" s="8">
        <v>1.530581565E9</v>
      </c>
      <c r="G11" s="9" t="str">
        <f>HYPERLINK("https://www.etsy.com/listing/1530581565", "link")</f>
        <v>link</v>
      </c>
      <c r="H11" s="9" t="str">
        <f>HYPERLINK("https://atlas.etsycorp.com/listing/1530581565/lookup", "link")</f>
        <v>link</v>
      </c>
      <c r="I11" s="5" t="s">
        <v>71</v>
      </c>
      <c r="J11" s="5" t="s">
        <v>72</v>
      </c>
      <c r="K11" s="5" t="s">
        <v>19</v>
      </c>
      <c r="L11" s="5" t="s">
        <v>73</v>
      </c>
      <c r="M11" s="10" t="s">
        <v>21</v>
      </c>
      <c r="N11" s="10" t="s">
        <v>22</v>
      </c>
      <c r="O11" s="11" t="s">
        <v>23</v>
      </c>
      <c r="P11" s="5"/>
      <c r="Q11" s="5"/>
      <c r="R11" s="5"/>
      <c r="S11" s="5"/>
      <c r="T11" s="5"/>
    </row>
    <row r="12">
      <c r="A12" s="6" t="str">
        <f t="shared" si="1"/>
        <v>welding caps aztec, 937827447</v>
      </c>
      <c r="B12" s="7" t="s">
        <v>15</v>
      </c>
      <c r="C12" s="5"/>
      <c r="D12" s="5" t="s">
        <v>74</v>
      </c>
      <c r="E12" s="5"/>
      <c r="F12" s="8">
        <v>9.37827447E8</v>
      </c>
      <c r="G12" s="9" t="str">
        <f>HYPERLINK("https://www.etsy.com/listing/937827447", "link")</f>
        <v>link</v>
      </c>
      <c r="H12" s="9" t="str">
        <f>HYPERLINK("https://atlas.etsycorp.com/listing/937827447/lookup", "link")</f>
        <v>link</v>
      </c>
      <c r="I12" s="5" t="s">
        <v>75</v>
      </c>
      <c r="J12" s="5" t="s">
        <v>76</v>
      </c>
      <c r="K12" s="5" t="s">
        <v>19</v>
      </c>
      <c r="L12" s="5" t="s">
        <v>73</v>
      </c>
      <c r="M12" s="10" t="s">
        <v>21</v>
      </c>
      <c r="N12" s="10" t="s">
        <v>22</v>
      </c>
      <c r="O12" s="11" t="s">
        <v>23</v>
      </c>
      <c r="P12" s="5"/>
      <c r="Q12" s="5"/>
      <c r="R12" s="5"/>
      <c r="S12" s="5"/>
      <c r="T12" s="5"/>
    </row>
    <row r="13">
      <c r="A13" s="6" t="str">
        <f t="shared" si="1"/>
        <v>oraclr middle ages, 1523227355</v>
      </c>
      <c r="B13" s="7" t="s">
        <v>15</v>
      </c>
      <c r="C13" s="5"/>
      <c r="D13" s="5" t="s">
        <v>77</v>
      </c>
      <c r="E13" s="5" t="s">
        <v>77</v>
      </c>
      <c r="F13" s="8">
        <v>1.523227355E9</v>
      </c>
      <c r="G13" s="9" t="str">
        <f>HYPERLINK("https://www.etsy.com/listing/1523227355", "link")</f>
        <v>link</v>
      </c>
      <c r="H13" s="9" t="str">
        <f>HYPERLINK("https://atlas.etsycorp.com/listing/1523227355/lookup", "link")</f>
        <v>link</v>
      </c>
      <c r="I13" s="5" t="s">
        <v>78</v>
      </c>
      <c r="J13" s="5" t="s">
        <v>79</v>
      </c>
      <c r="K13" s="5" t="s">
        <v>80</v>
      </c>
      <c r="L13" s="5" t="s">
        <v>81</v>
      </c>
      <c r="M13" s="10" t="s">
        <v>21</v>
      </c>
      <c r="N13" s="10" t="s">
        <v>22</v>
      </c>
      <c r="O13" s="11" t="s">
        <v>23</v>
      </c>
      <c r="P13" s="5"/>
      <c r="Q13" s="5"/>
      <c r="R13" s="5"/>
      <c r="S13" s="5"/>
      <c r="T13" s="5"/>
    </row>
    <row r="14">
      <c r="A14" s="6" t="str">
        <f t="shared" si="1"/>
        <v>sexmovies, 1389820879</v>
      </c>
      <c r="B14" s="7" t="s">
        <v>65</v>
      </c>
      <c r="C14" s="5"/>
      <c r="D14" s="5" t="s">
        <v>82</v>
      </c>
      <c r="E14" s="5"/>
      <c r="F14" s="8">
        <v>1.389820879E9</v>
      </c>
      <c r="G14" s="9" t="str">
        <f>HYPERLINK("https://www.etsy.com/listing/1389820879", "link")</f>
        <v>link</v>
      </c>
      <c r="H14" s="9" t="str">
        <f>HYPERLINK("https://atlas.etsycorp.com/listing/1389820879/lookup", "link")</f>
        <v>link</v>
      </c>
      <c r="I14" s="5" t="s">
        <v>83</v>
      </c>
      <c r="J14" s="5" t="s">
        <v>84</v>
      </c>
      <c r="K14" s="5" t="s">
        <v>19</v>
      </c>
      <c r="L14" s="5" t="s">
        <v>41</v>
      </c>
      <c r="M14" s="10" t="s">
        <v>21</v>
      </c>
      <c r="N14" s="10" t="s">
        <v>22</v>
      </c>
      <c r="O14" s="11" t="s">
        <v>23</v>
      </c>
      <c r="P14" s="5"/>
      <c r="Q14" s="5"/>
      <c r="R14" s="5"/>
      <c r="S14" s="5"/>
      <c r="T14" s="5"/>
    </row>
    <row r="15">
      <c r="A15" s="6" t="str">
        <f t="shared" si="1"/>
        <v>adventskalender, 633988142</v>
      </c>
      <c r="B15" s="7" t="s">
        <v>15</v>
      </c>
      <c r="C15" s="5"/>
      <c r="D15" s="5" t="s">
        <v>85</v>
      </c>
      <c r="E15" s="5" t="s">
        <v>86</v>
      </c>
      <c r="F15" s="8">
        <v>6.33988142E8</v>
      </c>
      <c r="G15" s="9" t="str">
        <f>HYPERLINK("https://www.etsy.com/listing/633988142", "link")</f>
        <v>link</v>
      </c>
      <c r="H15" s="9" t="str">
        <f>HYPERLINK("https://atlas.etsycorp.com/listing/633988142/lookup", "link")</f>
        <v>link</v>
      </c>
      <c r="I15" s="5" t="s">
        <v>87</v>
      </c>
      <c r="J15" s="5" t="s">
        <v>88</v>
      </c>
      <c r="K15" s="5" t="s">
        <v>46</v>
      </c>
      <c r="L15" s="5" t="s">
        <v>47</v>
      </c>
      <c r="M15" s="10" t="s">
        <v>21</v>
      </c>
      <c r="N15" s="10" t="s">
        <v>22</v>
      </c>
      <c r="O15" s="11" t="s">
        <v>23</v>
      </c>
      <c r="P15" s="5"/>
      <c r="Q15" s="5"/>
      <c r="R15" s="5"/>
      <c r="S15" s="5"/>
      <c r="T15" s="5"/>
    </row>
    <row r="16">
      <c r="A16" s="6" t="str">
        <f t="shared" si="1"/>
        <v>Find shirts, 1749152089</v>
      </c>
      <c r="B16" s="7" t="s">
        <v>48</v>
      </c>
      <c r="C16" s="5"/>
      <c r="D16" s="5" t="s">
        <v>89</v>
      </c>
      <c r="E16" s="5" t="s">
        <v>89</v>
      </c>
      <c r="F16" s="8">
        <v>1.749152089E9</v>
      </c>
      <c r="G16" s="9" t="str">
        <f>HYPERLINK("https://www.etsy.com/listing/1749152089", "link")</f>
        <v>link</v>
      </c>
      <c r="H16" s="9" t="str">
        <f>HYPERLINK("https://atlas.etsycorp.com/listing/1749152089/lookup", "link")</f>
        <v>link</v>
      </c>
      <c r="I16" s="5" t="s">
        <v>90</v>
      </c>
      <c r="J16" s="5" t="s">
        <v>91</v>
      </c>
      <c r="K16" s="5" t="s">
        <v>29</v>
      </c>
      <c r="L16" s="5" t="s">
        <v>30</v>
      </c>
      <c r="M16" s="10" t="s">
        <v>21</v>
      </c>
      <c r="N16" s="10" t="s">
        <v>22</v>
      </c>
      <c r="O16" s="11" t="s">
        <v>23</v>
      </c>
      <c r="P16" s="5"/>
      <c r="Q16" s="5"/>
      <c r="R16" s="5"/>
      <c r="S16" s="5"/>
      <c r="T16" s="5"/>
    </row>
    <row r="17">
      <c r="A17" s="6" t="str">
        <f t="shared" si="1"/>
        <v>bracelet personnalisé femme, 1607171169</v>
      </c>
      <c r="B17" s="7" t="s">
        <v>15</v>
      </c>
      <c r="C17" s="5"/>
      <c r="D17" s="5" t="s">
        <v>92</v>
      </c>
      <c r="E17" s="5" t="s">
        <v>93</v>
      </c>
      <c r="F17" s="8">
        <v>1.607171169E9</v>
      </c>
      <c r="G17" s="9" t="str">
        <f>HYPERLINK("https://www.etsy.com/listing/1607171169", "link")</f>
        <v>link</v>
      </c>
      <c r="H17" s="9" t="str">
        <f>HYPERLINK("https://atlas.etsycorp.com/listing/1607171169/lookup", "link")</f>
        <v>link</v>
      </c>
      <c r="I17" s="5" t="s">
        <v>94</v>
      </c>
      <c r="J17" s="5" t="s">
        <v>95</v>
      </c>
      <c r="K17" s="5" t="s">
        <v>54</v>
      </c>
      <c r="L17" s="5" t="s">
        <v>55</v>
      </c>
      <c r="M17" s="10" t="s">
        <v>21</v>
      </c>
      <c r="N17" s="10" t="s">
        <v>22</v>
      </c>
      <c r="O17" s="11" t="s">
        <v>23</v>
      </c>
      <c r="P17" s="5"/>
      <c r="Q17" s="5"/>
      <c r="R17" s="5"/>
      <c r="S17" s="5"/>
      <c r="T17" s="5"/>
    </row>
    <row r="18">
      <c r="A18" s="6" t="str">
        <f t="shared" si="1"/>
        <v>witcher&amp;#39;s fan gift, 1568718608</v>
      </c>
      <c r="B18" s="7" t="s">
        <v>15</v>
      </c>
      <c r="C18" s="7" t="s">
        <v>96</v>
      </c>
      <c r="D18" s="5" t="s">
        <v>97</v>
      </c>
      <c r="E18" s="5"/>
      <c r="F18" s="8">
        <v>1.568718608E9</v>
      </c>
      <c r="G18" s="9" t="str">
        <f>HYPERLINK("https://www.etsy.com/listing/1568718608", "link")</f>
        <v>link</v>
      </c>
      <c r="H18" s="9" t="str">
        <f>HYPERLINK("https://atlas.etsycorp.com/listing/1568718608/lookup", "link")</f>
        <v>link</v>
      </c>
      <c r="I18" s="5" t="s">
        <v>98</v>
      </c>
      <c r="J18" s="5" t="s">
        <v>99</v>
      </c>
      <c r="K18" s="5" t="s">
        <v>19</v>
      </c>
      <c r="L18" s="5" t="s">
        <v>100</v>
      </c>
      <c r="M18" s="10" t="s">
        <v>21</v>
      </c>
      <c r="N18" s="10" t="s">
        <v>22</v>
      </c>
      <c r="O18" s="11" t="s">
        <v>23</v>
      </c>
      <c r="P18" s="5"/>
      <c r="Q18" s="5"/>
      <c r="R18" s="5"/>
      <c r="S18" s="5"/>
      <c r="T18" s="5"/>
    </row>
    <row r="19">
      <c r="A19" s="6" t="str">
        <f t="shared" si="1"/>
        <v>graffiti wall art, 1612813608</v>
      </c>
      <c r="B19" s="7" t="s">
        <v>48</v>
      </c>
      <c r="C19" s="7" t="s">
        <v>101</v>
      </c>
      <c r="D19" s="5" t="s">
        <v>102</v>
      </c>
      <c r="E19" s="5"/>
      <c r="F19" s="8">
        <v>1.612813608E9</v>
      </c>
      <c r="G19" s="9" t="str">
        <f>HYPERLINK("https://www.etsy.com/listing/1612813608", "link")</f>
        <v>link</v>
      </c>
      <c r="H19" s="9" t="str">
        <f>HYPERLINK("https://atlas.etsycorp.com/listing/1612813608/lookup", "link")</f>
        <v>link</v>
      </c>
      <c r="I19" s="5" t="s">
        <v>103</v>
      </c>
      <c r="J19" s="5" t="s">
        <v>104</v>
      </c>
      <c r="K19" s="5" t="s">
        <v>19</v>
      </c>
      <c r="L19" s="5" t="s">
        <v>73</v>
      </c>
      <c r="M19" s="10" t="s">
        <v>21</v>
      </c>
      <c r="N19" s="10" t="s">
        <v>22</v>
      </c>
      <c r="O19" s="11" t="s">
        <v>23</v>
      </c>
      <c r="P19" s="5"/>
      <c r="Q19" s="5"/>
      <c r="R19" s="5"/>
      <c r="S19" s="5"/>
      <c r="T19" s="5"/>
    </row>
    <row r="20">
      <c r="A20" s="6" t="str">
        <f t="shared" si="1"/>
        <v>badge wallet, 798691373</v>
      </c>
      <c r="B20" s="7" t="s">
        <v>24</v>
      </c>
      <c r="C20" s="7" t="s">
        <v>105</v>
      </c>
      <c r="D20" s="5" t="s">
        <v>106</v>
      </c>
      <c r="E20" s="5"/>
      <c r="F20" s="8">
        <v>7.98691373E8</v>
      </c>
      <c r="G20" s="9" t="str">
        <f>HYPERLINK("https://www.etsy.com/listing/798691373", "link")</f>
        <v>link</v>
      </c>
      <c r="H20" s="9" t="str">
        <f>HYPERLINK("https://atlas.etsycorp.com/listing/798691373/lookup", "link")</f>
        <v>link</v>
      </c>
      <c r="I20" s="5" t="s">
        <v>107</v>
      </c>
      <c r="J20" s="5" t="s">
        <v>108</v>
      </c>
      <c r="K20" s="5" t="s">
        <v>19</v>
      </c>
      <c r="L20" s="5" t="s">
        <v>41</v>
      </c>
      <c r="M20" s="10" t="s">
        <v>21</v>
      </c>
      <c r="N20" s="10" t="s">
        <v>22</v>
      </c>
      <c r="O20" s="11" t="s">
        <v>23</v>
      </c>
      <c r="P20" s="5"/>
      <c r="Q20" s="5"/>
      <c r="R20" s="5"/>
      <c r="S20" s="5"/>
      <c r="T20" s="5"/>
    </row>
    <row r="21" ht="15.75" customHeight="1">
      <c r="A21" s="6" t="str">
        <f t="shared" si="1"/>
        <v>car emblem 3d printing, 1537058212</v>
      </c>
      <c r="B21" s="7" t="s">
        <v>15</v>
      </c>
      <c r="C21" s="7" t="s">
        <v>109</v>
      </c>
      <c r="D21" s="5" t="s">
        <v>110</v>
      </c>
      <c r="E21" s="5"/>
      <c r="F21" s="8">
        <v>1.537058212E9</v>
      </c>
      <c r="G21" s="9" t="str">
        <f>HYPERLINK("https://www.etsy.com/listing/1537058212", "link")</f>
        <v>link</v>
      </c>
      <c r="H21" s="9" t="str">
        <f>HYPERLINK("https://atlas.etsycorp.com/listing/1537058212/lookup", "link")</f>
        <v>link</v>
      </c>
      <c r="I21" s="5" t="s">
        <v>111</v>
      </c>
      <c r="J21" s="5" t="s">
        <v>112</v>
      </c>
      <c r="K21" s="5" t="s">
        <v>19</v>
      </c>
      <c r="L21" s="5" t="s">
        <v>73</v>
      </c>
      <c r="M21" s="10" t="s">
        <v>21</v>
      </c>
      <c r="N21" s="10" t="s">
        <v>22</v>
      </c>
      <c r="O21" s="11" t="s">
        <v>23</v>
      </c>
      <c r="P21" s="5"/>
      <c r="Q21" s="5"/>
      <c r="R21" s="5"/>
      <c r="S21" s="5"/>
      <c r="T21" s="5"/>
    </row>
    <row r="22" ht="15.75" customHeight="1">
      <c r="A22" s="6" t="str">
        <f t="shared" si="1"/>
        <v>ep-133 case, 1639194804</v>
      </c>
      <c r="B22" s="7" t="s">
        <v>24</v>
      </c>
      <c r="C22" s="7" t="s">
        <v>113</v>
      </c>
      <c r="D22" s="5" t="s">
        <v>114</v>
      </c>
      <c r="E22" s="5"/>
      <c r="F22" s="8">
        <v>1.639194804E9</v>
      </c>
      <c r="G22" s="9" t="str">
        <f>HYPERLINK("https://www.etsy.com/listing/1639194804", "link")</f>
        <v>link</v>
      </c>
      <c r="H22" s="9" t="str">
        <f>HYPERLINK("https://atlas.etsycorp.com/listing/1639194804/lookup", "link")</f>
        <v>link</v>
      </c>
      <c r="I22" s="5" t="s">
        <v>115</v>
      </c>
      <c r="J22" s="5" t="s">
        <v>116</v>
      </c>
      <c r="K22" s="5" t="s">
        <v>19</v>
      </c>
      <c r="L22" s="5" t="s">
        <v>73</v>
      </c>
      <c r="M22" s="10" t="s">
        <v>21</v>
      </c>
      <c r="N22" s="10" t="s">
        <v>22</v>
      </c>
      <c r="O22" s="11" t="s">
        <v>23</v>
      </c>
      <c r="P22" s="5"/>
      <c r="Q22" s="5"/>
      <c r="R22" s="5"/>
      <c r="S22" s="5"/>
      <c r="T22" s="5"/>
    </row>
    <row r="23" ht="15.75" customHeight="1">
      <c r="A23" s="6" t="str">
        <f t="shared" si="1"/>
        <v>personalized gift, 1263677130</v>
      </c>
      <c r="B23" s="7" t="s">
        <v>15</v>
      </c>
      <c r="C23" s="5"/>
      <c r="D23" s="5" t="s">
        <v>117</v>
      </c>
      <c r="E23" s="5"/>
      <c r="F23" s="8">
        <v>1.26367713E9</v>
      </c>
      <c r="G23" s="9" t="str">
        <f>HYPERLINK("https://www.etsy.com/listing/1263677130", "link")</f>
        <v>link</v>
      </c>
      <c r="H23" s="9" t="str">
        <f>HYPERLINK("https://atlas.etsycorp.com/listing/1263677130/lookup", "link")</f>
        <v>link</v>
      </c>
      <c r="I23" s="5" t="s">
        <v>118</v>
      </c>
      <c r="J23" s="5" t="s">
        <v>119</v>
      </c>
      <c r="K23" s="5" t="s">
        <v>120</v>
      </c>
      <c r="L23" s="5" t="s">
        <v>100</v>
      </c>
      <c r="M23" s="10" t="s">
        <v>21</v>
      </c>
      <c r="N23" s="10" t="s">
        <v>22</v>
      </c>
      <c r="O23" s="11" t="s">
        <v>23</v>
      </c>
      <c r="P23" s="5"/>
      <c r="Q23" s="5"/>
      <c r="R23" s="5"/>
      <c r="S23" s="5"/>
      <c r="T23" s="5"/>
    </row>
    <row r="24" ht="15.75" customHeight="1">
      <c r="A24" s="6" t="str">
        <f t="shared" si="1"/>
        <v>wings of fire  hivewing plush, 1014676666</v>
      </c>
      <c r="B24" s="7" t="s">
        <v>24</v>
      </c>
      <c r="C24" s="7" t="s">
        <v>121</v>
      </c>
      <c r="D24" s="5" t="s">
        <v>122</v>
      </c>
      <c r="E24" s="5"/>
      <c r="F24" s="8">
        <v>1.014676666E9</v>
      </c>
      <c r="G24" s="9" t="str">
        <f>HYPERLINK("https://www.etsy.com/listing/1014676666", "link")</f>
        <v>link</v>
      </c>
      <c r="H24" s="9" t="str">
        <f>HYPERLINK("https://atlas.etsycorp.com/listing/1014676666/lookup", "link")</f>
        <v>link</v>
      </c>
      <c r="I24" s="5" t="s">
        <v>123</v>
      </c>
      <c r="J24" s="5" t="s">
        <v>124</v>
      </c>
      <c r="K24" s="5" t="s">
        <v>19</v>
      </c>
      <c r="L24" s="5" t="s">
        <v>73</v>
      </c>
      <c r="M24" s="10" t="s">
        <v>21</v>
      </c>
      <c r="N24" s="10" t="s">
        <v>22</v>
      </c>
      <c r="O24" s="11" t="s">
        <v>23</v>
      </c>
      <c r="P24" s="5"/>
      <c r="Q24" s="5"/>
      <c r="R24" s="5"/>
      <c r="S24" s="5"/>
      <c r="T24" s="5"/>
    </row>
    <row r="25" ht="15.75" customHeight="1">
      <c r="A25" s="6" t="str">
        <f t="shared" si="1"/>
        <v>bracelet pour montre femme 1cm, 1658910815</v>
      </c>
      <c r="B25" s="7" t="s">
        <v>24</v>
      </c>
      <c r="C25" s="7" t="s">
        <v>125</v>
      </c>
      <c r="D25" s="5" t="s">
        <v>126</v>
      </c>
      <c r="E25" s="5" t="s">
        <v>127</v>
      </c>
      <c r="F25" s="8">
        <v>1.658910815E9</v>
      </c>
      <c r="G25" s="9" t="str">
        <f>HYPERLINK("https://www.etsy.com/listing/1658910815", "link")</f>
        <v>link</v>
      </c>
      <c r="H25" s="9" t="str">
        <f>HYPERLINK("https://atlas.etsycorp.com/listing/1658910815/lookup", "link")</f>
        <v>link</v>
      </c>
      <c r="I25" s="5" t="s">
        <v>128</v>
      </c>
      <c r="J25" s="5" t="s">
        <v>129</v>
      </c>
      <c r="K25" s="5" t="s">
        <v>54</v>
      </c>
      <c r="L25" s="5" t="s">
        <v>55</v>
      </c>
      <c r="M25" s="10" t="s">
        <v>21</v>
      </c>
      <c r="N25" s="10" t="s">
        <v>22</v>
      </c>
      <c r="O25" s="11" t="s">
        <v>23</v>
      </c>
      <c r="P25" s="5"/>
      <c r="Q25" s="5"/>
      <c r="R25" s="5"/>
      <c r="S25" s="5"/>
      <c r="T25" s="5"/>
    </row>
    <row r="26" ht="15.75" customHeight="1">
      <c r="A26" s="6" t="str">
        <f t="shared" si="1"/>
        <v>football gifts for girls, 1363462243</v>
      </c>
      <c r="B26" s="7" t="s">
        <v>24</v>
      </c>
      <c r="C26" s="7" t="s">
        <v>130</v>
      </c>
      <c r="D26" s="5" t="s">
        <v>131</v>
      </c>
      <c r="E26" s="5"/>
      <c r="F26" s="8">
        <v>1.363462243E9</v>
      </c>
      <c r="G26" s="9" t="str">
        <f>HYPERLINK("https://www.etsy.com/listing/1363462243", "link")</f>
        <v>link</v>
      </c>
      <c r="H26" s="9" t="str">
        <f>HYPERLINK("https://atlas.etsycorp.com/listing/1363462243/lookup", "link")</f>
        <v>link</v>
      </c>
      <c r="I26" s="5" t="s">
        <v>132</v>
      </c>
      <c r="J26" s="5" t="s">
        <v>133</v>
      </c>
      <c r="K26" s="5" t="s">
        <v>120</v>
      </c>
      <c r="L26" s="5" t="s">
        <v>100</v>
      </c>
      <c r="M26" s="10" t="s">
        <v>21</v>
      </c>
      <c r="N26" s="10" t="s">
        <v>22</v>
      </c>
      <c r="O26" s="11" t="s">
        <v>23</v>
      </c>
      <c r="P26" s="5"/>
      <c r="Q26" s="5"/>
      <c r="R26" s="5"/>
      <c r="S26" s="5"/>
      <c r="T26" s="5"/>
    </row>
    <row r="27" ht="15.75" customHeight="1">
      <c r="A27" s="6" t="str">
        <f t="shared" si="1"/>
        <v>piel de cocodrilo, 1313047323</v>
      </c>
      <c r="B27" s="7" t="s">
        <v>15</v>
      </c>
      <c r="C27" s="7" t="s">
        <v>134</v>
      </c>
      <c r="D27" s="5" t="s">
        <v>135</v>
      </c>
      <c r="E27" s="5" t="s">
        <v>136</v>
      </c>
      <c r="F27" s="8">
        <v>1.313047323E9</v>
      </c>
      <c r="G27" s="9" t="str">
        <f>HYPERLINK("https://www.etsy.com/listing/1313047323", "link")</f>
        <v>link</v>
      </c>
      <c r="H27" s="9" t="str">
        <f>HYPERLINK("https://atlas.etsycorp.com/listing/1313047323/lookup", "link")</f>
        <v>link</v>
      </c>
      <c r="I27" s="5" t="s">
        <v>137</v>
      </c>
      <c r="J27" s="5" t="s">
        <v>138</v>
      </c>
      <c r="K27" s="5" t="s">
        <v>29</v>
      </c>
      <c r="L27" s="5" t="s">
        <v>30</v>
      </c>
      <c r="M27" s="10" t="s">
        <v>21</v>
      </c>
      <c r="N27" s="10" t="s">
        <v>22</v>
      </c>
      <c r="O27" s="11" t="s">
        <v>23</v>
      </c>
      <c r="P27" s="5"/>
      <c r="Q27" s="5"/>
      <c r="R27" s="5"/>
      <c r="S27" s="5"/>
      <c r="T27" s="5"/>
    </row>
    <row r="28" ht="15.75" customHeight="1">
      <c r="A28" s="6" t="str">
        <f t="shared" si="1"/>
        <v>wickelauflage, 1087431613</v>
      </c>
      <c r="B28" s="7" t="s">
        <v>15</v>
      </c>
      <c r="C28" s="7" t="s">
        <v>139</v>
      </c>
      <c r="D28" s="5" t="s">
        <v>140</v>
      </c>
      <c r="E28" s="5" t="s">
        <v>141</v>
      </c>
      <c r="F28" s="8">
        <v>1.087431613E9</v>
      </c>
      <c r="G28" s="9" t="str">
        <f>HYPERLINK("https://www.etsy.com/listing/1087431613", "link")</f>
        <v>link</v>
      </c>
      <c r="H28" s="9" t="str">
        <f>HYPERLINK("https://atlas.etsycorp.com/listing/1087431613/lookup", "link")</f>
        <v>link</v>
      </c>
      <c r="I28" s="5" t="s">
        <v>142</v>
      </c>
      <c r="J28" s="5" t="s">
        <v>143</v>
      </c>
      <c r="K28" s="5" t="s">
        <v>46</v>
      </c>
      <c r="L28" s="5" t="s">
        <v>47</v>
      </c>
      <c r="M28" s="10" t="s">
        <v>21</v>
      </c>
      <c r="N28" s="10" t="s">
        <v>22</v>
      </c>
      <c r="O28" s="11" t="s">
        <v>23</v>
      </c>
      <c r="P28" s="5"/>
      <c r="Q28" s="5"/>
      <c r="R28" s="5"/>
      <c r="S28" s="5"/>
      <c r="T28" s="5"/>
    </row>
    <row r="29" ht="15.75" customHeight="1">
      <c r="A29" s="6" t="str">
        <f t="shared" si="1"/>
        <v>wickelunterlage to go wasserabweisend, 1473920795</v>
      </c>
      <c r="B29" s="7" t="s">
        <v>15</v>
      </c>
      <c r="C29" s="7" t="s">
        <v>144</v>
      </c>
      <c r="D29" s="5" t="s">
        <v>145</v>
      </c>
      <c r="E29" s="5" t="s">
        <v>146</v>
      </c>
      <c r="F29" s="8">
        <v>1.473920795E9</v>
      </c>
      <c r="G29" s="9" t="str">
        <f>HYPERLINK("https://www.etsy.com/listing/1473920795", "link")</f>
        <v>link</v>
      </c>
      <c r="H29" s="9" t="str">
        <f>HYPERLINK("https://atlas.etsycorp.com/listing/1473920795/lookup", "link")</f>
        <v>link</v>
      </c>
      <c r="I29" s="5" t="s">
        <v>147</v>
      </c>
      <c r="J29" s="5" t="s">
        <v>148</v>
      </c>
      <c r="K29" s="5" t="s">
        <v>46</v>
      </c>
      <c r="L29" s="5" t="s">
        <v>47</v>
      </c>
      <c r="M29" s="10" t="s">
        <v>21</v>
      </c>
      <c r="N29" s="10" t="s">
        <v>22</v>
      </c>
      <c r="O29" s="11" t="s">
        <v>23</v>
      </c>
      <c r="P29" s="5"/>
      <c r="Q29" s="5"/>
      <c r="R29" s="5"/>
      <c r="S29" s="5"/>
      <c r="T29" s="5"/>
    </row>
    <row r="30" ht="15.75" customHeight="1">
      <c r="A30" s="6" t="str">
        <f t="shared" si="1"/>
        <v>thigh high socks, 1554609057</v>
      </c>
      <c r="B30" s="7" t="s">
        <v>15</v>
      </c>
      <c r="C30" s="5"/>
      <c r="D30" s="5" t="s">
        <v>149</v>
      </c>
      <c r="E30" s="5"/>
      <c r="F30" s="8">
        <v>1.554609057E9</v>
      </c>
      <c r="G30" s="9" t="str">
        <f>HYPERLINK("https://www.etsy.com/listing/1554609057", "link")</f>
        <v>link</v>
      </c>
      <c r="H30" s="9" t="str">
        <f>HYPERLINK("https://atlas.etsycorp.com/listing/1554609057/lookup", "link")</f>
        <v>link</v>
      </c>
      <c r="I30" s="5" t="s">
        <v>150</v>
      </c>
      <c r="J30" s="5" t="s">
        <v>151</v>
      </c>
      <c r="K30" s="5" t="s">
        <v>19</v>
      </c>
      <c r="L30" s="5" t="s">
        <v>73</v>
      </c>
      <c r="M30" s="10" t="s">
        <v>21</v>
      </c>
      <c r="N30" s="10" t="s">
        <v>22</v>
      </c>
      <c r="O30" s="11" t="s">
        <v>23</v>
      </c>
      <c r="P30" s="5"/>
      <c r="Q30" s="5"/>
      <c r="R30" s="5"/>
      <c r="S30" s="5"/>
      <c r="T30" s="5"/>
    </row>
    <row r="31" ht="15.75" customHeight="1">
      <c r="A31" s="6" t="str">
        <f t="shared" si="1"/>
        <v>smart doll wig, 1503532019</v>
      </c>
      <c r="B31" s="7" t="s">
        <v>24</v>
      </c>
      <c r="C31" s="7" t="s">
        <v>152</v>
      </c>
      <c r="D31" s="5" t="s">
        <v>153</v>
      </c>
      <c r="E31" s="5"/>
      <c r="F31" s="8">
        <v>1.503532019E9</v>
      </c>
      <c r="G31" s="9" t="str">
        <f>HYPERLINK("https://www.etsy.com/listing/1503532019", "link")</f>
        <v>link</v>
      </c>
      <c r="H31" s="9" t="str">
        <f>HYPERLINK("https://atlas.etsycorp.com/listing/1503532019/lookup", "link")</f>
        <v>link</v>
      </c>
      <c r="I31" s="5" t="s">
        <v>154</v>
      </c>
      <c r="J31" s="5" t="s">
        <v>155</v>
      </c>
      <c r="K31" s="5" t="s">
        <v>19</v>
      </c>
      <c r="L31" s="5" t="s">
        <v>73</v>
      </c>
      <c r="M31" s="10" t="s">
        <v>21</v>
      </c>
      <c r="N31" s="10" t="s">
        <v>22</v>
      </c>
      <c r="O31" s="11" t="s">
        <v>23</v>
      </c>
      <c r="P31" s="5"/>
      <c r="Q31" s="5"/>
      <c r="R31" s="5"/>
      <c r="S31" s="5"/>
      <c r="T31" s="5"/>
    </row>
    <row r="32" ht="15.75" customHeight="1">
      <c r="A32" s="6" t="str">
        <f t="shared" si="1"/>
        <v>statue grecque, 1571748970</v>
      </c>
      <c r="B32" s="7" t="s">
        <v>15</v>
      </c>
      <c r="C32" s="5"/>
      <c r="D32" s="5" t="s">
        <v>156</v>
      </c>
      <c r="E32" s="5" t="s">
        <v>157</v>
      </c>
      <c r="F32" s="8">
        <v>1.57174897E9</v>
      </c>
      <c r="G32" s="9" t="str">
        <f>HYPERLINK("https://www.etsy.com/listing/1571748970", "link")</f>
        <v>link</v>
      </c>
      <c r="H32" s="9" t="str">
        <f>HYPERLINK("https://atlas.etsycorp.com/listing/1571748970/lookup", "link")</f>
        <v>link</v>
      </c>
      <c r="I32" s="5" t="s">
        <v>158</v>
      </c>
      <c r="J32" s="5" t="s">
        <v>159</v>
      </c>
      <c r="K32" s="5" t="s">
        <v>54</v>
      </c>
      <c r="L32" s="5" t="s">
        <v>55</v>
      </c>
      <c r="M32" s="10" t="s">
        <v>21</v>
      </c>
      <c r="N32" s="10" t="s">
        <v>22</v>
      </c>
      <c r="O32" s="11" t="s">
        <v>23</v>
      </c>
      <c r="P32" s="5"/>
      <c r="Q32" s="5"/>
      <c r="R32" s="5"/>
      <c r="S32" s="5"/>
      <c r="T32" s="5"/>
    </row>
    <row r="33" ht="15.75" customHeight="1">
      <c r="A33" s="6" t="str">
        <f t="shared" si="1"/>
        <v>taschen damen, 1212527275</v>
      </c>
      <c r="B33" s="7" t="s">
        <v>48</v>
      </c>
      <c r="C33" s="7" t="s">
        <v>160</v>
      </c>
      <c r="D33" s="5" t="s">
        <v>161</v>
      </c>
      <c r="E33" s="5" t="s">
        <v>162</v>
      </c>
      <c r="F33" s="8">
        <v>1.212527275E9</v>
      </c>
      <c r="G33" s="9" t="str">
        <f>HYPERLINK("https://www.etsy.com/listing/1212527275", "link")</f>
        <v>link</v>
      </c>
      <c r="H33" s="9" t="str">
        <f>HYPERLINK("https://atlas.etsycorp.com/listing/1212527275/lookup", "link")</f>
        <v>link</v>
      </c>
      <c r="I33" s="5" t="s">
        <v>163</v>
      </c>
      <c r="J33" s="5" t="s">
        <v>164</v>
      </c>
      <c r="K33" s="5" t="s">
        <v>46</v>
      </c>
      <c r="L33" s="5" t="s">
        <v>47</v>
      </c>
      <c r="M33" s="10" t="s">
        <v>21</v>
      </c>
      <c r="N33" s="10" t="s">
        <v>22</v>
      </c>
      <c r="O33" s="11" t="s">
        <v>23</v>
      </c>
      <c r="P33" s="5"/>
      <c r="Q33" s="5"/>
      <c r="R33" s="5"/>
      <c r="S33" s="5"/>
      <c r="T33" s="5"/>
    </row>
    <row r="34" ht="15.75" customHeight="1">
      <c r="A34" s="6" t="str">
        <f t="shared" si="1"/>
        <v>aphid crochet, 1635053947</v>
      </c>
      <c r="B34" s="7" t="s">
        <v>48</v>
      </c>
      <c r="C34" s="7" t="s">
        <v>165</v>
      </c>
      <c r="D34" s="5" t="s">
        <v>166</v>
      </c>
      <c r="E34" s="5"/>
      <c r="F34" s="8">
        <v>1.635053947E9</v>
      </c>
      <c r="G34" s="9" t="str">
        <f>HYPERLINK("https://www.etsy.com/listing/1635053947", "link")</f>
        <v>link</v>
      </c>
      <c r="H34" s="9" t="str">
        <f>HYPERLINK("https://atlas.etsycorp.com/listing/1635053947/lookup", "link")</f>
        <v>link</v>
      </c>
      <c r="I34" s="5" t="s">
        <v>167</v>
      </c>
      <c r="J34" s="5" t="s">
        <v>168</v>
      </c>
      <c r="K34" s="5" t="s">
        <v>19</v>
      </c>
      <c r="L34" s="5" t="s">
        <v>41</v>
      </c>
      <c r="M34" s="10" t="s">
        <v>21</v>
      </c>
      <c r="N34" s="10" t="s">
        <v>22</v>
      </c>
      <c r="O34" s="11" t="s">
        <v>23</v>
      </c>
      <c r="P34" s="5"/>
      <c r="Q34" s="5"/>
      <c r="R34" s="5"/>
      <c r="S34" s="5"/>
      <c r="T34" s="5"/>
    </row>
    <row r="35" ht="15.75" customHeight="1">
      <c r="A35" s="6" t="str">
        <f t="shared" si="1"/>
        <v>vintage portable compact mirror asiatique, 1752630739</v>
      </c>
      <c r="B35" s="7" t="s">
        <v>15</v>
      </c>
      <c r="C35" s="7" t="s">
        <v>169</v>
      </c>
      <c r="D35" s="5" t="s">
        <v>170</v>
      </c>
      <c r="E35" s="5" t="s">
        <v>170</v>
      </c>
      <c r="F35" s="8">
        <v>1.752630739E9</v>
      </c>
      <c r="G35" s="9" t="str">
        <f>HYPERLINK("https://www.etsy.com/listing/1752630739", "link")</f>
        <v>link</v>
      </c>
      <c r="H35" s="9" t="str">
        <f>HYPERLINK("https://atlas.etsycorp.com/listing/1752630739/lookup", "link")</f>
        <v>link</v>
      </c>
      <c r="I35" s="5" t="s">
        <v>171</v>
      </c>
      <c r="J35" s="5" t="s">
        <v>172</v>
      </c>
      <c r="K35" s="5" t="s">
        <v>54</v>
      </c>
      <c r="L35" s="5" t="s">
        <v>55</v>
      </c>
      <c r="M35" s="10" t="s">
        <v>21</v>
      </c>
      <c r="N35" s="10" t="s">
        <v>22</v>
      </c>
      <c r="O35" s="11" t="s">
        <v>23</v>
      </c>
      <c r="P35" s="5"/>
      <c r="Q35" s="5"/>
      <c r="R35" s="5"/>
      <c r="S35" s="5"/>
      <c r="T35" s="5"/>
    </row>
    <row r="36" ht="15.75" customHeight="1">
      <c r="A36" s="6" t="str">
        <f t="shared" si="1"/>
        <v>dexters laboratory dvd, 1455169492</v>
      </c>
      <c r="B36" s="7" t="s">
        <v>48</v>
      </c>
      <c r="C36" s="7" t="s">
        <v>173</v>
      </c>
      <c r="D36" s="5" t="s">
        <v>174</v>
      </c>
      <c r="E36" s="5"/>
      <c r="F36" s="8">
        <v>1.455169492E9</v>
      </c>
      <c r="G36" s="9" t="str">
        <f>HYPERLINK("https://www.etsy.com/listing/1455169492", "link")</f>
        <v>link</v>
      </c>
      <c r="H36" s="9" t="str">
        <f>HYPERLINK("https://atlas.etsycorp.com/listing/1455169492/lookup", "link")</f>
        <v>link</v>
      </c>
      <c r="I36" s="5" t="s">
        <v>175</v>
      </c>
      <c r="J36" s="5" t="s">
        <v>176</v>
      </c>
      <c r="K36" s="5" t="s">
        <v>19</v>
      </c>
      <c r="L36" s="5" t="s">
        <v>73</v>
      </c>
      <c r="M36" s="10" t="s">
        <v>21</v>
      </c>
      <c r="N36" s="10" t="s">
        <v>22</v>
      </c>
      <c r="O36" s="11" t="s">
        <v>23</v>
      </c>
      <c r="P36" s="5"/>
      <c r="Q36" s="5"/>
      <c r="R36" s="5"/>
      <c r="S36" s="5"/>
      <c r="T36" s="5"/>
    </row>
    <row r="37" ht="15.75" customHeight="1">
      <c r="A37" s="6" t="str">
        <f t="shared" si="1"/>
        <v>cushion cover fabric, 1547900274</v>
      </c>
      <c r="B37" s="7" t="s">
        <v>15</v>
      </c>
      <c r="C37" s="5"/>
      <c r="D37" s="5" t="s">
        <v>177</v>
      </c>
      <c r="E37" s="5"/>
      <c r="F37" s="8">
        <v>1.547900274E9</v>
      </c>
      <c r="G37" s="9" t="str">
        <f>HYPERLINK("https://www.etsy.com/listing/1547900274", "link")</f>
        <v>link</v>
      </c>
      <c r="H37" s="9" t="str">
        <f>HYPERLINK("https://atlas.etsycorp.com/listing/1547900274/lookup", "link")</f>
        <v>link</v>
      </c>
      <c r="I37" s="5" t="s">
        <v>178</v>
      </c>
      <c r="J37" s="5" t="s">
        <v>179</v>
      </c>
      <c r="K37" s="5" t="s">
        <v>120</v>
      </c>
      <c r="L37" s="5" t="s">
        <v>41</v>
      </c>
      <c r="M37" s="10" t="s">
        <v>21</v>
      </c>
      <c r="N37" s="10" t="s">
        <v>22</v>
      </c>
      <c r="O37" s="11" t="s">
        <v>23</v>
      </c>
      <c r="P37" s="5"/>
      <c r="Q37" s="5"/>
      <c r="R37" s="5"/>
      <c r="S37" s="5"/>
      <c r="T37" s="5"/>
    </row>
    <row r="38" ht="15.75" customHeight="1">
      <c r="A38" s="6" t="str">
        <f t="shared" si="1"/>
        <v>groomsmen labels, 1521388973</v>
      </c>
      <c r="B38" s="7" t="s">
        <v>15</v>
      </c>
      <c r="C38" s="5"/>
      <c r="D38" s="5" t="s">
        <v>180</v>
      </c>
      <c r="E38" s="5"/>
      <c r="F38" s="8">
        <v>1.521388973E9</v>
      </c>
      <c r="G38" s="9" t="str">
        <f>HYPERLINK("https://www.etsy.com/listing/1521388973", "link")</f>
        <v>link</v>
      </c>
      <c r="H38" s="9" t="str">
        <f>HYPERLINK("https://atlas.etsycorp.com/listing/1521388973/lookup", "link")</f>
        <v>link</v>
      </c>
      <c r="I38" s="5" t="s">
        <v>181</v>
      </c>
      <c r="J38" s="5" t="s">
        <v>182</v>
      </c>
      <c r="K38" s="5" t="s">
        <v>120</v>
      </c>
      <c r="L38" s="5" t="s">
        <v>41</v>
      </c>
      <c r="M38" s="10" t="s">
        <v>21</v>
      </c>
      <c r="N38" s="10" t="s">
        <v>22</v>
      </c>
      <c r="O38" s="11" t="s">
        <v>23</v>
      </c>
      <c r="P38" s="5"/>
      <c r="Q38" s="5"/>
      <c r="R38" s="5"/>
      <c r="S38" s="5"/>
      <c r="T38" s="5"/>
    </row>
    <row r="39" ht="15.75" customHeight="1">
      <c r="A39" s="6" t="str">
        <f t="shared" si="1"/>
        <v>vintage shapewear, 1545008362</v>
      </c>
      <c r="B39" s="7" t="s">
        <v>24</v>
      </c>
      <c r="C39" s="7" t="s">
        <v>183</v>
      </c>
      <c r="D39" s="5" t="s">
        <v>184</v>
      </c>
      <c r="E39" s="5"/>
      <c r="F39" s="8">
        <v>1.545008362E9</v>
      </c>
      <c r="G39" s="9" t="str">
        <f>HYPERLINK("https://www.etsy.com/listing/1545008362", "link")</f>
        <v>link</v>
      </c>
      <c r="H39" s="9" t="str">
        <f>HYPERLINK("https://atlas.etsycorp.com/listing/1545008362/lookup", "link")</f>
        <v>link</v>
      </c>
      <c r="I39" s="5" t="s">
        <v>185</v>
      </c>
      <c r="J39" s="5" t="s">
        <v>186</v>
      </c>
      <c r="K39" s="5" t="s">
        <v>120</v>
      </c>
      <c r="L39" s="5" t="s">
        <v>73</v>
      </c>
      <c r="M39" s="10" t="s">
        <v>21</v>
      </c>
      <c r="N39" s="10" t="s">
        <v>22</v>
      </c>
      <c r="O39" s="11" t="s">
        <v>23</v>
      </c>
      <c r="P39" s="5"/>
      <c r="Q39" s="5"/>
      <c r="R39" s="5"/>
      <c r="S39" s="5"/>
      <c r="T39" s="5"/>
    </row>
    <row r="40" ht="15.75" customHeight="1">
      <c r="A40" s="6" t="str">
        <f t="shared" si="1"/>
        <v>stainless steel ring, 1471978178</v>
      </c>
      <c r="B40" s="7" t="s">
        <v>15</v>
      </c>
      <c r="C40" s="5"/>
      <c r="D40" s="5" t="s">
        <v>187</v>
      </c>
      <c r="E40" s="5"/>
      <c r="F40" s="8">
        <v>1.471978178E9</v>
      </c>
      <c r="G40" s="9" t="str">
        <f>HYPERLINK("https://www.etsy.com/listing/1471978178", "link")</f>
        <v>link</v>
      </c>
      <c r="H40" s="9" t="str">
        <f>HYPERLINK("https://atlas.etsycorp.com/listing/1471978178/lookup", "link")</f>
        <v>link</v>
      </c>
      <c r="I40" s="5" t="s">
        <v>188</v>
      </c>
      <c r="J40" s="5" t="s">
        <v>189</v>
      </c>
      <c r="K40" s="5" t="s">
        <v>120</v>
      </c>
      <c r="L40" s="5" t="s">
        <v>73</v>
      </c>
      <c r="M40" s="10" t="s">
        <v>21</v>
      </c>
      <c r="N40" s="10" t="s">
        <v>22</v>
      </c>
      <c r="O40" s="11" t="s">
        <v>23</v>
      </c>
      <c r="P40" s="5"/>
      <c r="Q40" s="5"/>
      <c r="R40" s="5"/>
      <c r="S40" s="5"/>
      <c r="T40" s="5"/>
    </row>
    <row r="41" ht="15.75" customHeight="1">
      <c r="A41" s="6" t="str">
        <f t="shared" si="1"/>
        <v>continuos light, 880876879</v>
      </c>
      <c r="B41" s="7" t="s">
        <v>48</v>
      </c>
      <c r="C41" s="5"/>
      <c r="D41" s="5" t="s">
        <v>190</v>
      </c>
      <c r="E41" s="5" t="s">
        <v>191</v>
      </c>
      <c r="F41" s="8">
        <v>8.80876879E8</v>
      </c>
      <c r="G41" s="9" t="str">
        <f>HYPERLINK("https://www.etsy.com/listing/880876879", "link")</f>
        <v>link</v>
      </c>
      <c r="H41" s="9" t="str">
        <f>HYPERLINK("https://atlas.etsycorp.com/listing/880876879/lookup", "link")</f>
        <v>link</v>
      </c>
      <c r="I41" s="5" t="s">
        <v>192</v>
      </c>
      <c r="J41" s="5" t="s">
        <v>193</v>
      </c>
      <c r="K41" s="5" t="s">
        <v>80</v>
      </c>
      <c r="L41" s="5" t="s">
        <v>81</v>
      </c>
      <c r="M41" s="10" t="s">
        <v>21</v>
      </c>
      <c r="N41" s="10" t="s">
        <v>22</v>
      </c>
      <c r="O41" s="11" t="s">
        <v>23</v>
      </c>
      <c r="P41" s="5"/>
      <c r="Q41" s="5"/>
      <c r="R41" s="5"/>
      <c r="S41" s="5"/>
      <c r="T41" s="5"/>
    </row>
    <row r="42" ht="15.75" customHeight="1">
      <c r="A42" s="6" t="str">
        <f t="shared" si="1"/>
        <v>make up bag, 822786025</v>
      </c>
      <c r="B42" s="7" t="s">
        <v>15</v>
      </c>
      <c r="C42" s="5"/>
      <c r="D42" s="5" t="s">
        <v>194</v>
      </c>
      <c r="E42" s="5" t="s">
        <v>194</v>
      </c>
      <c r="F42" s="8">
        <v>8.22786025E8</v>
      </c>
      <c r="G42" s="9" t="str">
        <f>HYPERLINK("https://www.etsy.com/listing/822786025", "link")</f>
        <v>link</v>
      </c>
      <c r="H42" s="9" t="str">
        <f>HYPERLINK("https://atlas.etsycorp.com/listing/822786025/lookup", "link")</f>
        <v>link</v>
      </c>
      <c r="I42" s="5" t="s">
        <v>195</v>
      </c>
      <c r="J42" s="5" t="s">
        <v>196</v>
      </c>
      <c r="K42" s="5" t="s">
        <v>80</v>
      </c>
      <c r="L42" s="5" t="s">
        <v>81</v>
      </c>
      <c r="M42" s="10" t="s">
        <v>21</v>
      </c>
      <c r="N42" s="10" t="s">
        <v>22</v>
      </c>
      <c r="O42" s="11" t="s">
        <v>23</v>
      </c>
      <c r="P42" s="5"/>
      <c r="Q42" s="5"/>
      <c r="R42" s="5"/>
      <c r="S42" s="5"/>
      <c r="T42" s="5"/>
    </row>
    <row r="43" ht="15.75" customHeight="1">
      <c r="A43" s="6" t="str">
        <f t="shared" si="1"/>
        <v>watercolour safari decal, 1529105745</v>
      </c>
      <c r="B43" s="7" t="s">
        <v>15</v>
      </c>
      <c r="C43" s="5"/>
      <c r="D43" s="5" t="s">
        <v>197</v>
      </c>
      <c r="E43" s="5"/>
      <c r="F43" s="8">
        <v>1.529105745E9</v>
      </c>
      <c r="G43" s="9" t="str">
        <f>HYPERLINK("https://www.etsy.com/listing/1529105745", "link")</f>
        <v>link</v>
      </c>
      <c r="H43" s="9" t="str">
        <f>HYPERLINK("https://atlas.etsycorp.com/listing/1529105745/lookup", "link")</f>
        <v>link</v>
      </c>
      <c r="I43" s="5" t="s">
        <v>198</v>
      </c>
      <c r="J43" s="5" t="s">
        <v>199</v>
      </c>
      <c r="K43" s="5" t="s">
        <v>120</v>
      </c>
      <c r="L43" s="5" t="s">
        <v>73</v>
      </c>
      <c r="M43" s="10" t="s">
        <v>21</v>
      </c>
      <c r="N43" s="10" t="s">
        <v>22</v>
      </c>
      <c r="O43" s="11" t="s">
        <v>23</v>
      </c>
      <c r="P43" s="5"/>
      <c r="Q43" s="5"/>
      <c r="R43" s="5"/>
      <c r="S43" s="5"/>
      <c r="T43" s="5"/>
    </row>
    <row r="44" ht="15.75" customHeight="1">
      <c r="A44" s="6" t="str">
        <f t="shared" si="1"/>
        <v>sarape decoración de mesa, 1449354631</v>
      </c>
      <c r="B44" s="7" t="s">
        <v>48</v>
      </c>
      <c r="C44" s="7" t="s">
        <v>200</v>
      </c>
      <c r="D44" s="5" t="s">
        <v>201</v>
      </c>
      <c r="E44" s="5" t="s">
        <v>202</v>
      </c>
      <c r="F44" s="8">
        <v>1.449354631E9</v>
      </c>
      <c r="G44" s="9" t="str">
        <f>HYPERLINK("https://www.etsy.com/listing/1449354631", "link")</f>
        <v>link</v>
      </c>
      <c r="H44" s="9" t="str">
        <f>HYPERLINK("https://atlas.etsycorp.com/listing/1449354631/lookup", "link")</f>
        <v>link</v>
      </c>
      <c r="I44" s="5" t="s">
        <v>203</v>
      </c>
      <c r="J44" s="5" t="s">
        <v>204</v>
      </c>
      <c r="K44" s="5" t="s">
        <v>29</v>
      </c>
      <c r="L44" s="5" t="s">
        <v>30</v>
      </c>
      <c r="M44" s="10" t="s">
        <v>21</v>
      </c>
      <c r="N44" s="10" t="s">
        <v>22</v>
      </c>
      <c r="O44" s="11" t="s">
        <v>23</v>
      </c>
      <c r="P44" s="5"/>
      <c r="Q44" s="5"/>
      <c r="R44" s="5"/>
      <c r="S44" s="5"/>
      <c r="T44" s="5"/>
    </row>
    <row r="45" ht="15.75" customHeight="1">
      <c r="A45" s="6" t="str">
        <f t="shared" si="1"/>
        <v>bruno fernandes, 1600964087</v>
      </c>
      <c r="B45" s="7" t="s">
        <v>24</v>
      </c>
      <c r="C45" s="7" t="s">
        <v>205</v>
      </c>
      <c r="D45" s="5" t="s">
        <v>206</v>
      </c>
      <c r="E45" s="5"/>
      <c r="F45" s="8">
        <v>1.600964087E9</v>
      </c>
      <c r="G45" s="9" t="str">
        <f>HYPERLINK("https://www.etsy.com/listing/1600964087", "link")</f>
        <v>link</v>
      </c>
      <c r="H45" s="9" t="str">
        <f>HYPERLINK("https://atlas.etsycorp.com/listing/1600964087/lookup", "link")</f>
        <v>link</v>
      </c>
      <c r="I45" s="5" t="s">
        <v>207</v>
      </c>
      <c r="J45" s="5" t="s">
        <v>208</v>
      </c>
      <c r="K45" s="5" t="s">
        <v>120</v>
      </c>
      <c r="L45" s="5" t="s">
        <v>20</v>
      </c>
      <c r="M45" s="10" t="s">
        <v>21</v>
      </c>
      <c r="N45" s="10" t="s">
        <v>22</v>
      </c>
      <c r="O45" s="11" t="s">
        <v>23</v>
      </c>
      <c r="P45" s="5"/>
      <c r="Q45" s="5"/>
      <c r="R45" s="5"/>
      <c r="S45" s="5"/>
      <c r="T45" s="5"/>
    </row>
    <row r="46" ht="15.75" customHeight="1">
      <c r="A46" s="6" t="str">
        <f t="shared" si="1"/>
        <v>boar school, 1634997412</v>
      </c>
      <c r="B46" s="7" t="s">
        <v>15</v>
      </c>
      <c r="C46" s="7" t="s">
        <v>209</v>
      </c>
      <c r="D46" s="5" t="s">
        <v>210</v>
      </c>
      <c r="E46" s="5" t="s">
        <v>210</v>
      </c>
      <c r="F46" s="8">
        <v>1.634997412E9</v>
      </c>
      <c r="G46" s="9" t="str">
        <f>HYPERLINK("https://www.etsy.com/listing/1634997412", "link")</f>
        <v>link</v>
      </c>
      <c r="H46" s="9" t="str">
        <f>HYPERLINK("https://atlas.etsycorp.com/listing/1634997412/lookup", "link")</f>
        <v>link</v>
      </c>
      <c r="I46" s="5" t="s">
        <v>211</v>
      </c>
      <c r="J46" s="5" t="s">
        <v>212</v>
      </c>
      <c r="K46" s="5" t="s">
        <v>213</v>
      </c>
      <c r="L46" s="5" t="s">
        <v>214</v>
      </c>
      <c r="M46" s="10" t="s">
        <v>21</v>
      </c>
      <c r="N46" s="10" t="s">
        <v>22</v>
      </c>
      <c r="O46" s="11" t="s">
        <v>23</v>
      </c>
      <c r="P46" s="5"/>
      <c r="Q46" s="5"/>
      <c r="R46" s="5"/>
      <c r="S46" s="5"/>
      <c r="T46" s="5"/>
    </row>
    <row r="47" ht="15.75" customHeight="1">
      <c r="A47" s="6" t="str">
        <f t="shared" si="1"/>
        <v>vivienne westwood lighter, 1695093484</v>
      </c>
      <c r="B47" s="7" t="s">
        <v>48</v>
      </c>
      <c r="C47" s="7" t="s">
        <v>215</v>
      </c>
      <c r="D47" s="5" t="s">
        <v>26</v>
      </c>
      <c r="E47" s="5" t="s">
        <v>26</v>
      </c>
      <c r="F47" s="8">
        <v>1.695093484E9</v>
      </c>
      <c r="G47" s="9" t="str">
        <f>HYPERLINK("https://www.etsy.com/listing/1695093484", "link")</f>
        <v>link</v>
      </c>
      <c r="H47" s="9" t="str">
        <f>HYPERLINK("https://atlas.etsycorp.com/listing/1695093484/lookup", "link")</f>
        <v>link</v>
      </c>
      <c r="I47" s="5" t="s">
        <v>216</v>
      </c>
      <c r="J47" s="5" t="s">
        <v>28</v>
      </c>
      <c r="K47" s="5" t="s">
        <v>29</v>
      </c>
      <c r="L47" s="5" t="s">
        <v>30</v>
      </c>
      <c r="M47" s="10" t="s">
        <v>21</v>
      </c>
      <c r="N47" s="10" t="s">
        <v>22</v>
      </c>
      <c r="O47" s="11" t="s">
        <v>23</v>
      </c>
      <c r="P47" s="5"/>
      <c r="Q47" s="5"/>
      <c r="R47" s="5"/>
      <c r="S47" s="5"/>
      <c r="T47" s="5"/>
    </row>
    <row r="48" ht="15.75" customHeight="1">
      <c r="A48" s="6" t="str">
        <f t="shared" si="1"/>
        <v>bean bag, 1236331178</v>
      </c>
      <c r="B48" s="7" t="s">
        <v>48</v>
      </c>
      <c r="C48" s="7" t="s">
        <v>217</v>
      </c>
      <c r="D48" s="5" t="s">
        <v>218</v>
      </c>
      <c r="E48" s="5" t="s">
        <v>218</v>
      </c>
      <c r="F48" s="8">
        <v>1.236331178E9</v>
      </c>
      <c r="G48" s="9" t="str">
        <f>HYPERLINK("https://www.etsy.com/listing/1236331178", "link")</f>
        <v>link</v>
      </c>
      <c r="H48" s="9" t="str">
        <f>HYPERLINK("https://atlas.etsycorp.com/listing/1236331178/lookup", "link")</f>
        <v>link</v>
      </c>
      <c r="I48" s="5" t="s">
        <v>219</v>
      </c>
      <c r="J48" s="5" t="s">
        <v>220</v>
      </c>
      <c r="K48" s="5" t="s">
        <v>213</v>
      </c>
      <c r="L48" s="5" t="s">
        <v>214</v>
      </c>
      <c r="M48" s="10" t="s">
        <v>21</v>
      </c>
      <c r="N48" s="10" t="s">
        <v>22</v>
      </c>
      <c r="O48" s="11" t="s">
        <v>23</v>
      </c>
      <c r="P48" s="5"/>
      <c r="Q48" s="5"/>
      <c r="R48" s="5"/>
      <c r="S48" s="5"/>
      <c r="T48" s="5"/>
    </row>
    <row r="49" ht="15.75" customHeight="1">
      <c r="A49" s="6" t="str">
        <f t="shared" si="1"/>
        <v>vitage fischer, 1726491240</v>
      </c>
      <c r="B49" s="7" t="s">
        <v>15</v>
      </c>
      <c r="C49" s="5"/>
      <c r="D49" s="5" t="s">
        <v>221</v>
      </c>
      <c r="E49" s="5" t="s">
        <v>221</v>
      </c>
      <c r="F49" s="8">
        <v>1.72649124E9</v>
      </c>
      <c r="G49" s="9" t="str">
        <f>HYPERLINK("https://www.etsy.com/listing/1726491240", "link")</f>
        <v>link</v>
      </c>
      <c r="H49" s="9" t="str">
        <f>HYPERLINK("https://atlas.etsycorp.com/listing/1726491240/lookup", "link")</f>
        <v>link</v>
      </c>
      <c r="I49" s="5" t="s">
        <v>222</v>
      </c>
      <c r="J49" s="5" t="s">
        <v>223</v>
      </c>
      <c r="K49" s="5" t="s">
        <v>46</v>
      </c>
      <c r="L49" s="5" t="s">
        <v>47</v>
      </c>
      <c r="M49" s="10" t="s">
        <v>21</v>
      </c>
      <c r="N49" s="10" t="s">
        <v>22</v>
      </c>
      <c r="O49" s="11" t="s">
        <v>23</v>
      </c>
      <c r="P49" s="5"/>
      <c r="Q49" s="5"/>
      <c r="R49" s="5"/>
      <c r="S49" s="5"/>
      <c r="T49" s="5"/>
    </row>
    <row r="50" ht="15.75" customHeight="1">
      <c r="A50" s="6" t="str">
        <f t="shared" si="1"/>
        <v>pendurar puxador, 1594700212</v>
      </c>
      <c r="B50" s="7" t="s">
        <v>48</v>
      </c>
      <c r="C50" s="7" t="s">
        <v>224</v>
      </c>
      <c r="D50" s="5" t="s">
        <v>225</v>
      </c>
      <c r="E50" s="5" t="s">
        <v>226</v>
      </c>
      <c r="F50" s="8">
        <v>1.594700212E9</v>
      </c>
      <c r="G50" s="9" t="str">
        <f>HYPERLINK("https://www.etsy.com/listing/1594700212", "link")</f>
        <v>link</v>
      </c>
      <c r="H50" s="9" t="str">
        <f>HYPERLINK("https://atlas.etsycorp.com/listing/1594700212/lookup", "link")</f>
        <v>link</v>
      </c>
      <c r="I50" s="5" t="s">
        <v>227</v>
      </c>
      <c r="J50" s="5" t="s">
        <v>228</v>
      </c>
      <c r="K50" s="5" t="s">
        <v>229</v>
      </c>
      <c r="L50" s="5" t="s">
        <v>230</v>
      </c>
      <c r="M50" s="10" t="s">
        <v>21</v>
      </c>
      <c r="N50" s="10" t="s">
        <v>22</v>
      </c>
      <c r="O50" s="11" t="s">
        <v>23</v>
      </c>
      <c r="P50" s="5"/>
      <c r="Q50" s="5"/>
      <c r="R50" s="5"/>
      <c r="S50" s="5"/>
      <c r="T50" s="5"/>
    </row>
    <row r="51" ht="15.75" customHeight="1">
      <c r="A51" s="6" t="str">
        <f t="shared" si="1"/>
        <v>sausalito, 1578857344</v>
      </c>
      <c r="B51" s="7" t="s">
        <v>48</v>
      </c>
      <c r="C51" s="7" t="s">
        <v>231</v>
      </c>
      <c r="D51" s="5" t="s">
        <v>232</v>
      </c>
      <c r="E51" s="5"/>
      <c r="F51" s="8">
        <v>1.578857344E9</v>
      </c>
      <c r="G51" s="9" t="str">
        <f>HYPERLINK("https://www.etsy.com/listing/1578857344", "link")</f>
        <v>link</v>
      </c>
      <c r="H51" s="9" t="str">
        <f>HYPERLINK("https://atlas.etsycorp.com/listing/1578857344/lookup", "link")</f>
        <v>link</v>
      </c>
      <c r="I51" s="5" t="s">
        <v>233</v>
      </c>
      <c r="J51" s="5" t="s">
        <v>234</v>
      </c>
      <c r="K51" s="5" t="s">
        <v>19</v>
      </c>
      <c r="L51" s="5" t="s">
        <v>20</v>
      </c>
      <c r="M51" s="10" t="s">
        <v>21</v>
      </c>
      <c r="N51" s="10" t="s">
        <v>22</v>
      </c>
      <c r="O51" s="11" t="s">
        <v>23</v>
      </c>
      <c r="P51" s="5"/>
      <c r="Q51" s="5"/>
      <c r="R51" s="5"/>
      <c r="S51" s="5"/>
      <c r="T51" s="5"/>
    </row>
    <row r="52" ht="15.75" customHeight="1">
      <c r="A52" s="6" t="str">
        <f t="shared" si="1"/>
        <v>Rosalina hot, 1486034129</v>
      </c>
      <c r="B52" s="7" t="s">
        <v>48</v>
      </c>
      <c r="C52" s="7" t="s">
        <v>235</v>
      </c>
      <c r="D52" s="5" t="s">
        <v>236</v>
      </c>
      <c r="E52" s="5" t="s">
        <v>236</v>
      </c>
      <c r="F52" s="8">
        <v>1.486034129E9</v>
      </c>
      <c r="G52" s="9" t="str">
        <f>HYPERLINK("https://www.etsy.com/listing/1486034129", "link")</f>
        <v>link</v>
      </c>
      <c r="H52" s="9" t="str">
        <f>HYPERLINK("https://atlas.etsycorp.com/listing/1486034129/lookup", "link")</f>
        <v>link</v>
      </c>
      <c r="I52" s="5" t="s">
        <v>237</v>
      </c>
      <c r="J52" s="5" t="s">
        <v>238</v>
      </c>
      <c r="K52" s="5" t="s">
        <v>29</v>
      </c>
      <c r="L52" s="5" t="s">
        <v>30</v>
      </c>
      <c r="M52" s="10" t="s">
        <v>21</v>
      </c>
      <c r="N52" s="10" t="s">
        <v>22</v>
      </c>
      <c r="O52" s="11" t="s">
        <v>23</v>
      </c>
      <c r="P52" s="5"/>
      <c r="Q52" s="5"/>
      <c r="R52" s="5"/>
      <c r="S52" s="5"/>
      <c r="T52" s="5"/>
    </row>
    <row r="53" ht="15.75" customHeight="1">
      <c r="A53" s="6" t="str">
        <f t="shared" si="1"/>
        <v>autocollant mural personnalisé, 670378135</v>
      </c>
      <c r="B53" s="7" t="s">
        <v>15</v>
      </c>
      <c r="C53" s="5"/>
      <c r="D53" s="5" t="s">
        <v>239</v>
      </c>
      <c r="E53" s="5" t="s">
        <v>240</v>
      </c>
      <c r="F53" s="8">
        <v>6.70378135E8</v>
      </c>
      <c r="G53" s="9" t="str">
        <f>HYPERLINK("https://www.etsy.com/listing/670378135", "link")</f>
        <v>link</v>
      </c>
      <c r="H53" s="9" t="str">
        <f>HYPERLINK("https://atlas.etsycorp.com/listing/670378135/lookup", "link")</f>
        <v>link</v>
      </c>
      <c r="I53" s="5" t="s">
        <v>241</v>
      </c>
      <c r="J53" s="5" t="s">
        <v>242</v>
      </c>
      <c r="K53" s="5" t="s">
        <v>54</v>
      </c>
      <c r="L53" s="5" t="s">
        <v>55</v>
      </c>
      <c r="M53" s="10" t="s">
        <v>21</v>
      </c>
      <c r="N53" s="10" t="s">
        <v>22</v>
      </c>
      <c r="O53" s="11" t="s">
        <v>23</v>
      </c>
      <c r="P53" s="5"/>
      <c r="Q53" s="5"/>
      <c r="R53" s="5"/>
      <c r="S53" s="5"/>
      <c r="T53" s="5"/>
    </row>
    <row r="54" ht="15.75" customHeight="1">
      <c r="A54" s="6" t="str">
        <f t="shared" si="1"/>
        <v>fnaf diy kit, 1430128197</v>
      </c>
      <c r="B54" s="7" t="s">
        <v>15</v>
      </c>
      <c r="C54" s="7" t="s">
        <v>243</v>
      </c>
      <c r="D54" s="5" t="s">
        <v>244</v>
      </c>
      <c r="E54" s="5"/>
      <c r="F54" s="8">
        <v>1.430128197E9</v>
      </c>
      <c r="G54" s="9" t="str">
        <f>HYPERLINK("https://www.etsy.com/listing/1430128197", "link")</f>
        <v>link</v>
      </c>
      <c r="H54" s="9" t="str">
        <f>HYPERLINK("https://atlas.etsycorp.com/listing/1430128197/lookup", "link")</f>
        <v>link</v>
      </c>
      <c r="I54" s="5" t="s">
        <v>245</v>
      </c>
      <c r="J54" s="5" t="s">
        <v>246</v>
      </c>
      <c r="K54" s="5" t="s">
        <v>19</v>
      </c>
      <c r="L54" s="5" t="s">
        <v>41</v>
      </c>
      <c r="M54" s="10" t="s">
        <v>21</v>
      </c>
      <c r="N54" s="10" t="s">
        <v>22</v>
      </c>
      <c r="O54" s="11" t="s">
        <v>23</v>
      </c>
      <c r="P54" s="5"/>
      <c r="Q54" s="5"/>
      <c r="R54" s="5"/>
      <c r="S54" s="5"/>
      <c r="T54" s="5"/>
    </row>
    <row r="55" ht="15.75" customHeight="1">
      <c r="A55" s="6" t="str">
        <f t="shared" si="1"/>
        <v>Find shirts, 1577979770</v>
      </c>
      <c r="B55" s="7" t="s">
        <v>15</v>
      </c>
      <c r="C55" s="5"/>
      <c r="D55" s="5" t="s">
        <v>89</v>
      </c>
      <c r="E55" s="5" t="s">
        <v>89</v>
      </c>
      <c r="F55" s="8">
        <v>1.57797977E9</v>
      </c>
      <c r="G55" s="9" t="str">
        <f>HYPERLINK("https://www.etsy.com/listing/1577979770", "link")</f>
        <v>link</v>
      </c>
      <c r="H55" s="9" t="str">
        <f>HYPERLINK("https://atlas.etsycorp.com/listing/1577979770/lookup", "link")</f>
        <v>link</v>
      </c>
      <c r="I55" s="5" t="s">
        <v>247</v>
      </c>
      <c r="J55" s="5" t="s">
        <v>248</v>
      </c>
      <c r="K55" s="5" t="s">
        <v>29</v>
      </c>
      <c r="L55" s="5" t="s">
        <v>30</v>
      </c>
      <c r="M55" s="10" t="s">
        <v>21</v>
      </c>
      <c r="N55" s="10" t="s">
        <v>22</v>
      </c>
      <c r="O55" s="11" t="s">
        <v>23</v>
      </c>
      <c r="P55" s="5"/>
      <c r="Q55" s="5"/>
      <c r="R55" s="5"/>
      <c r="S55" s="5"/>
      <c r="T55" s="5"/>
    </row>
    <row r="56" ht="15.75" customHeight="1">
      <c r="A56" s="6" t="str">
        <f t="shared" si="1"/>
        <v>anniversary gifts for women, 801724215</v>
      </c>
      <c r="B56" s="7" t="s">
        <v>15</v>
      </c>
      <c r="C56" s="5"/>
      <c r="D56" s="5" t="s">
        <v>249</v>
      </c>
      <c r="E56" s="5"/>
      <c r="F56" s="8">
        <v>8.01724215E8</v>
      </c>
      <c r="G56" s="9" t="str">
        <f>HYPERLINK("https://www.etsy.com/listing/801724215", "link")</f>
        <v>link</v>
      </c>
      <c r="H56" s="9" t="str">
        <f>HYPERLINK("https://atlas.etsycorp.com/listing/801724215/lookup", "link")</f>
        <v>link</v>
      </c>
      <c r="I56" s="5" t="s">
        <v>250</v>
      </c>
      <c r="J56" s="5" t="s">
        <v>251</v>
      </c>
      <c r="K56" s="5" t="s">
        <v>19</v>
      </c>
      <c r="L56" s="5" t="s">
        <v>20</v>
      </c>
      <c r="M56" s="10" t="s">
        <v>21</v>
      </c>
      <c r="N56" s="10" t="s">
        <v>22</v>
      </c>
      <c r="O56" s="11" t="s">
        <v>23</v>
      </c>
      <c r="P56" s="5"/>
      <c r="Q56" s="5"/>
      <c r="R56" s="5"/>
      <c r="S56" s="5"/>
      <c r="T56" s="5"/>
    </row>
    <row r="57" ht="15.75" customHeight="1">
      <c r="A57" s="6" t="str">
        <f t="shared" si="1"/>
        <v>rose tea, 1551978263</v>
      </c>
      <c r="B57" s="7" t="s">
        <v>24</v>
      </c>
      <c r="C57" s="7" t="s">
        <v>252</v>
      </c>
      <c r="D57" s="5" t="s">
        <v>253</v>
      </c>
      <c r="E57" s="5"/>
      <c r="F57" s="8">
        <v>1.551978263E9</v>
      </c>
      <c r="G57" s="9" t="str">
        <f>HYPERLINK("https://www.etsy.com/listing/1551978263", "link")</f>
        <v>link</v>
      </c>
      <c r="H57" s="9" t="str">
        <f>HYPERLINK("https://atlas.etsycorp.com/listing/1551978263/lookup", "link")</f>
        <v>link</v>
      </c>
      <c r="I57" s="5" t="s">
        <v>254</v>
      </c>
      <c r="J57" s="5" t="s">
        <v>255</v>
      </c>
      <c r="K57" s="5" t="s">
        <v>19</v>
      </c>
      <c r="L57" s="5" t="s">
        <v>41</v>
      </c>
      <c r="M57" s="10" t="s">
        <v>21</v>
      </c>
      <c r="N57" s="10" t="s">
        <v>22</v>
      </c>
      <c r="O57" s="11" t="s">
        <v>23</v>
      </c>
      <c r="P57" s="5"/>
      <c r="Q57" s="5"/>
      <c r="R57" s="5"/>
      <c r="S57" s="5"/>
      <c r="T57" s="5"/>
    </row>
    <row r="58" ht="15.75" customHeight="1">
      <c r="A58" s="6" t="str">
        <f t="shared" si="1"/>
        <v>taylor swift crewneck, 1762087899</v>
      </c>
      <c r="B58" s="7" t="s">
        <v>15</v>
      </c>
      <c r="C58" s="5"/>
      <c r="D58" s="5" t="s">
        <v>256</v>
      </c>
      <c r="E58" s="5" t="s">
        <v>256</v>
      </c>
      <c r="F58" s="8">
        <v>1.762087899E9</v>
      </c>
      <c r="G58" s="9" t="str">
        <f>HYPERLINK("https://www.etsy.com/listing/1762087899", "link")</f>
        <v>link</v>
      </c>
      <c r="H58" s="9" t="str">
        <f>HYPERLINK("https://atlas.etsycorp.com/listing/1762087899/lookup", "link")</f>
        <v>link</v>
      </c>
      <c r="I58" s="5" t="s">
        <v>257</v>
      </c>
      <c r="J58" s="5" t="s">
        <v>258</v>
      </c>
      <c r="K58" s="5" t="s">
        <v>80</v>
      </c>
      <c r="L58" s="5" t="s">
        <v>81</v>
      </c>
      <c r="M58" s="10" t="s">
        <v>21</v>
      </c>
      <c r="N58" s="10" t="s">
        <v>22</v>
      </c>
      <c r="O58" s="11" t="s">
        <v>23</v>
      </c>
      <c r="P58" s="5"/>
      <c r="Q58" s="5"/>
      <c r="R58" s="5"/>
      <c r="S58" s="5"/>
      <c r="T58" s="5"/>
    </row>
    <row r="59" ht="15.75" customHeight="1">
      <c r="A59" s="6" t="str">
        <f t="shared" si="1"/>
        <v>solidarity forever, 1500271387</v>
      </c>
      <c r="B59" s="7" t="s">
        <v>24</v>
      </c>
      <c r="C59" s="7" t="s">
        <v>259</v>
      </c>
      <c r="D59" s="5" t="s">
        <v>260</v>
      </c>
      <c r="E59" s="5"/>
      <c r="F59" s="8">
        <v>1.500271387E9</v>
      </c>
      <c r="G59" s="9" t="str">
        <f>HYPERLINK("https://www.etsy.com/listing/1500271387", "link")</f>
        <v>link</v>
      </c>
      <c r="H59" s="9" t="str">
        <f>HYPERLINK("https://atlas.etsycorp.com/listing/1500271387/lookup", "link")</f>
        <v>link</v>
      </c>
      <c r="I59" s="5" t="s">
        <v>261</v>
      </c>
      <c r="J59" s="5" t="s">
        <v>262</v>
      </c>
      <c r="K59" s="5" t="s">
        <v>120</v>
      </c>
      <c r="L59" s="5" t="s">
        <v>20</v>
      </c>
      <c r="M59" s="10" t="s">
        <v>21</v>
      </c>
      <c r="N59" s="10" t="s">
        <v>22</v>
      </c>
      <c r="O59" s="11" t="s">
        <v>23</v>
      </c>
      <c r="P59" s="5"/>
      <c r="Q59" s="5"/>
      <c r="R59" s="5"/>
      <c r="S59" s="5"/>
      <c r="T59" s="5"/>
    </row>
    <row r="60" ht="15.75" customHeight="1">
      <c r="A60" s="6" t="str">
        <f t="shared" si="1"/>
        <v>mtg yu gi oh, 1447216173</v>
      </c>
      <c r="B60" s="7" t="s">
        <v>15</v>
      </c>
      <c r="C60" s="7" t="s">
        <v>263</v>
      </c>
      <c r="D60" s="5" t="s">
        <v>264</v>
      </c>
      <c r="E60" s="5" t="s">
        <v>264</v>
      </c>
      <c r="F60" s="8">
        <v>1.447216173E9</v>
      </c>
      <c r="G60" s="9" t="str">
        <f>HYPERLINK("https://www.etsy.com/listing/1447216173", "link")</f>
        <v>link</v>
      </c>
      <c r="H60" s="9" t="str">
        <f>HYPERLINK("https://atlas.etsycorp.com/listing/1447216173/lookup", "link")</f>
        <v>link</v>
      </c>
      <c r="I60" s="5" t="s">
        <v>265</v>
      </c>
      <c r="J60" s="5" t="s">
        <v>266</v>
      </c>
      <c r="K60" s="5" t="s">
        <v>54</v>
      </c>
      <c r="L60" s="5" t="s">
        <v>55</v>
      </c>
      <c r="M60" s="10" t="s">
        <v>21</v>
      </c>
      <c r="N60" s="10" t="s">
        <v>22</v>
      </c>
      <c r="O60" s="11" t="s">
        <v>23</v>
      </c>
      <c r="P60" s="5"/>
      <c r="Q60" s="5"/>
      <c r="R60" s="5"/>
      <c r="S60" s="5"/>
      <c r="T60" s="5"/>
    </row>
    <row r="61" ht="15.75" customHeight="1">
      <c r="A61" s="6" t="str">
        <f t="shared" si="1"/>
        <v>small hoop earrings, 709691646</v>
      </c>
      <c r="B61" s="7" t="s">
        <v>15</v>
      </c>
      <c r="C61" s="5"/>
      <c r="D61" s="5" t="s">
        <v>267</v>
      </c>
      <c r="E61" s="5"/>
      <c r="F61" s="8">
        <v>7.09691646E8</v>
      </c>
      <c r="G61" s="9" t="str">
        <f>HYPERLINK("https://www.etsy.com/listing/709691646", "link")</f>
        <v>link</v>
      </c>
      <c r="H61" s="9" t="str">
        <f>HYPERLINK("https://atlas.etsycorp.com/listing/709691646/lookup", "link")</f>
        <v>link</v>
      </c>
      <c r="I61" s="5" t="s">
        <v>268</v>
      </c>
      <c r="J61" s="5" t="s">
        <v>269</v>
      </c>
      <c r="K61" s="5" t="s">
        <v>19</v>
      </c>
      <c r="L61" s="5" t="s">
        <v>73</v>
      </c>
      <c r="M61" s="10" t="s">
        <v>21</v>
      </c>
      <c r="N61" s="10" t="s">
        <v>22</v>
      </c>
      <c r="O61" s="11" t="s">
        <v>23</v>
      </c>
      <c r="P61" s="5"/>
      <c r="Q61" s="5"/>
      <c r="R61" s="5"/>
      <c r="S61" s="5"/>
      <c r="T61" s="5"/>
    </row>
    <row r="62" ht="15.75" customHeight="1">
      <c r="A62" s="6" t="str">
        <f t="shared" si="1"/>
        <v>pearl star necklace, 595009456</v>
      </c>
      <c r="B62" s="7" t="s">
        <v>24</v>
      </c>
      <c r="C62" s="7" t="s">
        <v>270</v>
      </c>
      <c r="D62" s="5" t="s">
        <v>271</v>
      </c>
      <c r="E62" s="5"/>
      <c r="F62" s="8">
        <v>5.95009456E8</v>
      </c>
      <c r="G62" s="9" t="str">
        <f>HYPERLINK("https://www.etsy.com/listing/595009456", "link")</f>
        <v>link</v>
      </c>
      <c r="H62" s="9" t="str">
        <f>HYPERLINK("https://atlas.etsycorp.com/listing/595009456/lookup", "link")</f>
        <v>link</v>
      </c>
      <c r="I62" s="5" t="s">
        <v>272</v>
      </c>
      <c r="J62" s="5" t="s">
        <v>273</v>
      </c>
      <c r="K62" s="5" t="s">
        <v>19</v>
      </c>
      <c r="L62" s="5" t="s">
        <v>73</v>
      </c>
      <c r="M62" s="10" t="s">
        <v>21</v>
      </c>
      <c r="N62" s="10" t="s">
        <v>22</v>
      </c>
      <c r="O62" s="11" t="s">
        <v>23</v>
      </c>
      <c r="P62" s="5"/>
      <c r="Q62" s="5"/>
      <c r="R62" s="5"/>
      <c r="S62" s="5"/>
      <c r="T62" s="5"/>
    </row>
    <row r="63" ht="15.75" customHeight="1">
      <c r="A63" s="6" t="str">
        <f t="shared" si="1"/>
        <v>monedas de fantasia, 1588050073</v>
      </c>
      <c r="B63" s="7" t="s">
        <v>15</v>
      </c>
      <c r="C63" s="5"/>
      <c r="D63" s="5" t="s">
        <v>274</v>
      </c>
      <c r="E63" s="5" t="s">
        <v>275</v>
      </c>
      <c r="F63" s="8">
        <v>1.588050073E9</v>
      </c>
      <c r="G63" s="9" t="str">
        <f>HYPERLINK("https://www.etsy.com/listing/1588050073", "link")</f>
        <v>link</v>
      </c>
      <c r="H63" s="9" t="str">
        <f>HYPERLINK("https://atlas.etsycorp.com/listing/1588050073/lookup", "link")</f>
        <v>link</v>
      </c>
      <c r="I63" s="5" t="s">
        <v>276</v>
      </c>
      <c r="J63" s="5" t="s">
        <v>277</v>
      </c>
      <c r="K63" s="5" t="s">
        <v>29</v>
      </c>
      <c r="L63" s="5" t="s">
        <v>30</v>
      </c>
      <c r="M63" s="10" t="s">
        <v>21</v>
      </c>
      <c r="N63" s="10" t="s">
        <v>22</v>
      </c>
      <c r="O63" s="11" t="s">
        <v>23</v>
      </c>
      <c r="P63" s="5"/>
      <c r="Q63" s="5"/>
      <c r="R63" s="5"/>
      <c r="S63" s="5"/>
      <c r="T63" s="5"/>
    </row>
    <row r="64" ht="15.75" customHeight="1">
      <c r="A64" s="6" t="str">
        <f t="shared" si="1"/>
        <v>simone biles shirt, 753430623</v>
      </c>
      <c r="B64" s="7" t="s">
        <v>48</v>
      </c>
      <c r="C64" s="5"/>
      <c r="D64" s="5" t="s">
        <v>278</v>
      </c>
      <c r="E64" s="5" t="s">
        <v>278</v>
      </c>
      <c r="F64" s="8">
        <v>7.53430623E8</v>
      </c>
      <c r="G64" s="9" t="str">
        <f>HYPERLINK("https://www.etsy.com/listing/753430623", "link")</f>
        <v>link</v>
      </c>
      <c r="H64" s="9" t="str">
        <f>HYPERLINK("https://atlas.etsycorp.com/listing/753430623/lookup", "link")</f>
        <v>link</v>
      </c>
      <c r="I64" s="5" t="s">
        <v>279</v>
      </c>
      <c r="J64" s="5" t="s">
        <v>280</v>
      </c>
      <c r="K64" s="5" t="s">
        <v>29</v>
      </c>
      <c r="L64" s="5" t="s">
        <v>30</v>
      </c>
      <c r="M64" s="10" t="s">
        <v>21</v>
      </c>
      <c r="N64" s="10" t="s">
        <v>22</v>
      </c>
      <c r="O64" s="11" t="s">
        <v>23</v>
      </c>
      <c r="P64" s="5"/>
      <c r="Q64" s="5"/>
      <c r="R64" s="5"/>
      <c r="S64" s="5"/>
      <c r="T64" s="5"/>
    </row>
    <row r="65" ht="15.75" customHeight="1">
      <c r="A65" s="6" t="str">
        <f t="shared" si="1"/>
        <v>vivienne westwood, 1596367116</v>
      </c>
      <c r="B65" s="7" t="s">
        <v>15</v>
      </c>
      <c r="C65" s="5"/>
      <c r="D65" s="5" t="s">
        <v>281</v>
      </c>
      <c r="E65" s="5" t="s">
        <v>281</v>
      </c>
      <c r="F65" s="8">
        <v>1.596367116E9</v>
      </c>
      <c r="G65" s="9" t="str">
        <f>HYPERLINK("https://www.etsy.com/listing/1596367116", "link")</f>
        <v>link</v>
      </c>
      <c r="H65" s="9" t="str">
        <f>HYPERLINK("https://atlas.etsycorp.com/listing/1596367116/lookup", "link")</f>
        <v>link</v>
      </c>
      <c r="I65" s="5" t="s">
        <v>282</v>
      </c>
      <c r="J65" s="5" t="s">
        <v>283</v>
      </c>
      <c r="K65" s="5" t="s">
        <v>46</v>
      </c>
      <c r="L65" s="5" t="s">
        <v>47</v>
      </c>
      <c r="M65" s="10" t="s">
        <v>21</v>
      </c>
      <c r="N65" s="10" t="s">
        <v>22</v>
      </c>
      <c r="O65" s="11" t="s">
        <v>23</v>
      </c>
      <c r="P65" s="5"/>
      <c r="Q65" s="5"/>
      <c r="R65" s="5"/>
      <c r="S65" s="5"/>
      <c r="T65" s="5"/>
    </row>
    <row r="66" ht="15.75" customHeight="1">
      <c r="A66" s="6" t="str">
        <f t="shared" si="1"/>
        <v>taschen damen, 1525000019</v>
      </c>
      <c r="B66" s="7" t="s">
        <v>15</v>
      </c>
      <c r="C66" s="5"/>
      <c r="D66" s="5" t="s">
        <v>161</v>
      </c>
      <c r="E66" s="5" t="s">
        <v>162</v>
      </c>
      <c r="F66" s="8">
        <v>1.525000019E9</v>
      </c>
      <c r="G66" s="9" t="str">
        <f>HYPERLINK("https://www.etsy.com/listing/1525000019", "link")</f>
        <v>link</v>
      </c>
      <c r="H66" s="9" t="str">
        <f>HYPERLINK("https://atlas.etsycorp.com/listing/1525000019/lookup", "link")</f>
        <v>link</v>
      </c>
      <c r="I66" s="5" t="s">
        <v>284</v>
      </c>
      <c r="J66" s="5" t="s">
        <v>285</v>
      </c>
      <c r="K66" s="5" t="s">
        <v>46</v>
      </c>
      <c r="L66" s="5" t="s">
        <v>47</v>
      </c>
      <c r="M66" s="10" t="s">
        <v>21</v>
      </c>
      <c r="N66" s="10" t="s">
        <v>22</v>
      </c>
      <c r="O66" s="11" t="s">
        <v>23</v>
      </c>
      <c r="P66" s="5"/>
      <c r="Q66" s="5"/>
      <c r="R66" s="5"/>
      <c r="S66" s="5"/>
      <c r="T66" s="5"/>
    </row>
    <row r="67" ht="15.75" customHeight="1">
      <c r="A67" s="6" t="str">
        <f t="shared" si="1"/>
        <v>&amp;quot;sigrid nunez&amp;quot;, 1038525124</v>
      </c>
      <c r="B67" s="7" t="s">
        <v>48</v>
      </c>
      <c r="C67" s="5"/>
      <c r="D67" s="5" t="s">
        <v>286</v>
      </c>
      <c r="E67" s="5"/>
      <c r="F67" s="8">
        <v>1.038525124E9</v>
      </c>
      <c r="G67" s="9" t="str">
        <f>HYPERLINK("https://www.etsy.com/listing/1038525124", "link")</f>
        <v>link</v>
      </c>
      <c r="H67" s="9" t="str">
        <f>HYPERLINK("https://atlas.etsycorp.com/listing/1038525124/lookup", "link")</f>
        <v>link</v>
      </c>
      <c r="I67" s="5" t="s">
        <v>287</v>
      </c>
      <c r="J67" s="5" t="s">
        <v>288</v>
      </c>
      <c r="K67" s="5" t="s">
        <v>19</v>
      </c>
      <c r="L67" s="5" t="s">
        <v>20</v>
      </c>
      <c r="M67" s="10" t="s">
        <v>21</v>
      </c>
      <c r="N67" s="10" t="s">
        <v>22</v>
      </c>
      <c r="O67" s="11" t="s">
        <v>23</v>
      </c>
      <c r="P67" s="5"/>
      <c r="Q67" s="5"/>
      <c r="R67" s="5"/>
      <c r="S67" s="5"/>
      <c r="T67" s="5"/>
    </row>
    <row r="68" ht="15.75" customHeight="1">
      <c r="A68" s="6" t="str">
        <f t="shared" si="1"/>
        <v>graduation ideas, 579155494</v>
      </c>
      <c r="B68" s="7" t="s">
        <v>15</v>
      </c>
      <c r="C68" s="5"/>
      <c r="D68" s="5" t="s">
        <v>289</v>
      </c>
      <c r="E68" s="5"/>
      <c r="F68" s="8">
        <v>5.79155494E8</v>
      </c>
      <c r="G68" s="9" t="str">
        <f>HYPERLINK("https://www.etsy.com/listing/579155494", "link")</f>
        <v>link</v>
      </c>
      <c r="H68" s="9" t="str">
        <f>HYPERLINK("https://atlas.etsycorp.com/listing/579155494/lookup", "link")</f>
        <v>link</v>
      </c>
      <c r="I68" s="5" t="s">
        <v>290</v>
      </c>
      <c r="J68" s="5" t="s">
        <v>291</v>
      </c>
      <c r="K68" s="5" t="s">
        <v>19</v>
      </c>
      <c r="L68" s="5" t="s">
        <v>41</v>
      </c>
      <c r="M68" s="10" t="s">
        <v>21</v>
      </c>
      <c r="N68" s="10" t="s">
        <v>22</v>
      </c>
      <c r="O68" s="11" t="s">
        <v>23</v>
      </c>
      <c r="P68" s="5"/>
      <c r="Q68" s="5"/>
      <c r="R68" s="5"/>
      <c r="S68" s="5"/>
      <c r="T68" s="5"/>
    </row>
    <row r="69" ht="15.75" customHeight="1">
      <c r="A69" s="6" t="str">
        <f t="shared" si="1"/>
        <v>floor vases large blue, 1234484300</v>
      </c>
      <c r="B69" s="7" t="s">
        <v>48</v>
      </c>
      <c r="C69" s="5"/>
      <c r="D69" s="5" t="s">
        <v>292</v>
      </c>
      <c r="E69" s="5"/>
      <c r="F69" s="8">
        <v>1.2344843E9</v>
      </c>
      <c r="G69" s="9" t="str">
        <f>HYPERLINK("https://www.etsy.com/listing/1234484300", "link")</f>
        <v>link</v>
      </c>
      <c r="H69" s="9" t="str">
        <f>HYPERLINK("https://atlas.etsycorp.com/listing/1234484300/lookup", "link")</f>
        <v>link</v>
      </c>
      <c r="I69" s="5" t="s">
        <v>293</v>
      </c>
      <c r="J69" s="5" t="s">
        <v>294</v>
      </c>
      <c r="K69" s="5" t="s">
        <v>120</v>
      </c>
      <c r="L69" s="5" t="s">
        <v>73</v>
      </c>
      <c r="M69" s="10" t="s">
        <v>21</v>
      </c>
      <c r="N69" s="10" t="s">
        <v>22</v>
      </c>
      <c r="O69" s="11" t="s">
        <v>23</v>
      </c>
      <c r="P69" s="5"/>
      <c r="Q69" s="5"/>
      <c r="R69" s="5"/>
      <c r="S69" s="5"/>
      <c r="T69" s="5"/>
    </row>
    <row r="70" ht="15.75" customHeight="1">
      <c r="A70" s="6" t="str">
        <f t="shared" si="1"/>
        <v>woppet bucket, 1277917406</v>
      </c>
      <c r="B70" s="7" t="s">
        <v>48</v>
      </c>
      <c r="C70" s="5"/>
      <c r="D70" s="5" t="s">
        <v>295</v>
      </c>
      <c r="E70" s="5"/>
      <c r="F70" s="8">
        <v>1.277917406E9</v>
      </c>
      <c r="G70" s="9" t="str">
        <f>HYPERLINK("https://www.etsy.com/listing/1277917406", "link")</f>
        <v>link</v>
      </c>
      <c r="H70" s="9" t="str">
        <f>HYPERLINK("https://atlas.etsycorp.com/listing/1277917406/lookup", "link")</f>
        <v>link</v>
      </c>
      <c r="I70" s="5" t="s">
        <v>296</v>
      </c>
      <c r="J70" s="5" t="s">
        <v>297</v>
      </c>
      <c r="K70" s="5" t="s">
        <v>19</v>
      </c>
      <c r="L70" s="5" t="s">
        <v>41</v>
      </c>
      <c r="M70" s="10" t="s">
        <v>21</v>
      </c>
      <c r="N70" s="10" t="s">
        <v>22</v>
      </c>
      <c r="O70" s="11" t="s">
        <v>23</v>
      </c>
      <c r="P70" s="5"/>
      <c r="Q70" s="5"/>
      <c r="R70" s="5"/>
      <c r="S70" s="5"/>
      <c r="T70" s="5"/>
    </row>
    <row r="71" ht="15.75" customHeight="1">
      <c r="A71" s="6" t="str">
        <f t="shared" si="1"/>
        <v>personalized party decor, 269622319</v>
      </c>
      <c r="B71" s="7" t="s">
        <v>15</v>
      </c>
      <c r="C71" s="5"/>
      <c r="D71" s="5" t="s">
        <v>298</v>
      </c>
      <c r="E71" s="5" t="s">
        <v>298</v>
      </c>
      <c r="F71" s="8">
        <v>2.69622319E8</v>
      </c>
      <c r="G71" s="9" t="str">
        <f>HYPERLINK("https://www.etsy.com/listing/269622319", "link")</f>
        <v>link</v>
      </c>
      <c r="H71" s="9" t="str">
        <f>HYPERLINK("https://atlas.etsycorp.com/listing/269622319/lookup", "link")</f>
        <v>link</v>
      </c>
      <c r="I71" s="5" t="s">
        <v>299</v>
      </c>
      <c r="J71" s="5" t="s">
        <v>300</v>
      </c>
      <c r="K71" s="5" t="s">
        <v>29</v>
      </c>
      <c r="L71" s="5" t="s">
        <v>30</v>
      </c>
      <c r="M71" s="10" t="s">
        <v>21</v>
      </c>
      <c r="N71" s="10" t="s">
        <v>22</v>
      </c>
      <c r="O71" s="11" t="s">
        <v>23</v>
      </c>
      <c r="P71" s="5"/>
      <c r="Q71" s="5"/>
      <c r="R71" s="5"/>
      <c r="S71" s="5"/>
      <c r="T71" s="5"/>
    </row>
    <row r="72" ht="15.75" customHeight="1">
      <c r="A72" s="6" t="str">
        <f t="shared" si="1"/>
        <v>good omens cross stitch pattern, 1528142603</v>
      </c>
      <c r="B72" s="7" t="s">
        <v>24</v>
      </c>
      <c r="C72" s="7" t="s">
        <v>301</v>
      </c>
      <c r="D72" s="5" t="s">
        <v>302</v>
      </c>
      <c r="E72" s="5"/>
      <c r="F72" s="8">
        <v>1.528142603E9</v>
      </c>
      <c r="G72" s="9" t="str">
        <f>HYPERLINK("https://www.etsy.com/listing/1528142603", "link")</f>
        <v>link</v>
      </c>
      <c r="H72" s="9" t="str">
        <f>HYPERLINK("https://atlas.etsycorp.com/listing/1528142603/lookup", "link")</f>
        <v>link</v>
      </c>
      <c r="I72" s="5" t="s">
        <v>303</v>
      </c>
      <c r="J72" s="5" t="s">
        <v>304</v>
      </c>
      <c r="K72" s="5" t="s">
        <v>120</v>
      </c>
      <c r="L72" s="5" t="s">
        <v>73</v>
      </c>
      <c r="M72" s="10" t="s">
        <v>21</v>
      </c>
      <c r="N72" s="10" t="s">
        <v>22</v>
      </c>
      <c r="O72" s="11" t="s">
        <v>23</v>
      </c>
      <c r="P72" s="5"/>
      <c r="Q72" s="5"/>
      <c r="R72" s="5"/>
      <c r="S72" s="5"/>
      <c r="T72" s="5"/>
    </row>
    <row r="73" ht="15.75" customHeight="1">
      <c r="A73" s="6" t="str">
        <f t="shared" si="1"/>
        <v>laserburn rose, 1644146021</v>
      </c>
      <c r="B73" s="7" t="s">
        <v>15</v>
      </c>
      <c r="C73" s="5"/>
      <c r="D73" s="5" t="s">
        <v>305</v>
      </c>
      <c r="E73" s="5"/>
      <c r="F73" s="8">
        <v>1.644146021E9</v>
      </c>
      <c r="G73" s="9" t="str">
        <f>HYPERLINK("https://www.etsy.com/listing/1644146021", "link")</f>
        <v>link</v>
      </c>
      <c r="H73" s="9" t="str">
        <f>HYPERLINK("https://atlas.etsycorp.com/listing/1644146021/lookup", "link")</f>
        <v>link</v>
      </c>
      <c r="I73" s="5" t="s">
        <v>306</v>
      </c>
      <c r="J73" s="5" t="s">
        <v>307</v>
      </c>
      <c r="K73" s="5" t="s">
        <v>19</v>
      </c>
      <c r="L73" s="5" t="s">
        <v>20</v>
      </c>
      <c r="M73" s="10" t="s">
        <v>21</v>
      </c>
      <c r="N73" s="10" t="s">
        <v>22</v>
      </c>
      <c r="O73" s="11" t="s">
        <v>23</v>
      </c>
      <c r="P73" s="5"/>
      <c r="Q73" s="5"/>
      <c r="R73" s="5"/>
      <c r="S73" s="5"/>
      <c r="T73" s="5"/>
    </row>
    <row r="74" ht="15.75" customHeight="1">
      <c r="A74" s="6" t="str">
        <f t="shared" si="1"/>
        <v>framed portraits, 1256191429</v>
      </c>
      <c r="B74" s="7" t="s">
        <v>15</v>
      </c>
      <c r="C74" s="5"/>
      <c r="D74" s="5" t="s">
        <v>308</v>
      </c>
      <c r="E74" s="5"/>
      <c r="F74" s="8">
        <v>1.256191429E9</v>
      </c>
      <c r="G74" s="9" t="str">
        <f>HYPERLINK("https://www.etsy.com/listing/1256191429", "link")</f>
        <v>link</v>
      </c>
      <c r="H74" s="9" t="str">
        <f>HYPERLINK("https://atlas.etsycorp.com/listing/1256191429/lookup", "link")</f>
        <v>link</v>
      </c>
      <c r="I74" s="5" t="s">
        <v>309</v>
      </c>
      <c r="J74" s="5" t="s">
        <v>310</v>
      </c>
      <c r="K74" s="5" t="s">
        <v>19</v>
      </c>
      <c r="L74" s="5" t="s">
        <v>41</v>
      </c>
      <c r="M74" s="10" t="s">
        <v>21</v>
      </c>
      <c r="N74" s="10" t="s">
        <v>22</v>
      </c>
      <c r="O74" s="11" t="s">
        <v>23</v>
      </c>
      <c r="P74" s="5"/>
      <c r="Q74" s="5"/>
      <c r="R74" s="5"/>
      <c r="S74" s="5"/>
      <c r="T74" s="5"/>
    </row>
    <row r="75" ht="15.75" customHeight="1">
      <c r="A75" s="6" t="str">
        <f t="shared" si="1"/>
        <v>custom embroidery, 1105118135</v>
      </c>
      <c r="B75" s="7" t="s">
        <v>15</v>
      </c>
      <c r="C75" s="5"/>
      <c r="D75" s="5" t="s">
        <v>311</v>
      </c>
      <c r="E75" s="5"/>
      <c r="F75" s="8">
        <v>1.105118135E9</v>
      </c>
      <c r="G75" s="9" t="str">
        <f>HYPERLINK("https://www.etsy.com/listing/1105118135", "link")</f>
        <v>link</v>
      </c>
      <c r="H75" s="9" t="str">
        <f>HYPERLINK("https://atlas.etsycorp.com/listing/1105118135/lookup", "link")</f>
        <v>link</v>
      </c>
      <c r="I75" s="5" t="s">
        <v>312</v>
      </c>
      <c r="J75" s="5" t="s">
        <v>313</v>
      </c>
      <c r="K75" s="5" t="s">
        <v>19</v>
      </c>
      <c r="L75" s="5" t="s">
        <v>73</v>
      </c>
      <c r="M75" s="10" t="s">
        <v>21</v>
      </c>
      <c r="N75" s="10" t="s">
        <v>22</v>
      </c>
      <c r="O75" s="11" t="s">
        <v>23</v>
      </c>
      <c r="P75" s="5"/>
      <c r="Q75" s="5"/>
      <c r="R75" s="5"/>
      <c r="S75" s="5"/>
      <c r="T75" s="5"/>
    </row>
    <row r="76" ht="15.75" customHeight="1">
      <c r="A76" s="6" t="str">
        <f t="shared" si="1"/>
        <v>sandspielzeug tasche, 1697011768</v>
      </c>
      <c r="B76" s="7" t="s">
        <v>15</v>
      </c>
      <c r="C76" s="5"/>
      <c r="D76" s="5" t="s">
        <v>314</v>
      </c>
      <c r="E76" s="5" t="s">
        <v>315</v>
      </c>
      <c r="F76" s="8">
        <v>1.697011768E9</v>
      </c>
      <c r="G76" s="9" t="str">
        <f>HYPERLINK("https://www.etsy.com/listing/1697011768", "link")</f>
        <v>link</v>
      </c>
      <c r="H76" s="9" t="str">
        <f>HYPERLINK("https://atlas.etsycorp.com/listing/1697011768/lookup", "link")</f>
        <v>link</v>
      </c>
      <c r="I76" s="5" t="s">
        <v>316</v>
      </c>
      <c r="J76" s="5" t="s">
        <v>317</v>
      </c>
      <c r="K76" s="5" t="s">
        <v>46</v>
      </c>
      <c r="L76" s="5" t="s">
        <v>47</v>
      </c>
      <c r="M76" s="10" t="s">
        <v>21</v>
      </c>
      <c r="N76" s="10" t="s">
        <v>22</v>
      </c>
      <c r="O76" s="11" t="s">
        <v>23</v>
      </c>
      <c r="P76" s="5"/>
      <c r="Q76" s="5"/>
      <c r="R76" s="5"/>
      <c r="S76" s="5"/>
      <c r="T76" s="5"/>
    </row>
    <row r="77" ht="15.75" customHeight="1">
      <c r="A77" s="6" t="str">
        <f t="shared" si="1"/>
        <v>skeleton controller stand, 1466107548</v>
      </c>
      <c r="B77" s="7" t="s">
        <v>48</v>
      </c>
      <c r="C77" s="7" t="s">
        <v>318</v>
      </c>
      <c r="D77" s="5" t="s">
        <v>319</v>
      </c>
      <c r="E77" s="5"/>
      <c r="F77" s="8">
        <v>1.466107548E9</v>
      </c>
      <c r="G77" s="9" t="str">
        <f>HYPERLINK("https://www.etsy.com/listing/1466107548", "link")</f>
        <v>link</v>
      </c>
      <c r="H77" s="9" t="str">
        <f>HYPERLINK("https://atlas.etsycorp.com/listing/1466107548/lookup", "link")</f>
        <v>link</v>
      </c>
      <c r="I77" s="5" t="s">
        <v>320</v>
      </c>
      <c r="J77" s="5" t="s">
        <v>321</v>
      </c>
      <c r="K77" s="5" t="s">
        <v>19</v>
      </c>
      <c r="L77" s="5" t="s">
        <v>41</v>
      </c>
      <c r="M77" s="10" t="s">
        <v>21</v>
      </c>
      <c r="N77" s="10" t="s">
        <v>22</v>
      </c>
      <c r="O77" s="11" t="s">
        <v>23</v>
      </c>
      <c r="P77" s="5"/>
      <c r="Q77" s="5"/>
      <c r="R77" s="5"/>
      <c r="S77" s="5"/>
      <c r="T77" s="5"/>
    </row>
    <row r="78" ht="15.75" customHeight="1">
      <c r="A78" s="6" t="str">
        <f t="shared" si="1"/>
        <v>serviette maternelle, 1753176562</v>
      </c>
      <c r="B78" s="7" t="s">
        <v>24</v>
      </c>
      <c r="C78" s="7" t="s">
        <v>322</v>
      </c>
      <c r="D78" s="5" t="s">
        <v>323</v>
      </c>
      <c r="E78" s="5" t="s">
        <v>324</v>
      </c>
      <c r="F78" s="8">
        <v>1.753176562E9</v>
      </c>
      <c r="G78" s="9" t="str">
        <f>HYPERLINK("https://www.etsy.com/listing/1753176562", "link")</f>
        <v>link</v>
      </c>
      <c r="H78" s="9" t="str">
        <f>HYPERLINK("https://atlas.etsycorp.com/listing/1753176562/lookup", "link")</f>
        <v>link</v>
      </c>
      <c r="I78" s="5" t="s">
        <v>325</v>
      </c>
      <c r="J78" s="5" t="s">
        <v>326</v>
      </c>
      <c r="K78" s="5" t="s">
        <v>54</v>
      </c>
      <c r="L78" s="5" t="s">
        <v>55</v>
      </c>
      <c r="M78" s="10" t="s">
        <v>21</v>
      </c>
      <c r="N78" s="10" t="s">
        <v>22</v>
      </c>
      <c r="O78" s="11" t="s">
        <v>23</v>
      </c>
      <c r="P78" s="5"/>
      <c r="Q78" s="5"/>
      <c r="R78" s="5"/>
      <c r="S78" s="5"/>
      <c r="T78" s="5"/>
    </row>
    <row r="79" ht="15.75" customHeight="1">
      <c r="A79" s="6" t="str">
        <f t="shared" si="1"/>
        <v>unique gifts for her, 1405418532</v>
      </c>
      <c r="B79" s="7" t="s">
        <v>15</v>
      </c>
      <c r="C79" s="5"/>
      <c r="D79" s="5" t="s">
        <v>327</v>
      </c>
      <c r="E79" s="5" t="s">
        <v>327</v>
      </c>
      <c r="F79" s="8">
        <v>1.405418532E9</v>
      </c>
      <c r="G79" s="9" t="str">
        <f>HYPERLINK("https://www.etsy.com/listing/1405418532", "link")</f>
        <v>link</v>
      </c>
      <c r="H79" s="9" t="str">
        <f>HYPERLINK("https://atlas.etsycorp.com/listing/1405418532/lookup", "link")</f>
        <v>link</v>
      </c>
      <c r="I79" s="5" t="s">
        <v>328</v>
      </c>
      <c r="J79" s="5" t="s">
        <v>329</v>
      </c>
      <c r="K79" s="5" t="s">
        <v>54</v>
      </c>
      <c r="L79" s="5" t="s">
        <v>55</v>
      </c>
      <c r="M79" s="10" t="s">
        <v>21</v>
      </c>
      <c r="N79" s="10" t="s">
        <v>22</v>
      </c>
      <c r="O79" s="11" t="s">
        <v>23</v>
      </c>
      <c r="P79" s="5"/>
      <c r="Q79" s="5"/>
      <c r="R79" s="5"/>
      <c r="S79" s="5"/>
      <c r="T79" s="5"/>
    </row>
    <row r="80" ht="15.75" customHeight="1">
      <c r="A80" s="6" t="str">
        <f t="shared" si="1"/>
        <v>pantalon linl, 1748194963</v>
      </c>
      <c r="B80" s="7" t="s">
        <v>24</v>
      </c>
      <c r="C80" s="7" t="s">
        <v>330</v>
      </c>
      <c r="D80" s="5" t="s">
        <v>331</v>
      </c>
      <c r="E80" s="5" t="s">
        <v>332</v>
      </c>
      <c r="F80" s="8">
        <v>1.748194963E9</v>
      </c>
      <c r="G80" s="9" t="str">
        <f>HYPERLINK("https://www.etsy.com/listing/1748194963", "link")</f>
        <v>link</v>
      </c>
      <c r="H80" s="9" t="str">
        <f>HYPERLINK("https://atlas.etsycorp.com/listing/1748194963/lookup", "link")</f>
        <v>link</v>
      </c>
      <c r="I80" s="5" t="s">
        <v>333</v>
      </c>
      <c r="J80" s="5" t="s">
        <v>334</v>
      </c>
      <c r="K80" s="5" t="s">
        <v>29</v>
      </c>
      <c r="L80" s="5" t="s">
        <v>30</v>
      </c>
      <c r="M80" s="10" t="s">
        <v>21</v>
      </c>
      <c r="N80" s="10" t="s">
        <v>22</v>
      </c>
      <c r="O80" s="11" t="s">
        <v>23</v>
      </c>
      <c r="P80" s="5"/>
      <c r="Q80" s="5"/>
      <c r="R80" s="5"/>
      <c r="S80" s="5"/>
      <c r="T80" s="5"/>
    </row>
    <row r="81" ht="15.75" customHeight="1">
      <c r="A81" s="6" t="str">
        <f t="shared" si="1"/>
        <v>mit strohhalm und holzdeckel, 1693520571</v>
      </c>
      <c r="B81" s="7" t="s">
        <v>15</v>
      </c>
      <c r="C81" s="5"/>
      <c r="D81" s="5" t="s">
        <v>335</v>
      </c>
      <c r="E81" s="5" t="s">
        <v>336</v>
      </c>
      <c r="F81" s="8">
        <v>1.693520571E9</v>
      </c>
      <c r="G81" s="9" t="str">
        <f>HYPERLINK("https://www.etsy.com/listing/1693520571", "link")</f>
        <v>link</v>
      </c>
      <c r="H81" s="9" t="str">
        <f>HYPERLINK("https://atlas.etsycorp.com/listing/1693520571/lookup", "link")</f>
        <v>link</v>
      </c>
      <c r="I81" s="5" t="s">
        <v>337</v>
      </c>
      <c r="J81" s="5" t="s">
        <v>338</v>
      </c>
      <c r="K81" s="5" t="s">
        <v>46</v>
      </c>
      <c r="L81" s="5" t="s">
        <v>47</v>
      </c>
      <c r="M81" s="10" t="s">
        <v>21</v>
      </c>
      <c r="N81" s="10" t="s">
        <v>22</v>
      </c>
      <c r="O81" s="11" t="s">
        <v>23</v>
      </c>
      <c r="P81" s="5"/>
      <c r="Q81" s="5"/>
      <c r="R81" s="5"/>
      <c r="S81" s="5"/>
      <c r="T81" s="5"/>
    </row>
    <row r="82" ht="15.75" customHeight="1">
      <c r="A82" s="6" t="str">
        <f t="shared" si="1"/>
        <v>scott pilgrim, 1631026089</v>
      </c>
      <c r="B82" s="7" t="s">
        <v>15</v>
      </c>
      <c r="C82" s="5"/>
      <c r="D82" s="5" t="s">
        <v>339</v>
      </c>
      <c r="E82" s="5" t="s">
        <v>339</v>
      </c>
      <c r="F82" s="8">
        <v>1.631026089E9</v>
      </c>
      <c r="G82" s="9" t="str">
        <f>HYPERLINK("https://www.etsy.com/listing/1631026089", "link")</f>
        <v>link</v>
      </c>
      <c r="H82" s="9" t="str">
        <f>HYPERLINK("https://atlas.etsycorp.com/listing/1631026089/lookup", "link")</f>
        <v>link</v>
      </c>
      <c r="I82" s="5" t="s">
        <v>340</v>
      </c>
      <c r="J82" s="5" t="s">
        <v>341</v>
      </c>
      <c r="K82" s="5" t="s">
        <v>29</v>
      </c>
      <c r="L82" s="5" t="s">
        <v>30</v>
      </c>
      <c r="M82" s="10" t="s">
        <v>21</v>
      </c>
      <c r="N82" s="10" t="s">
        <v>22</v>
      </c>
      <c r="O82" s="11" t="s">
        <v>23</v>
      </c>
      <c r="P82" s="5"/>
      <c r="Q82" s="5"/>
      <c r="R82" s="5"/>
      <c r="S82" s="5"/>
      <c r="T82" s="5"/>
    </row>
    <row r="83" ht="15.75" customHeight="1">
      <c r="A83" s="6" t="str">
        <f t="shared" si="1"/>
        <v>spores, 1173538812</v>
      </c>
      <c r="B83" s="7" t="s">
        <v>15</v>
      </c>
      <c r="C83" s="7" t="s">
        <v>342</v>
      </c>
      <c r="D83" s="5" t="s">
        <v>343</v>
      </c>
      <c r="E83" s="5"/>
      <c r="F83" s="8">
        <v>1.173538812E9</v>
      </c>
      <c r="G83" s="9" t="str">
        <f>HYPERLINK("https://www.etsy.com/listing/1173538812", "link")</f>
        <v>link</v>
      </c>
      <c r="H83" s="9" t="str">
        <f>HYPERLINK("https://atlas.etsycorp.com/listing/1173538812/lookup", "link")</f>
        <v>link</v>
      </c>
      <c r="I83" s="5" t="s">
        <v>344</v>
      </c>
      <c r="J83" s="5" t="s">
        <v>345</v>
      </c>
      <c r="K83" s="5" t="s">
        <v>19</v>
      </c>
      <c r="L83" s="5" t="s">
        <v>41</v>
      </c>
      <c r="M83" s="10" t="s">
        <v>21</v>
      </c>
      <c r="N83" s="10" t="s">
        <v>22</v>
      </c>
      <c r="O83" s="11" t="s">
        <v>23</v>
      </c>
      <c r="P83" s="5"/>
      <c r="Q83" s="5"/>
      <c r="R83" s="5"/>
      <c r="S83" s="5"/>
      <c r="T83" s="5"/>
    </row>
    <row r="84" ht="15.75" customHeight="1">
      <c r="A84" s="6" t="str">
        <f t="shared" si="1"/>
        <v>personalized gift for him, 1393233546</v>
      </c>
      <c r="B84" s="7" t="s">
        <v>15</v>
      </c>
      <c r="C84" s="5"/>
      <c r="D84" s="5" t="s">
        <v>346</v>
      </c>
      <c r="E84" s="5"/>
      <c r="F84" s="8">
        <v>1.393233546E9</v>
      </c>
      <c r="G84" s="9" t="str">
        <f>HYPERLINK("https://www.etsy.com/listing/1393233546", "link")</f>
        <v>link</v>
      </c>
      <c r="H84" s="9" t="str">
        <f>HYPERLINK("https://atlas.etsycorp.com/listing/1393233546/lookup", "link")</f>
        <v>link</v>
      </c>
      <c r="I84" s="5" t="s">
        <v>347</v>
      </c>
      <c r="J84" s="5" t="s">
        <v>348</v>
      </c>
      <c r="K84" s="5" t="s">
        <v>19</v>
      </c>
      <c r="L84" s="5" t="s">
        <v>20</v>
      </c>
      <c r="M84" s="10" t="s">
        <v>21</v>
      </c>
      <c r="N84" s="10" t="s">
        <v>22</v>
      </c>
      <c r="O84" s="11" t="s">
        <v>23</v>
      </c>
      <c r="P84" s="5"/>
      <c r="Q84" s="5"/>
      <c r="R84" s="5"/>
      <c r="S84" s="5"/>
      <c r="T84" s="5"/>
    </row>
    <row r="85" ht="15.75" customHeight="1">
      <c r="A85" s="6" t="str">
        <f t="shared" si="1"/>
        <v>Ring Guards &amp; Spacers, 1596443726</v>
      </c>
      <c r="B85" s="7" t="s">
        <v>15</v>
      </c>
      <c r="C85" s="5"/>
      <c r="D85" s="5" t="s">
        <v>349</v>
      </c>
      <c r="E85" s="5"/>
      <c r="F85" s="8">
        <v>1.596443726E9</v>
      </c>
      <c r="G85" s="9" t="str">
        <f>HYPERLINK("https://www.etsy.com/listing/1596443726", "link")</f>
        <v>link</v>
      </c>
      <c r="H85" s="9" t="str">
        <f>HYPERLINK("https://atlas.etsycorp.com/listing/1596443726/lookup", "link")</f>
        <v>link</v>
      </c>
      <c r="I85" s="5" t="s">
        <v>350</v>
      </c>
      <c r="J85" s="5" t="s">
        <v>351</v>
      </c>
      <c r="K85" s="5" t="s">
        <v>19</v>
      </c>
      <c r="L85" s="5" t="s">
        <v>41</v>
      </c>
      <c r="M85" s="10" t="s">
        <v>21</v>
      </c>
      <c r="N85" s="10" t="s">
        <v>22</v>
      </c>
      <c r="O85" s="11" t="s">
        <v>23</v>
      </c>
      <c r="P85" s="5"/>
      <c r="Q85" s="5"/>
      <c r="R85" s="5"/>
      <c r="S85" s="5"/>
      <c r="T85" s="5"/>
    </row>
    <row r="86" ht="15.75" customHeight="1">
      <c r="A86" s="6" t="str">
        <f t="shared" si="1"/>
        <v>cards for 10year old boy, 1266373802</v>
      </c>
      <c r="B86" s="7" t="s">
        <v>15</v>
      </c>
      <c r="C86" s="5"/>
      <c r="D86" s="5" t="s">
        <v>352</v>
      </c>
      <c r="E86" s="5"/>
      <c r="F86" s="8">
        <v>1.266373802E9</v>
      </c>
      <c r="G86" s="9" t="str">
        <f>HYPERLINK("https://www.etsy.com/listing/1266373802", "link")</f>
        <v>link</v>
      </c>
      <c r="H86" s="9" t="str">
        <f>HYPERLINK("https://atlas.etsycorp.com/listing/1266373802/lookup", "link")</f>
        <v>link</v>
      </c>
      <c r="I86" s="5" t="s">
        <v>353</v>
      </c>
      <c r="J86" s="5" t="s">
        <v>354</v>
      </c>
      <c r="K86" s="5" t="s">
        <v>120</v>
      </c>
      <c r="L86" s="5" t="s">
        <v>41</v>
      </c>
      <c r="M86" s="10" t="s">
        <v>21</v>
      </c>
      <c r="N86" s="10" t="s">
        <v>22</v>
      </c>
      <c r="O86" s="11" t="s">
        <v>23</v>
      </c>
      <c r="P86" s="5"/>
      <c r="Q86" s="5"/>
      <c r="R86" s="5"/>
      <c r="S86" s="5"/>
      <c r="T86" s="5"/>
    </row>
    <row r="87" ht="15.75" customHeight="1">
      <c r="A87" s="6" t="str">
        <f t="shared" si="1"/>
        <v>bitch pillow case, 1201069222</v>
      </c>
      <c r="B87" s="7" t="s">
        <v>15</v>
      </c>
      <c r="C87" s="5"/>
      <c r="D87" s="5" t="s">
        <v>355</v>
      </c>
      <c r="E87" s="5"/>
      <c r="F87" s="8">
        <v>1.201069222E9</v>
      </c>
      <c r="G87" s="9" t="str">
        <f>HYPERLINK("https://www.etsy.com/listing/1201069222", "link")</f>
        <v>link</v>
      </c>
      <c r="H87" s="9" t="str">
        <f>HYPERLINK("https://atlas.etsycorp.com/listing/1201069222/lookup", "link")</f>
        <v>link</v>
      </c>
      <c r="I87" s="5" t="s">
        <v>356</v>
      </c>
      <c r="J87" s="5" t="s">
        <v>357</v>
      </c>
      <c r="K87" s="5" t="s">
        <v>120</v>
      </c>
      <c r="L87" s="5" t="s">
        <v>73</v>
      </c>
      <c r="M87" s="10" t="s">
        <v>21</v>
      </c>
      <c r="N87" s="10" t="s">
        <v>22</v>
      </c>
      <c r="O87" s="11" t="s">
        <v>23</v>
      </c>
      <c r="P87" s="5"/>
      <c r="Q87" s="5"/>
      <c r="R87" s="5"/>
      <c r="S87" s="5"/>
      <c r="T87" s="5"/>
    </row>
    <row r="88" ht="15.75" customHeight="1">
      <c r="A88" s="6" t="str">
        <f t="shared" si="1"/>
        <v>Custom wedding invitations, 1510958588</v>
      </c>
      <c r="B88" s="7" t="s">
        <v>15</v>
      </c>
      <c r="C88" s="5"/>
      <c r="D88" s="5" t="s">
        <v>358</v>
      </c>
      <c r="E88" s="5"/>
      <c r="F88" s="8">
        <v>1.510958588E9</v>
      </c>
      <c r="G88" s="9" t="str">
        <f>HYPERLINK("https://www.etsy.com/listing/1510958588", "link")</f>
        <v>link</v>
      </c>
      <c r="H88" s="9" t="str">
        <f>HYPERLINK("https://atlas.etsycorp.com/listing/1510958588/lookup", "link")</f>
        <v>link</v>
      </c>
      <c r="I88" s="5" t="s">
        <v>359</v>
      </c>
      <c r="J88" s="5" t="s">
        <v>360</v>
      </c>
      <c r="K88" s="5" t="s">
        <v>19</v>
      </c>
      <c r="L88" s="5" t="s">
        <v>41</v>
      </c>
      <c r="M88" s="10" t="s">
        <v>21</v>
      </c>
      <c r="N88" s="10" t="s">
        <v>22</v>
      </c>
      <c r="O88" s="11" t="s">
        <v>23</v>
      </c>
      <c r="P88" s="5"/>
      <c r="Q88" s="5"/>
      <c r="R88" s="5"/>
      <c r="S88" s="5"/>
      <c r="T88" s="5"/>
    </row>
    <row r="89" ht="15.75" customHeight="1">
      <c r="A89" s="6" t="str">
        <f t="shared" si="1"/>
        <v>rings for men, 1367429104</v>
      </c>
      <c r="B89" s="7" t="s">
        <v>15</v>
      </c>
      <c r="C89" s="5"/>
      <c r="D89" s="5" t="s">
        <v>361</v>
      </c>
      <c r="E89" s="5"/>
      <c r="F89" s="8">
        <v>1.367429104E9</v>
      </c>
      <c r="G89" s="9" t="str">
        <f>HYPERLINK("https://www.etsy.com/listing/1367429104", "link")</f>
        <v>link</v>
      </c>
      <c r="H89" s="9" t="str">
        <f>HYPERLINK("https://atlas.etsycorp.com/listing/1367429104/lookup", "link")</f>
        <v>link</v>
      </c>
      <c r="I89" s="5" t="s">
        <v>362</v>
      </c>
      <c r="J89" s="5" t="s">
        <v>363</v>
      </c>
      <c r="K89" s="5" t="s">
        <v>19</v>
      </c>
      <c r="L89" s="5" t="s">
        <v>41</v>
      </c>
      <c r="M89" s="10" t="s">
        <v>21</v>
      </c>
      <c r="N89" s="10" t="s">
        <v>22</v>
      </c>
      <c r="O89" s="11" t="s">
        <v>23</v>
      </c>
      <c r="P89" s="5"/>
      <c r="Q89" s="5"/>
      <c r="R89" s="5"/>
      <c r="S89" s="5"/>
      <c r="T89" s="5"/>
    </row>
    <row r="90" ht="15.75" customHeight="1">
      <c r="A90" s="6" t="str">
        <f t="shared" si="1"/>
        <v>royal pet portrait, 1555465127</v>
      </c>
      <c r="B90" s="7" t="s">
        <v>24</v>
      </c>
      <c r="C90" s="7" t="s">
        <v>364</v>
      </c>
      <c r="D90" s="5" t="s">
        <v>365</v>
      </c>
      <c r="E90" s="5"/>
      <c r="F90" s="8">
        <v>1.555465127E9</v>
      </c>
      <c r="G90" s="9" t="str">
        <f>HYPERLINK("https://www.etsy.com/listing/1555465127", "link")</f>
        <v>link</v>
      </c>
      <c r="H90" s="9" t="str">
        <f>HYPERLINK("https://atlas.etsycorp.com/listing/1555465127/lookup", "link")</f>
        <v>link</v>
      </c>
      <c r="I90" s="5" t="s">
        <v>366</v>
      </c>
      <c r="J90" s="5" t="s">
        <v>367</v>
      </c>
      <c r="K90" s="5" t="s">
        <v>19</v>
      </c>
      <c r="L90" s="5" t="s">
        <v>41</v>
      </c>
      <c r="M90" s="10" t="s">
        <v>21</v>
      </c>
      <c r="N90" s="10" t="s">
        <v>22</v>
      </c>
      <c r="O90" s="11" t="s">
        <v>23</v>
      </c>
      <c r="P90" s="5"/>
      <c r="Q90" s="5"/>
      <c r="R90" s="5"/>
      <c r="S90" s="5"/>
      <c r="T90" s="5"/>
    </row>
    <row r="91" ht="15.75" customHeight="1">
      <c r="A91" s="6" t="str">
        <f t="shared" si="1"/>
        <v>queenclothes for baby, 1168584883</v>
      </c>
      <c r="B91" s="7" t="s">
        <v>24</v>
      </c>
      <c r="C91" s="7" t="s">
        <v>368</v>
      </c>
      <c r="D91" s="5" t="s">
        <v>369</v>
      </c>
      <c r="E91" s="5"/>
      <c r="F91" s="8">
        <v>1.168584883E9</v>
      </c>
      <c r="G91" s="9" t="str">
        <f>HYPERLINK("https://www.etsy.com/listing/1168584883", "link")</f>
        <v>link</v>
      </c>
      <c r="H91" s="9" t="str">
        <f>HYPERLINK("https://atlas.etsycorp.com/listing/1168584883/lookup", "link")</f>
        <v>link</v>
      </c>
      <c r="I91" s="5" t="s">
        <v>370</v>
      </c>
      <c r="J91" s="5" t="s">
        <v>371</v>
      </c>
      <c r="K91" s="5" t="s">
        <v>19</v>
      </c>
      <c r="L91" s="5" t="s">
        <v>41</v>
      </c>
      <c r="M91" s="10" t="s">
        <v>21</v>
      </c>
      <c r="N91" s="10" t="s">
        <v>22</v>
      </c>
      <c r="O91" s="11" t="s">
        <v>23</v>
      </c>
      <c r="P91" s="5"/>
      <c r="Q91" s="5"/>
      <c r="R91" s="5"/>
      <c r="S91" s="5"/>
      <c r="T91" s="5"/>
    </row>
    <row r="92" ht="15.75" customHeight="1">
      <c r="A92" s="6" t="str">
        <f t="shared" si="1"/>
        <v>simone biles shirt, 1763023631</v>
      </c>
      <c r="B92" s="7" t="s">
        <v>48</v>
      </c>
      <c r="C92" s="7" t="s">
        <v>372</v>
      </c>
      <c r="D92" s="5" t="s">
        <v>278</v>
      </c>
      <c r="E92" s="5" t="s">
        <v>278</v>
      </c>
      <c r="F92" s="8">
        <v>1.763023631E9</v>
      </c>
      <c r="G92" s="9" t="str">
        <f>HYPERLINK("https://www.etsy.com/listing/1763023631", "link")</f>
        <v>link</v>
      </c>
      <c r="H92" s="9" t="str">
        <f>HYPERLINK("https://atlas.etsycorp.com/listing/1763023631/lookup", "link")</f>
        <v>link</v>
      </c>
      <c r="I92" s="5" t="s">
        <v>373</v>
      </c>
      <c r="J92" s="5" t="s">
        <v>280</v>
      </c>
      <c r="K92" s="5" t="s">
        <v>29</v>
      </c>
      <c r="L92" s="5" t="s">
        <v>30</v>
      </c>
      <c r="M92" s="10" t="s">
        <v>21</v>
      </c>
      <c r="N92" s="10" t="s">
        <v>22</v>
      </c>
      <c r="O92" s="11" t="s">
        <v>23</v>
      </c>
      <c r="P92" s="5"/>
      <c r="Q92" s="5"/>
      <c r="R92" s="5"/>
      <c r="S92" s="5"/>
      <c r="T92" s="5"/>
    </row>
    <row r="93" ht="15.75" customHeight="1">
      <c r="A93" s="6" t="str">
        <f t="shared" si="1"/>
        <v>black wooden light pull, 1514233080</v>
      </c>
      <c r="B93" s="7" t="s">
        <v>24</v>
      </c>
      <c r="C93" s="7" t="s">
        <v>374</v>
      </c>
      <c r="D93" s="5" t="s">
        <v>375</v>
      </c>
      <c r="E93" s="5"/>
      <c r="F93" s="8">
        <v>1.51423308E9</v>
      </c>
      <c r="G93" s="9" t="str">
        <f>HYPERLINK("https://www.etsy.com/listing/1514233080", "link")</f>
        <v>link</v>
      </c>
      <c r="H93" s="9" t="str">
        <f>HYPERLINK("https://atlas.etsycorp.com/listing/1514233080/lookup", "link")</f>
        <v>link</v>
      </c>
      <c r="I93" s="5" t="s">
        <v>376</v>
      </c>
      <c r="J93" s="5" t="s">
        <v>377</v>
      </c>
      <c r="K93" s="5" t="s">
        <v>120</v>
      </c>
      <c r="L93" s="5" t="s">
        <v>73</v>
      </c>
      <c r="M93" s="10" t="s">
        <v>21</v>
      </c>
      <c r="N93" s="10" t="s">
        <v>22</v>
      </c>
      <c r="O93" s="11" t="s">
        <v>23</v>
      </c>
      <c r="P93" s="5"/>
      <c r="Q93" s="5"/>
      <c r="R93" s="5"/>
      <c r="S93" s="5"/>
      <c r="T93" s="5"/>
    </row>
    <row r="94" ht="15.75" customHeight="1">
      <c r="A94" s="6" t="str">
        <f t="shared" si="1"/>
        <v>broek, 612040534</v>
      </c>
      <c r="B94" s="7" t="s">
        <v>48</v>
      </c>
      <c r="C94" s="7" t="s">
        <v>378</v>
      </c>
      <c r="D94" s="5" t="s">
        <v>379</v>
      </c>
      <c r="E94" s="5" t="s">
        <v>380</v>
      </c>
      <c r="F94" s="8">
        <v>6.12040534E8</v>
      </c>
      <c r="G94" s="9" t="str">
        <f>HYPERLINK("https://www.etsy.com/listing/612040534", "link")</f>
        <v>link</v>
      </c>
      <c r="H94" s="9" t="str">
        <f>HYPERLINK("https://atlas.etsycorp.com/listing/612040534/lookup", "link")</f>
        <v>link</v>
      </c>
      <c r="I94" s="5" t="s">
        <v>381</v>
      </c>
      <c r="J94" s="5" t="s">
        <v>382</v>
      </c>
      <c r="K94" s="5" t="s">
        <v>35</v>
      </c>
      <c r="L94" s="5" t="s">
        <v>36</v>
      </c>
      <c r="M94" s="10" t="s">
        <v>21</v>
      </c>
      <c r="N94" s="10" t="s">
        <v>22</v>
      </c>
      <c r="O94" s="11" t="s">
        <v>23</v>
      </c>
      <c r="P94" s="5"/>
      <c r="Q94" s="5"/>
      <c r="R94" s="5"/>
      <c r="S94" s="5"/>
      <c r="T94" s="5"/>
    </row>
    <row r="95" ht="15.75" customHeight="1">
      <c r="A95" s="6" t="str">
        <f t="shared" si="1"/>
        <v>Find shirts, 1700516913</v>
      </c>
      <c r="B95" s="12" t="s">
        <v>15</v>
      </c>
      <c r="C95" s="5"/>
      <c r="D95" s="5" t="s">
        <v>89</v>
      </c>
      <c r="E95" s="5" t="s">
        <v>89</v>
      </c>
      <c r="F95" s="8">
        <v>1.700516913E9</v>
      </c>
      <c r="G95" s="9" t="str">
        <f>HYPERLINK("https://www.etsy.com/listing/1700516913", "link")</f>
        <v>link</v>
      </c>
      <c r="H95" s="9" t="str">
        <f>HYPERLINK("https://atlas.etsycorp.com/listing/1700516913/lookup", "link")</f>
        <v>link</v>
      </c>
      <c r="I95" s="5" t="s">
        <v>383</v>
      </c>
      <c r="J95" s="5" t="s">
        <v>384</v>
      </c>
      <c r="K95" s="5" t="s">
        <v>29</v>
      </c>
      <c r="L95" s="5" t="s">
        <v>30</v>
      </c>
      <c r="M95" s="10" t="s">
        <v>21</v>
      </c>
      <c r="N95" s="10" t="s">
        <v>22</v>
      </c>
      <c r="O95" s="11" t="s">
        <v>23</v>
      </c>
      <c r="P95" s="5"/>
      <c r="Q95" s="5"/>
      <c r="R95" s="5"/>
      <c r="S95" s="5"/>
      <c r="T95" s="5"/>
    </row>
    <row r="96" ht="15.75" customHeight="1">
      <c r="A96" s="6" t="str">
        <f t="shared" si="1"/>
        <v>suspension fleur, 1478198431</v>
      </c>
      <c r="B96" s="7" t="s">
        <v>15</v>
      </c>
      <c r="C96" s="5"/>
      <c r="D96" s="5" t="s">
        <v>385</v>
      </c>
      <c r="E96" s="5" t="s">
        <v>386</v>
      </c>
      <c r="F96" s="8">
        <v>1.478198431E9</v>
      </c>
      <c r="G96" s="9" t="str">
        <f>HYPERLINK("https://www.etsy.com/listing/1478198431", "link")</f>
        <v>link</v>
      </c>
      <c r="H96" s="9" t="str">
        <f>HYPERLINK("https://atlas.etsycorp.com/listing/1478198431/lookup", "link")</f>
        <v>link</v>
      </c>
      <c r="I96" s="5" t="s">
        <v>387</v>
      </c>
      <c r="J96" s="5" t="s">
        <v>388</v>
      </c>
      <c r="K96" s="5" t="s">
        <v>54</v>
      </c>
      <c r="L96" s="5" t="s">
        <v>55</v>
      </c>
      <c r="M96" s="10" t="s">
        <v>21</v>
      </c>
      <c r="N96" s="10" t="s">
        <v>22</v>
      </c>
      <c r="O96" s="11" t="s">
        <v>23</v>
      </c>
      <c r="P96" s="5"/>
      <c r="Q96" s="5"/>
      <c r="R96" s="5"/>
      <c r="S96" s="5"/>
      <c r="T96" s="5"/>
    </row>
    <row r="97" ht="15.75" customHeight="1">
      <c r="A97" s="6" t="str">
        <f t="shared" si="1"/>
        <v>wine cork display, 977075221</v>
      </c>
      <c r="B97" s="7" t="s">
        <v>15</v>
      </c>
      <c r="C97" s="5"/>
      <c r="D97" s="5" t="s">
        <v>389</v>
      </c>
      <c r="E97" s="5"/>
      <c r="F97" s="8">
        <v>9.77075221E8</v>
      </c>
      <c r="G97" s="9" t="str">
        <f>HYPERLINK("https://www.etsy.com/listing/977075221", "link")</f>
        <v>link</v>
      </c>
      <c r="H97" s="9" t="str">
        <f>HYPERLINK("https://atlas.etsycorp.com/listing/977075221/lookup", "link")</f>
        <v>link</v>
      </c>
      <c r="I97" s="5" t="s">
        <v>390</v>
      </c>
      <c r="J97" s="5" t="s">
        <v>391</v>
      </c>
      <c r="K97" s="5" t="s">
        <v>19</v>
      </c>
      <c r="L97" s="5" t="s">
        <v>41</v>
      </c>
      <c r="M97" s="10" t="s">
        <v>21</v>
      </c>
      <c r="N97" s="10" t="s">
        <v>22</v>
      </c>
      <c r="O97" s="11" t="s">
        <v>23</v>
      </c>
      <c r="P97" s="5"/>
      <c r="Q97" s="5"/>
      <c r="R97" s="5"/>
      <c r="S97" s="5"/>
      <c r="T97" s="5"/>
    </row>
    <row r="98" ht="15.75" customHeight="1">
      <c r="A98" s="6" t="str">
        <f t="shared" si="1"/>
        <v>cadena bolso gris, 1248661033</v>
      </c>
      <c r="B98" s="7" t="s">
        <v>15</v>
      </c>
      <c r="C98" s="5"/>
      <c r="D98" s="5" t="s">
        <v>392</v>
      </c>
      <c r="E98" s="5"/>
      <c r="F98" s="8">
        <v>1.248661033E9</v>
      </c>
      <c r="G98" s="9" t="str">
        <f>HYPERLINK("https://www.etsy.com/listing/1248661033", "link")</f>
        <v>link</v>
      </c>
      <c r="H98" s="9" t="str">
        <f>HYPERLINK("https://atlas.etsycorp.com/listing/1248661033/lookup", "link")</f>
        <v>link</v>
      </c>
      <c r="I98" s="5" t="s">
        <v>393</v>
      </c>
      <c r="J98" s="5" t="s">
        <v>394</v>
      </c>
      <c r="K98" s="5" t="s">
        <v>120</v>
      </c>
      <c r="L98" s="5" t="s">
        <v>20</v>
      </c>
      <c r="M98" s="10" t="s">
        <v>21</v>
      </c>
      <c r="N98" s="10" t="s">
        <v>22</v>
      </c>
      <c r="O98" s="11" t="s">
        <v>23</v>
      </c>
      <c r="P98" s="5"/>
      <c r="Q98" s="5"/>
      <c r="R98" s="5"/>
      <c r="S98" s="5"/>
      <c r="T98" s="5"/>
    </row>
    <row r="99" ht="15.75" customHeight="1">
      <c r="A99" s="6" t="str">
        <f t="shared" si="1"/>
        <v>spring clothing, 1655570351</v>
      </c>
      <c r="B99" s="7" t="s">
        <v>15</v>
      </c>
      <c r="C99" s="5"/>
      <c r="D99" s="5" t="s">
        <v>395</v>
      </c>
      <c r="E99" s="5"/>
      <c r="F99" s="8">
        <v>1.655570351E9</v>
      </c>
      <c r="G99" s="9" t="str">
        <f>HYPERLINK("https://www.etsy.com/listing/1655570351", "link")</f>
        <v>link</v>
      </c>
      <c r="H99" s="9" t="str">
        <f>HYPERLINK("https://atlas.etsycorp.com/listing/1655570351/lookup", "link")</f>
        <v>link</v>
      </c>
      <c r="I99" s="5" t="s">
        <v>396</v>
      </c>
      <c r="J99" s="5" t="s">
        <v>397</v>
      </c>
      <c r="K99" s="5" t="s">
        <v>19</v>
      </c>
      <c r="L99" s="5" t="s">
        <v>41</v>
      </c>
      <c r="M99" s="10" t="s">
        <v>21</v>
      </c>
      <c r="N99" s="10" t="s">
        <v>22</v>
      </c>
      <c r="O99" s="11" t="s">
        <v>23</v>
      </c>
      <c r="P99" s="5"/>
      <c r="Q99" s="5"/>
      <c r="R99" s="5"/>
      <c r="S99" s="5"/>
      <c r="T99" s="5"/>
    </row>
    <row r="100" ht="15.75" customHeight="1">
      <c r="A100" s="6" t="str">
        <f t="shared" si="1"/>
        <v>watercolor terracota flower, 1648282167</v>
      </c>
      <c r="B100" s="7" t="s">
        <v>15</v>
      </c>
      <c r="C100" s="5"/>
      <c r="D100" s="5" t="s">
        <v>398</v>
      </c>
      <c r="E100" s="5" t="s">
        <v>399</v>
      </c>
      <c r="F100" s="8">
        <v>1.648282167E9</v>
      </c>
      <c r="G100" s="9" t="str">
        <f>HYPERLINK("https://www.etsy.com/listing/1648282167", "link")</f>
        <v>link</v>
      </c>
      <c r="H100" s="9" t="str">
        <f>HYPERLINK("https://atlas.etsycorp.com/listing/1648282167/lookup", "link")</f>
        <v>link</v>
      </c>
      <c r="I100" s="5" t="s">
        <v>400</v>
      </c>
      <c r="J100" s="5" t="s">
        <v>401</v>
      </c>
      <c r="K100" s="5" t="s">
        <v>229</v>
      </c>
      <c r="L100" s="5" t="s">
        <v>230</v>
      </c>
      <c r="M100" s="10" t="s">
        <v>21</v>
      </c>
      <c r="N100" s="10" t="s">
        <v>22</v>
      </c>
      <c r="O100" s="11" t="s">
        <v>23</v>
      </c>
      <c r="P100" s="5"/>
      <c r="Q100" s="5"/>
      <c r="R100" s="5"/>
      <c r="S100" s="5"/>
      <c r="T100" s="5"/>
    </row>
    <row r="101" ht="15.75" customHeight="1">
      <c r="A101" s="6" t="str">
        <f t="shared" si="1"/>
        <v>linen, 1561062342</v>
      </c>
      <c r="B101" s="7" t="s">
        <v>15</v>
      </c>
      <c r="C101" s="7" t="s">
        <v>402</v>
      </c>
      <c r="D101" s="5" t="s">
        <v>403</v>
      </c>
      <c r="E101" s="5" t="s">
        <v>403</v>
      </c>
      <c r="F101" s="8">
        <v>1.561062342E9</v>
      </c>
      <c r="G101" s="9" t="str">
        <f>HYPERLINK("https://www.etsy.com/listing/1561062342", "link")</f>
        <v>link</v>
      </c>
      <c r="H101" s="9" t="str">
        <f>HYPERLINK("https://atlas.etsycorp.com/listing/1561062342/lookup", "link")</f>
        <v>link</v>
      </c>
      <c r="I101" s="5" t="s">
        <v>404</v>
      </c>
      <c r="J101" s="5" t="s">
        <v>405</v>
      </c>
      <c r="K101" s="5" t="s">
        <v>213</v>
      </c>
      <c r="L101" s="5" t="s">
        <v>214</v>
      </c>
      <c r="M101" s="10" t="s">
        <v>21</v>
      </c>
      <c r="N101" s="10" t="s">
        <v>22</v>
      </c>
      <c r="O101" s="11" t="s">
        <v>23</v>
      </c>
      <c r="P101" s="5"/>
      <c r="Q101" s="5"/>
      <c r="R101" s="5"/>
      <c r="S101" s="5"/>
      <c r="T101" s="5"/>
    </row>
    <row r="102" ht="15.75" customHeight="1">
      <c r="A102" s="6" t="str">
        <f t="shared" si="1"/>
        <v>echarpe triangle, 994065416</v>
      </c>
      <c r="B102" s="7" t="s">
        <v>15</v>
      </c>
      <c r="C102" s="5"/>
      <c r="D102" s="5" t="s">
        <v>406</v>
      </c>
      <c r="E102" s="5" t="s">
        <v>407</v>
      </c>
      <c r="F102" s="8">
        <v>9.94065416E8</v>
      </c>
      <c r="G102" s="9" t="str">
        <f>HYPERLINK("https://www.etsy.com/listing/994065416", "link")</f>
        <v>link</v>
      </c>
      <c r="H102" s="9" t="str">
        <f>HYPERLINK("https://atlas.etsycorp.com/listing/994065416/lookup", "link")</f>
        <v>link</v>
      </c>
      <c r="I102" s="5" t="s">
        <v>408</v>
      </c>
      <c r="J102" s="5" t="s">
        <v>409</v>
      </c>
      <c r="K102" s="5" t="s">
        <v>54</v>
      </c>
      <c r="L102" s="5" t="s">
        <v>55</v>
      </c>
      <c r="M102" s="10" t="s">
        <v>21</v>
      </c>
      <c r="N102" s="10" t="s">
        <v>22</v>
      </c>
      <c r="O102" s="11" t="s">
        <v>23</v>
      </c>
      <c r="P102" s="5"/>
      <c r="Q102" s="5"/>
      <c r="R102" s="5"/>
      <c r="S102" s="5"/>
      <c r="T102" s="5"/>
    </row>
    <row r="103" ht="15.75" customHeight="1">
      <c r="A103" s="6" t="str">
        <f t="shared" si="1"/>
        <v>make up bag, 1247156935</v>
      </c>
      <c r="B103" s="7" t="s">
        <v>15</v>
      </c>
      <c r="C103" s="5"/>
      <c r="D103" s="5" t="s">
        <v>194</v>
      </c>
      <c r="E103" s="5" t="s">
        <v>194</v>
      </c>
      <c r="F103" s="8">
        <v>1.247156935E9</v>
      </c>
      <c r="G103" s="9" t="str">
        <f>HYPERLINK("https://www.etsy.com/listing/1247156935", "link")</f>
        <v>link</v>
      </c>
      <c r="H103" s="9" t="str">
        <f>HYPERLINK("https://atlas.etsycorp.com/listing/1247156935/lookup", "link")</f>
        <v>link</v>
      </c>
      <c r="I103" s="5" t="s">
        <v>410</v>
      </c>
      <c r="J103" s="5" t="s">
        <v>196</v>
      </c>
      <c r="K103" s="5" t="s">
        <v>80</v>
      </c>
      <c r="L103" s="5" t="s">
        <v>81</v>
      </c>
      <c r="M103" s="10" t="s">
        <v>21</v>
      </c>
      <c r="N103" s="10" t="s">
        <v>22</v>
      </c>
      <c r="O103" s="11" t="s">
        <v>23</v>
      </c>
      <c r="P103" s="5"/>
      <c r="Q103" s="5"/>
      <c r="R103" s="5"/>
      <c r="S103" s="5"/>
      <c r="T103" s="5"/>
    </row>
    <row r="104" ht="15.75" customHeight="1">
      <c r="A104" s="6" t="str">
        <f t="shared" si="1"/>
        <v>vitage fischer, 1450572388</v>
      </c>
      <c r="B104" s="7" t="s">
        <v>48</v>
      </c>
      <c r="C104" s="7" t="s">
        <v>411</v>
      </c>
      <c r="D104" s="5" t="s">
        <v>221</v>
      </c>
      <c r="E104" s="5" t="s">
        <v>221</v>
      </c>
      <c r="F104" s="8">
        <v>1.450572388E9</v>
      </c>
      <c r="G104" s="9" t="str">
        <f>HYPERLINK("https://www.etsy.com/listing/1450572388", "link")</f>
        <v>link</v>
      </c>
      <c r="H104" s="9" t="str">
        <f>HYPERLINK("https://atlas.etsycorp.com/listing/1450572388/lookup", "link")</f>
        <v>link</v>
      </c>
      <c r="I104" s="5" t="s">
        <v>412</v>
      </c>
      <c r="J104" s="5" t="s">
        <v>223</v>
      </c>
      <c r="K104" s="5" t="s">
        <v>46</v>
      </c>
      <c r="L104" s="5" t="s">
        <v>47</v>
      </c>
      <c r="M104" s="10" t="s">
        <v>21</v>
      </c>
      <c r="N104" s="10" t="s">
        <v>22</v>
      </c>
      <c r="O104" s="11" t="s">
        <v>23</v>
      </c>
      <c r="P104" s="5"/>
      <c r="Q104" s="5"/>
      <c r="R104" s="5"/>
      <c r="S104" s="5"/>
      <c r="T104" s="5"/>
    </row>
    <row r="105" ht="15.75" customHeight="1">
      <c r="A105" s="6" t="str">
        <f t="shared" si="1"/>
        <v>cadre personnalise main, 1584245479</v>
      </c>
      <c r="B105" s="7" t="s">
        <v>15</v>
      </c>
      <c r="C105" s="5"/>
      <c r="D105" s="5" t="s">
        <v>413</v>
      </c>
      <c r="E105" s="5" t="s">
        <v>414</v>
      </c>
      <c r="F105" s="8">
        <v>1.584245479E9</v>
      </c>
      <c r="G105" s="9" t="str">
        <f>HYPERLINK("https://www.etsy.com/listing/1584245479", "link")</f>
        <v>link</v>
      </c>
      <c r="H105" s="9" t="str">
        <f>HYPERLINK("https://atlas.etsycorp.com/listing/1584245479/lookup", "link")</f>
        <v>link</v>
      </c>
      <c r="I105" s="5" t="s">
        <v>415</v>
      </c>
      <c r="J105" s="5" t="s">
        <v>416</v>
      </c>
      <c r="K105" s="5" t="s">
        <v>54</v>
      </c>
      <c r="L105" s="5" t="s">
        <v>55</v>
      </c>
      <c r="M105" s="10" t="s">
        <v>21</v>
      </c>
      <c r="N105" s="10" t="s">
        <v>22</v>
      </c>
      <c r="O105" s="11" t="s">
        <v>23</v>
      </c>
      <c r="P105" s="5"/>
      <c r="Q105" s="5"/>
      <c r="R105" s="5"/>
      <c r="S105" s="5"/>
      <c r="T105" s="5"/>
    </row>
    <row r="106" ht="15.75" customHeight="1">
      <c r="A106" s="6" t="str">
        <f t="shared" si="1"/>
        <v>suspension fleur, 1290337809</v>
      </c>
      <c r="B106" s="7" t="s">
        <v>24</v>
      </c>
      <c r="C106" s="7" t="s">
        <v>417</v>
      </c>
      <c r="D106" s="5" t="s">
        <v>385</v>
      </c>
      <c r="E106" s="5" t="s">
        <v>386</v>
      </c>
      <c r="F106" s="8">
        <v>1.290337809E9</v>
      </c>
      <c r="G106" s="9" t="str">
        <f>HYPERLINK("https://www.etsy.com/listing/1290337809", "link")</f>
        <v>link</v>
      </c>
      <c r="H106" s="9" t="str">
        <f>HYPERLINK("https://atlas.etsycorp.com/listing/1290337809/lookup", "link")</f>
        <v>link</v>
      </c>
      <c r="I106" s="5" t="s">
        <v>418</v>
      </c>
      <c r="J106" s="5" t="s">
        <v>388</v>
      </c>
      <c r="K106" s="5" t="s">
        <v>54</v>
      </c>
      <c r="L106" s="5" t="s">
        <v>55</v>
      </c>
      <c r="M106" s="10" t="s">
        <v>21</v>
      </c>
      <c r="N106" s="10" t="s">
        <v>22</v>
      </c>
      <c r="O106" s="11" t="s">
        <v>23</v>
      </c>
      <c r="P106" s="5"/>
      <c r="Q106" s="5"/>
      <c r="R106" s="5"/>
      <c r="S106" s="5"/>
      <c r="T106" s="5"/>
    </row>
    <row r="107" ht="15.75" customHeight="1">
      <c r="A107" s="6" t="str">
        <f t="shared" si="1"/>
        <v>monalisa prendedor, 1754434613</v>
      </c>
      <c r="B107" s="7" t="s">
        <v>48</v>
      </c>
      <c r="C107" s="7" t="s">
        <v>419</v>
      </c>
      <c r="D107" s="5" t="s">
        <v>420</v>
      </c>
      <c r="E107" s="5" t="s">
        <v>421</v>
      </c>
      <c r="F107" s="8">
        <v>1.754434613E9</v>
      </c>
      <c r="G107" s="9" t="str">
        <f>HYPERLINK("https://www.etsy.com/listing/1754434613", "link")</f>
        <v>link</v>
      </c>
      <c r="H107" s="9" t="str">
        <f>HYPERLINK("https://atlas.etsycorp.com/listing/1754434613/lookup", "link")</f>
        <v>link</v>
      </c>
      <c r="I107" s="5" t="s">
        <v>422</v>
      </c>
      <c r="J107" s="5" t="s">
        <v>423</v>
      </c>
      <c r="K107" s="5" t="s">
        <v>229</v>
      </c>
      <c r="L107" s="5" t="s">
        <v>230</v>
      </c>
      <c r="M107" s="10" t="s">
        <v>21</v>
      </c>
      <c r="N107" s="10" t="s">
        <v>22</v>
      </c>
      <c r="O107" s="11" t="s">
        <v>23</v>
      </c>
      <c r="P107" s="5"/>
      <c r="Q107" s="5"/>
      <c r="R107" s="5"/>
      <c r="S107" s="5"/>
      <c r="T107" s="5"/>
    </row>
    <row r="108" ht="15.75" customHeight="1">
      <c r="A108" s="6" t="str">
        <f t="shared" si="1"/>
        <v>emballage tablette  papa, 1102609334</v>
      </c>
      <c r="B108" s="7" t="s">
        <v>48</v>
      </c>
      <c r="C108" s="5"/>
      <c r="D108" s="5" t="s">
        <v>424</v>
      </c>
      <c r="E108" s="5" t="s">
        <v>425</v>
      </c>
      <c r="F108" s="8">
        <v>1.102609334E9</v>
      </c>
      <c r="G108" s="9" t="str">
        <f>HYPERLINK("https://www.etsy.com/listing/1102609334", "link")</f>
        <v>link</v>
      </c>
      <c r="H108" s="9" t="str">
        <f>HYPERLINK("https://atlas.etsycorp.com/listing/1102609334/lookup", "link")</f>
        <v>link</v>
      </c>
      <c r="I108" s="5" t="s">
        <v>426</v>
      </c>
      <c r="J108" s="5" t="s">
        <v>427</v>
      </c>
      <c r="K108" s="5" t="s">
        <v>54</v>
      </c>
      <c r="L108" s="5" t="s">
        <v>55</v>
      </c>
      <c r="M108" s="10" t="s">
        <v>21</v>
      </c>
      <c r="N108" s="10" t="s">
        <v>22</v>
      </c>
      <c r="O108" s="11" t="s">
        <v>23</v>
      </c>
      <c r="P108" s="5"/>
      <c r="Q108" s="5"/>
      <c r="R108" s="5"/>
      <c r="S108" s="5"/>
      <c r="T108" s="5"/>
    </row>
    <row r="109" ht="15.75" customHeight="1">
      <c r="A109" s="6" t="str">
        <f t="shared" si="1"/>
        <v>baby shower gift, 1646410294</v>
      </c>
      <c r="B109" s="7" t="s">
        <v>15</v>
      </c>
      <c r="C109" s="5"/>
      <c r="D109" s="5" t="s">
        <v>428</v>
      </c>
      <c r="E109" s="5"/>
      <c r="F109" s="8">
        <v>1.646410294E9</v>
      </c>
      <c r="G109" s="9" t="str">
        <f>HYPERLINK("https://www.etsy.com/listing/1646410294", "link")</f>
        <v>link</v>
      </c>
      <c r="H109" s="9" t="str">
        <f>HYPERLINK("https://atlas.etsycorp.com/listing/1646410294/lookup", "link")</f>
        <v>link</v>
      </c>
      <c r="I109" s="5" t="s">
        <v>429</v>
      </c>
      <c r="J109" s="5" t="s">
        <v>430</v>
      </c>
      <c r="K109" s="5" t="s">
        <v>19</v>
      </c>
      <c r="L109" s="5" t="s">
        <v>100</v>
      </c>
      <c r="M109" s="10" t="s">
        <v>21</v>
      </c>
      <c r="N109" s="10" t="s">
        <v>22</v>
      </c>
      <c r="O109" s="11" t="s">
        <v>23</v>
      </c>
      <c r="P109" s="5"/>
      <c r="Q109" s="5"/>
      <c r="R109" s="5"/>
      <c r="S109" s="5"/>
      <c r="T109" s="5"/>
    </row>
    <row r="110" ht="15.75" customHeight="1">
      <c r="A110" s="6" t="str">
        <f t="shared" si="1"/>
        <v>kina autumn hues, 1204471957</v>
      </c>
      <c r="B110" s="7" t="s">
        <v>48</v>
      </c>
      <c r="C110" s="5"/>
      <c r="D110" s="5" t="s">
        <v>431</v>
      </c>
      <c r="E110" s="5"/>
      <c r="F110" s="8">
        <v>1.204471957E9</v>
      </c>
      <c r="G110" s="9" t="str">
        <f>HYPERLINK("https://www.etsy.com/listing/1204471957", "link")</f>
        <v>link</v>
      </c>
      <c r="H110" s="9" t="str">
        <f>HYPERLINK("https://atlas.etsycorp.com/listing/1204471957/lookup", "link")</f>
        <v>link</v>
      </c>
      <c r="I110" s="5" t="s">
        <v>432</v>
      </c>
      <c r="J110" s="5" t="s">
        <v>433</v>
      </c>
      <c r="K110" s="5" t="s">
        <v>19</v>
      </c>
      <c r="L110" s="5" t="s">
        <v>20</v>
      </c>
      <c r="M110" s="10" t="s">
        <v>21</v>
      </c>
      <c r="N110" s="10" t="s">
        <v>22</v>
      </c>
      <c r="O110" s="11" t="s">
        <v>23</v>
      </c>
      <c r="P110" s="5"/>
      <c r="Q110" s="5"/>
      <c r="R110" s="5"/>
      <c r="S110" s="5"/>
      <c r="T110" s="5"/>
    </row>
    <row r="111" ht="15.75" customHeight="1">
      <c r="A111" s="6" t="str">
        <f t="shared" si="1"/>
        <v>home gifts, 1478868131</v>
      </c>
      <c r="B111" s="7" t="s">
        <v>48</v>
      </c>
      <c r="C111" s="7" t="s">
        <v>434</v>
      </c>
      <c r="D111" s="5" t="s">
        <v>435</v>
      </c>
      <c r="E111" s="5"/>
      <c r="F111" s="8">
        <v>1.478868131E9</v>
      </c>
      <c r="G111" s="9" t="str">
        <f>HYPERLINK("https://www.etsy.com/listing/1478868131", "link")</f>
        <v>link</v>
      </c>
      <c r="H111" s="9" t="str">
        <f>HYPERLINK("https://atlas.etsycorp.com/listing/1478868131/lookup", "link")</f>
        <v>link</v>
      </c>
      <c r="I111" s="5" t="s">
        <v>436</v>
      </c>
      <c r="J111" s="5" t="s">
        <v>437</v>
      </c>
      <c r="K111" s="5" t="s">
        <v>19</v>
      </c>
      <c r="L111" s="5" t="s">
        <v>100</v>
      </c>
      <c r="M111" s="10" t="s">
        <v>21</v>
      </c>
      <c r="N111" s="10" t="s">
        <v>22</v>
      </c>
      <c r="O111" s="11" t="s">
        <v>23</v>
      </c>
      <c r="P111" s="5"/>
      <c r="Q111" s="5"/>
      <c r="R111" s="5"/>
      <c r="S111" s="5"/>
      <c r="T111" s="5"/>
    </row>
    <row r="112" ht="15.75" customHeight="1">
      <c r="A112" s="6" t="str">
        <f t="shared" si="1"/>
        <v>resin and wood bowl, 1441216570</v>
      </c>
      <c r="B112" s="7" t="s">
        <v>15</v>
      </c>
      <c r="C112" s="5"/>
      <c r="D112" s="5" t="s">
        <v>438</v>
      </c>
      <c r="E112" s="5"/>
      <c r="F112" s="8">
        <v>1.44121657E9</v>
      </c>
      <c r="G112" s="9" t="str">
        <f>HYPERLINK("https://www.etsy.com/listing/1441216570", "link")</f>
        <v>link</v>
      </c>
      <c r="H112" s="9" t="str">
        <f>HYPERLINK("https://atlas.etsycorp.com/listing/1441216570/lookup", "link")</f>
        <v>link</v>
      </c>
      <c r="I112" s="5" t="s">
        <v>439</v>
      </c>
      <c r="J112" s="5" t="s">
        <v>440</v>
      </c>
      <c r="K112" s="5" t="s">
        <v>120</v>
      </c>
      <c r="L112" s="5" t="s">
        <v>73</v>
      </c>
      <c r="M112" s="10" t="s">
        <v>21</v>
      </c>
      <c r="N112" s="10" t="s">
        <v>22</v>
      </c>
      <c r="O112" s="11" t="s">
        <v>23</v>
      </c>
      <c r="P112" s="5"/>
      <c r="Q112" s="5"/>
      <c r="R112" s="5"/>
      <c r="S112" s="5"/>
      <c r="T112" s="5"/>
    </row>
    <row r="113" ht="15.75" customHeight="1">
      <c r="A113" s="6" t="str">
        <f t="shared" si="1"/>
        <v>suspension fleur, 1574355662</v>
      </c>
      <c r="B113" s="7" t="s">
        <v>15</v>
      </c>
      <c r="C113" s="5"/>
      <c r="D113" s="5" t="s">
        <v>385</v>
      </c>
      <c r="E113" s="5" t="s">
        <v>386</v>
      </c>
      <c r="F113" s="8">
        <v>1.574355662E9</v>
      </c>
      <c r="G113" s="9" t="str">
        <f>HYPERLINK("https://www.etsy.com/listing/1574355662", "link")</f>
        <v>link</v>
      </c>
      <c r="H113" s="9" t="str">
        <f>HYPERLINK("https://atlas.etsycorp.com/listing/1574355662/lookup", "link")</f>
        <v>link</v>
      </c>
      <c r="I113" s="5" t="s">
        <v>441</v>
      </c>
      <c r="J113" s="5" t="s">
        <v>388</v>
      </c>
      <c r="K113" s="5" t="s">
        <v>54</v>
      </c>
      <c r="L113" s="5" t="s">
        <v>55</v>
      </c>
      <c r="M113" s="10" t="s">
        <v>21</v>
      </c>
      <c r="N113" s="10" t="s">
        <v>22</v>
      </c>
      <c r="O113" s="11" t="s">
        <v>23</v>
      </c>
      <c r="P113" s="5"/>
      <c r="Q113" s="5"/>
      <c r="R113" s="5"/>
      <c r="S113" s="5"/>
      <c r="T113" s="5"/>
    </row>
    <row r="114" ht="15.75" customHeight="1">
      <c r="A114" s="6" t="str">
        <f t="shared" si="1"/>
        <v>rabbit moon necklace, 1130961401</v>
      </c>
      <c r="B114" s="7" t="s">
        <v>24</v>
      </c>
      <c r="C114" s="7" t="s">
        <v>442</v>
      </c>
      <c r="D114" s="5" t="s">
        <v>443</v>
      </c>
      <c r="E114" s="5"/>
      <c r="F114" s="8">
        <v>1.130961401E9</v>
      </c>
      <c r="G114" s="9" t="str">
        <f>HYPERLINK("https://www.etsy.com/listing/1130961401", "link")</f>
        <v>link</v>
      </c>
      <c r="H114" s="9" t="str">
        <f>HYPERLINK("https://atlas.etsycorp.com/listing/1130961401/lookup", "link")</f>
        <v>link</v>
      </c>
      <c r="I114" s="5" t="s">
        <v>444</v>
      </c>
      <c r="J114" s="5" t="s">
        <v>445</v>
      </c>
      <c r="K114" s="5" t="s">
        <v>120</v>
      </c>
      <c r="L114" s="5" t="s">
        <v>73</v>
      </c>
      <c r="M114" s="10" t="s">
        <v>21</v>
      </c>
      <c r="N114" s="10" t="s">
        <v>22</v>
      </c>
      <c r="O114" s="11" t="s">
        <v>23</v>
      </c>
      <c r="P114" s="5"/>
      <c r="Q114" s="5"/>
      <c r="R114" s="5"/>
      <c r="S114" s="5"/>
      <c r="T114" s="5"/>
    </row>
    <row r="115" ht="15.75" customHeight="1">
      <c r="A115" s="6" t="str">
        <f t="shared" si="1"/>
        <v>vegan punk, 1073196198</v>
      </c>
      <c r="B115" s="7" t="s">
        <v>446</v>
      </c>
      <c r="C115" s="7" t="s">
        <v>447</v>
      </c>
      <c r="D115" s="5" t="s">
        <v>448</v>
      </c>
      <c r="E115" s="5"/>
      <c r="F115" s="8">
        <v>1.073196198E9</v>
      </c>
      <c r="G115" s="9" t="str">
        <f>HYPERLINK("https://www.etsy.com/listing/1073196198", "link")</f>
        <v>link</v>
      </c>
      <c r="H115" s="9" t="str">
        <f>HYPERLINK("https://atlas.etsycorp.com/listing/1073196198/lookup", "link")</f>
        <v>link</v>
      </c>
      <c r="I115" s="5" t="s">
        <v>449</v>
      </c>
      <c r="J115" s="5" t="s">
        <v>450</v>
      </c>
      <c r="K115" s="5" t="s">
        <v>120</v>
      </c>
      <c r="L115" s="5" t="s">
        <v>20</v>
      </c>
      <c r="M115" s="10" t="s">
        <v>21</v>
      </c>
      <c r="N115" s="10" t="s">
        <v>22</v>
      </c>
      <c r="O115" s="11" t="s">
        <v>23</v>
      </c>
      <c r="P115" s="5"/>
      <c r="Q115" s="5"/>
      <c r="R115" s="5"/>
      <c r="S115" s="5"/>
      <c r="T115" s="5"/>
    </row>
    <row r="116" ht="15.75" customHeight="1">
      <c r="A116" s="6" t="str">
        <f t="shared" si="1"/>
        <v>caja cilindrica svg, 1154151338</v>
      </c>
      <c r="B116" s="7" t="s">
        <v>24</v>
      </c>
      <c r="C116" s="7" t="s">
        <v>451</v>
      </c>
      <c r="D116" s="5" t="s">
        <v>452</v>
      </c>
      <c r="E116" s="5" t="s">
        <v>453</v>
      </c>
      <c r="F116" s="8">
        <v>1.154151338E9</v>
      </c>
      <c r="G116" s="9" t="str">
        <f>HYPERLINK("https://www.etsy.com/listing/1154151338", "link")</f>
        <v>link</v>
      </c>
      <c r="H116" s="9" t="str">
        <f>HYPERLINK("https://atlas.etsycorp.com/listing/1154151338/lookup", "link")</f>
        <v>link</v>
      </c>
      <c r="I116" s="5" t="s">
        <v>454</v>
      </c>
      <c r="J116" s="5" t="s">
        <v>455</v>
      </c>
      <c r="K116" s="5" t="s">
        <v>29</v>
      </c>
      <c r="L116" s="5" t="s">
        <v>30</v>
      </c>
      <c r="M116" s="10" t="s">
        <v>21</v>
      </c>
      <c r="N116" s="10" t="s">
        <v>22</v>
      </c>
      <c r="O116" s="11" t="s">
        <v>23</v>
      </c>
      <c r="P116" s="5"/>
      <c r="Q116" s="5"/>
      <c r="R116" s="5"/>
      <c r="S116" s="5"/>
      <c r="T116" s="5"/>
    </row>
    <row r="117" ht="15.75" customHeight="1">
      <c r="A117" s="6" t="str">
        <f t="shared" si="1"/>
        <v>gift for dog, 1321188874</v>
      </c>
      <c r="B117" s="7" t="s">
        <v>15</v>
      </c>
      <c r="C117" s="5"/>
      <c r="D117" s="5" t="s">
        <v>456</v>
      </c>
      <c r="E117" s="5"/>
      <c r="F117" s="8">
        <v>1.321188874E9</v>
      </c>
      <c r="G117" s="9" t="str">
        <f>HYPERLINK("https://www.etsy.com/listing/1321188874", "link")</f>
        <v>link</v>
      </c>
      <c r="H117" s="9" t="str">
        <f>HYPERLINK("https://atlas.etsycorp.com/listing/1321188874/lookup", "link")</f>
        <v>link</v>
      </c>
      <c r="I117" s="5" t="s">
        <v>457</v>
      </c>
      <c r="J117" s="5" t="s">
        <v>458</v>
      </c>
      <c r="K117" s="5" t="s">
        <v>19</v>
      </c>
      <c r="L117" s="5" t="s">
        <v>20</v>
      </c>
      <c r="M117" s="10" t="s">
        <v>21</v>
      </c>
      <c r="N117" s="10" t="s">
        <v>22</v>
      </c>
      <c r="O117" s="11" t="s">
        <v>23</v>
      </c>
      <c r="P117" s="5"/>
      <c r="Q117" s="5"/>
      <c r="R117" s="5"/>
      <c r="S117" s="5"/>
      <c r="T117" s="5"/>
    </row>
    <row r="118" ht="15.75" customHeight="1">
      <c r="A118" s="6" t="str">
        <f t="shared" si="1"/>
        <v>elementsbykristina, 1259714744</v>
      </c>
      <c r="B118" s="7" t="s">
        <v>459</v>
      </c>
      <c r="C118" s="5"/>
      <c r="D118" s="5" t="s">
        <v>460</v>
      </c>
      <c r="E118" s="5"/>
      <c r="F118" s="8">
        <v>1.259714744E9</v>
      </c>
      <c r="G118" s="9" t="str">
        <f>HYPERLINK("https://www.etsy.com/listing/1259714744", "link")</f>
        <v>link</v>
      </c>
      <c r="H118" s="9" t="str">
        <f>HYPERLINK("https://atlas.etsycorp.com/listing/1259714744/lookup", "link")</f>
        <v>link</v>
      </c>
      <c r="I118" s="5" t="s">
        <v>461</v>
      </c>
      <c r="J118" s="5" t="s">
        <v>462</v>
      </c>
      <c r="K118" s="5" t="s">
        <v>19</v>
      </c>
      <c r="L118" s="5" t="s">
        <v>20</v>
      </c>
      <c r="M118" s="10" t="s">
        <v>21</v>
      </c>
      <c r="N118" s="10" t="s">
        <v>22</v>
      </c>
      <c r="O118" s="11" t="s">
        <v>23</v>
      </c>
      <c r="P118" s="5"/>
      <c r="Q118" s="5"/>
      <c r="R118" s="5"/>
      <c r="S118" s="5"/>
      <c r="T118" s="5"/>
    </row>
    <row r="119" ht="15.75" customHeight="1">
      <c r="A119" s="6" t="str">
        <f t="shared" si="1"/>
        <v>2.5 mm gem, 1435099890</v>
      </c>
      <c r="B119" s="7" t="s">
        <v>24</v>
      </c>
      <c r="C119" s="7" t="s">
        <v>463</v>
      </c>
      <c r="D119" s="5" t="s">
        <v>464</v>
      </c>
      <c r="E119" s="5"/>
      <c r="F119" s="8">
        <v>1.43509989E9</v>
      </c>
      <c r="G119" s="9" t="str">
        <f>HYPERLINK("https://www.etsy.com/listing/1435099890", "link")</f>
        <v>link</v>
      </c>
      <c r="H119" s="9" t="str">
        <f>HYPERLINK("https://atlas.etsycorp.com/listing/1435099890/lookup", "link")</f>
        <v>link</v>
      </c>
      <c r="I119" s="5" t="s">
        <v>465</v>
      </c>
      <c r="J119" s="5" t="s">
        <v>466</v>
      </c>
      <c r="K119" s="5" t="s">
        <v>19</v>
      </c>
      <c r="L119" s="5" t="s">
        <v>20</v>
      </c>
      <c r="M119" s="10" t="s">
        <v>21</v>
      </c>
      <c r="N119" s="10" t="s">
        <v>22</v>
      </c>
      <c r="O119" s="11" t="s">
        <v>23</v>
      </c>
      <c r="P119" s="5"/>
      <c r="Q119" s="5"/>
      <c r="R119" s="5"/>
      <c r="S119" s="5"/>
      <c r="T119" s="5"/>
    </row>
    <row r="120" ht="15.75" customHeight="1">
      <c r="A120" s="6" t="str">
        <f t="shared" si="1"/>
        <v>potion dragon, 1748206409</v>
      </c>
      <c r="B120" s="7" t="s">
        <v>15</v>
      </c>
      <c r="C120" s="7" t="s">
        <v>467</v>
      </c>
      <c r="D120" s="5" t="s">
        <v>468</v>
      </c>
      <c r="E120" s="5" t="s">
        <v>468</v>
      </c>
      <c r="F120" s="8">
        <v>1.748206409E9</v>
      </c>
      <c r="G120" s="9" t="str">
        <f>HYPERLINK("https://www.etsy.com/listing/1748206409", "link")</f>
        <v>link</v>
      </c>
      <c r="H120" s="9" t="str">
        <f>HYPERLINK("https://atlas.etsycorp.com/listing/1748206409/lookup", "link")</f>
        <v>link</v>
      </c>
      <c r="I120" s="5" t="s">
        <v>469</v>
      </c>
      <c r="J120" s="5" t="s">
        <v>470</v>
      </c>
      <c r="K120" s="5" t="s">
        <v>46</v>
      </c>
      <c r="L120" s="5" t="s">
        <v>47</v>
      </c>
      <c r="M120" s="10" t="s">
        <v>21</v>
      </c>
      <c r="N120" s="10" t="s">
        <v>22</v>
      </c>
      <c r="O120" s="11" t="s">
        <v>23</v>
      </c>
      <c r="P120" s="5"/>
      <c r="Q120" s="5"/>
      <c r="R120" s="5"/>
      <c r="S120" s="5"/>
      <c r="T120" s="5"/>
    </row>
    <row r="121" ht="15.75" customHeight="1">
      <c r="A121" s="6" t="str">
        <f t="shared" si="1"/>
        <v>vegeta, 1720578981</v>
      </c>
      <c r="B121" s="7" t="s">
        <v>15</v>
      </c>
      <c r="C121" s="5"/>
      <c r="D121" s="5" t="s">
        <v>471</v>
      </c>
      <c r="E121" s="5" t="s">
        <v>471</v>
      </c>
      <c r="F121" s="8">
        <v>1.720578981E9</v>
      </c>
      <c r="G121" s="9" t="str">
        <f>HYPERLINK("https://www.etsy.com/listing/1720578981", "link")</f>
        <v>link</v>
      </c>
      <c r="H121" s="9" t="str">
        <f>HYPERLINK("https://atlas.etsycorp.com/listing/1720578981/lookup", "link")</f>
        <v>link</v>
      </c>
      <c r="I121" s="5" t="s">
        <v>472</v>
      </c>
      <c r="J121" s="5" t="s">
        <v>473</v>
      </c>
      <c r="K121" s="5" t="s">
        <v>46</v>
      </c>
      <c r="L121" s="5" t="s">
        <v>47</v>
      </c>
      <c r="M121" s="10" t="s">
        <v>21</v>
      </c>
      <c r="N121" s="10" t="s">
        <v>22</v>
      </c>
      <c r="O121" s="11" t="s">
        <v>23</v>
      </c>
      <c r="P121" s="5"/>
      <c r="Q121" s="5"/>
      <c r="R121" s="5"/>
      <c r="S121" s="5"/>
      <c r="T121" s="5"/>
    </row>
    <row r="122" ht="15.75" customHeight="1">
      <c r="A122" s="6" t="str">
        <f t="shared" si="1"/>
        <v>waffle maker, 1572497118</v>
      </c>
      <c r="B122" s="7" t="s">
        <v>24</v>
      </c>
      <c r="C122" s="7" t="s">
        <v>474</v>
      </c>
      <c r="D122" s="5" t="s">
        <v>475</v>
      </c>
      <c r="E122" s="5"/>
      <c r="F122" s="8">
        <v>1.572497118E9</v>
      </c>
      <c r="G122" s="9" t="str">
        <f>HYPERLINK("https://www.etsy.com/listing/1572497118", "link")</f>
        <v>link</v>
      </c>
      <c r="H122" s="9" t="str">
        <f>HYPERLINK("https://atlas.etsycorp.com/listing/1572497118/lookup", "link")</f>
        <v>link</v>
      </c>
      <c r="I122" s="5" t="s">
        <v>476</v>
      </c>
      <c r="J122" s="5" t="s">
        <v>477</v>
      </c>
      <c r="K122" s="5" t="s">
        <v>19</v>
      </c>
      <c r="L122" s="5" t="s">
        <v>41</v>
      </c>
      <c r="M122" s="10" t="s">
        <v>21</v>
      </c>
      <c r="N122" s="10" t="s">
        <v>22</v>
      </c>
      <c r="O122" s="11" t="s">
        <v>478</v>
      </c>
      <c r="P122" s="5"/>
      <c r="Q122" s="5"/>
      <c r="R122" s="5"/>
      <c r="S122" s="5"/>
      <c r="T122" s="5"/>
    </row>
    <row r="123" ht="15.75" customHeight="1">
      <c r="A123" s="6" t="str">
        <f t="shared" si="1"/>
        <v>queenclothes for baby, 1386082484</v>
      </c>
      <c r="B123" s="7" t="s">
        <v>15</v>
      </c>
      <c r="C123" s="5"/>
      <c r="D123" s="5" t="s">
        <v>369</v>
      </c>
      <c r="E123" s="5"/>
      <c r="F123" s="8">
        <v>1.386082484E9</v>
      </c>
      <c r="G123" s="9" t="str">
        <f>HYPERLINK("https://www.etsy.com/listing/1386082484", "link")</f>
        <v>link</v>
      </c>
      <c r="H123" s="9" t="str">
        <f>HYPERLINK("https://atlas.etsycorp.com/listing/1386082484/lookup", "link")</f>
        <v>link</v>
      </c>
      <c r="I123" s="5" t="s">
        <v>479</v>
      </c>
      <c r="J123" s="5" t="s">
        <v>371</v>
      </c>
      <c r="K123" s="5" t="s">
        <v>19</v>
      </c>
      <c r="L123" s="5" t="s">
        <v>41</v>
      </c>
      <c r="M123" s="10" t="s">
        <v>21</v>
      </c>
      <c r="N123" s="10" t="s">
        <v>22</v>
      </c>
      <c r="O123" s="11" t="s">
        <v>478</v>
      </c>
      <c r="P123" s="5"/>
      <c r="Q123" s="5"/>
      <c r="R123" s="5"/>
      <c r="S123" s="5"/>
      <c r="T123" s="5"/>
    </row>
    <row r="124" ht="15.75" customHeight="1">
      <c r="A124" s="6" t="str">
        <f t="shared" si="1"/>
        <v>schriftzug mit Minifeder, 1356882525</v>
      </c>
      <c r="B124" s="7" t="s">
        <v>24</v>
      </c>
      <c r="C124" s="7" t="s">
        <v>480</v>
      </c>
      <c r="D124" s="5" t="s">
        <v>481</v>
      </c>
      <c r="E124" s="5" t="s">
        <v>482</v>
      </c>
      <c r="F124" s="8">
        <v>1.356882525E9</v>
      </c>
      <c r="G124" s="9" t="str">
        <f>HYPERLINK("https://www.etsy.com/listing/1356882525", "link")</f>
        <v>link</v>
      </c>
      <c r="H124" s="9" t="str">
        <f>HYPERLINK("https://atlas.etsycorp.com/listing/1356882525/lookup", "link")</f>
        <v>link</v>
      </c>
      <c r="I124" s="5" t="s">
        <v>483</v>
      </c>
      <c r="J124" s="5" t="s">
        <v>484</v>
      </c>
      <c r="K124" s="5" t="s">
        <v>46</v>
      </c>
      <c r="L124" s="5" t="s">
        <v>47</v>
      </c>
      <c r="M124" s="10" t="s">
        <v>21</v>
      </c>
      <c r="N124" s="10" t="s">
        <v>22</v>
      </c>
      <c r="O124" s="11" t="s">
        <v>478</v>
      </c>
      <c r="P124" s="5"/>
      <c r="Q124" s="5"/>
      <c r="R124" s="5"/>
      <c r="S124" s="5"/>
      <c r="T124" s="5"/>
    </row>
    <row r="125" ht="15.75" customHeight="1">
      <c r="A125" s="6" t="str">
        <f t="shared" si="1"/>
        <v>personalized school supplies, 1525388574</v>
      </c>
      <c r="B125" s="7" t="s">
        <v>15</v>
      </c>
      <c r="C125" s="5"/>
      <c r="D125" s="5" t="s">
        <v>485</v>
      </c>
      <c r="E125" s="5" t="s">
        <v>485</v>
      </c>
      <c r="F125" s="8">
        <v>1.525388574E9</v>
      </c>
      <c r="G125" s="9" t="str">
        <f>HYPERLINK("https://www.etsy.com/listing/1525388574", "link")</f>
        <v>link</v>
      </c>
      <c r="H125" s="9" t="str">
        <f>HYPERLINK("https://atlas.etsycorp.com/listing/1525388574/lookup", "link")</f>
        <v>link</v>
      </c>
      <c r="I125" s="5" t="s">
        <v>486</v>
      </c>
      <c r="J125" s="5" t="s">
        <v>487</v>
      </c>
      <c r="K125" s="5" t="s">
        <v>54</v>
      </c>
      <c r="L125" s="5" t="s">
        <v>55</v>
      </c>
      <c r="M125" s="10" t="s">
        <v>21</v>
      </c>
      <c r="N125" s="10" t="s">
        <v>22</v>
      </c>
      <c r="O125" s="11" t="s">
        <v>478</v>
      </c>
      <c r="P125" s="5"/>
      <c r="Q125" s="5"/>
      <c r="R125" s="5"/>
      <c r="S125" s="5"/>
      <c r="T125" s="5"/>
    </row>
    <row r="126" ht="15.75" customHeight="1">
      <c r="A126" s="6" t="str">
        <f t="shared" si="1"/>
        <v>love spoon earrings, 1124238353</v>
      </c>
      <c r="B126" s="7" t="s">
        <v>48</v>
      </c>
      <c r="C126" s="7" t="s">
        <v>488</v>
      </c>
      <c r="D126" s="5" t="s">
        <v>489</v>
      </c>
      <c r="E126" s="5"/>
      <c r="F126" s="8">
        <v>1.124238353E9</v>
      </c>
      <c r="G126" s="9" t="str">
        <f>HYPERLINK("https://www.etsy.com/listing/1124238353", "link")</f>
        <v>link</v>
      </c>
      <c r="H126" s="9" t="str">
        <f>HYPERLINK("https://atlas.etsycorp.com/listing/1124238353/lookup", "link")</f>
        <v>link</v>
      </c>
      <c r="I126" s="5" t="s">
        <v>490</v>
      </c>
      <c r="J126" s="5" t="s">
        <v>491</v>
      </c>
      <c r="K126" s="5" t="s">
        <v>120</v>
      </c>
      <c r="L126" s="5" t="s">
        <v>73</v>
      </c>
      <c r="M126" s="10" t="s">
        <v>21</v>
      </c>
      <c r="N126" s="10" t="s">
        <v>22</v>
      </c>
      <c r="O126" s="11" t="s">
        <v>478</v>
      </c>
      <c r="P126" s="5"/>
      <c r="Q126" s="5"/>
      <c r="R126" s="5"/>
      <c r="S126" s="5"/>
      <c r="T126" s="5"/>
    </row>
    <row r="127" ht="15.75" customHeight="1">
      <c r="A127" s="6" t="str">
        <f t="shared" si="1"/>
        <v>brain tincture, 852024422</v>
      </c>
      <c r="B127" s="7" t="s">
        <v>24</v>
      </c>
      <c r="C127" s="7" t="s">
        <v>492</v>
      </c>
      <c r="D127" s="5" t="s">
        <v>493</v>
      </c>
      <c r="E127" s="5"/>
      <c r="F127" s="8">
        <v>8.52024422E8</v>
      </c>
      <c r="G127" s="9" t="str">
        <f>HYPERLINK("https://www.etsy.com/listing/852024422", "link")</f>
        <v>link</v>
      </c>
      <c r="H127" s="9" t="str">
        <f>HYPERLINK("https://atlas.etsycorp.com/listing/852024422/lookup", "link")</f>
        <v>link</v>
      </c>
      <c r="I127" s="5" t="s">
        <v>494</v>
      </c>
      <c r="J127" s="5" t="s">
        <v>495</v>
      </c>
      <c r="K127" s="5" t="s">
        <v>19</v>
      </c>
      <c r="L127" s="5" t="s">
        <v>41</v>
      </c>
      <c r="M127" s="10" t="s">
        <v>21</v>
      </c>
      <c r="N127" s="10" t="s">
        <v>22</v>
      </c>
      <c r="O127" s="11" t="s">
        <v>478</v>
      </c>
      <c r="P127" s="5"/>
      <c r="Q127" s="5"/>
      <c r="R127" s="5"/>
      <c r="S127" s="5"/>
      <c r="T127" s="5"/>
    </row>
    <row r="128" ht="15.75" customHeight="1">
      <c r="A128" s="6" t="str">
        <f t="shared" si="1"/>
        <v>gemstone rings, 1523835624</v>
      </c>
      <c r="B128" s="7" t="s">
        <v>15</v>
      </c>
      <c r="C128" s="5"/>
      <c r="D128" s="5" t="s">
        <v>496</v>
      </c>
      <c r="E128" s="5"/>
      <c r="F128" s="8">
        <v>1.523835624E9</v>
      </c>
      <c r="G128" s="9" t="str">
        <f>HYPERLINK("https://www.etsy.com/listing/1523835624", "link")</f>
        <v>link</v>
      </c>
      <c r="H128" s="9" t="str">
        <f>HYPERLINK("https://atlas.etsycorp.com/listing/1523835624/lookup", "link")</f>
        <v>link</v>
      </c>
      <c r="I128" s="5" t="s">
        <v>497</v>
      </c>
      <c r="J128" s="5" t="s">
        <v>498</v>
      </c>
      <c r="K128" s="5" t="s">
        <v>19</v>
      </c>
      <c r="L128" s="5" t="s">
        <v>73</v>
      </c>
      <c r="M128" s="10" t="s">
        <v>21</v>
      </c>
      <c r="N128" s="10" t="s">
        <v>22</v>
      </c>
      <c r="O128" s="11" t="s">
        <v>478</v>
      </c>
      <c r="P128" s="5"/>
      <c r="Q128" s="5"/>
      <c r="R128" s="5"/>
      <c r="S128" s="5"/>
      <c r="T128" s="5"/>
    </row>
    <row r="129" ht="15.75" customHeight="1">
      <c r="A129" s="6" t="str">
        <f t="shared" si="1"/>
        <v>dr seuss shirt 5t, 1656321399</v>
      </c>
      <c r="B129" s="7" t="s">
        <v>15</v>
      </c>
      <c r="C129" s="5"/>
      <c r="D129" s="5" t="s">
        <v>499</v>
      </c>
      <c r="E129" s="5"/>
      <c r="F129" s="8">
        <v>1.656321399E9</v>
      </c>
      <c r="G129" s="9" t="str">
        <f>HYPERLINK("https://www.etsy.com/listing/1656321399", "link")</f>
        <v>link</v>
      </c>
      <c r="H129" s="9" t="str">
        <f>HYPERLINK("https://atlas.etsycorp.com/listing/1656321399/lookup", "link")</f>
        <v>link</v>
      </c>
      <c r="I129" s="5" t="s">
        <v>500</v>
      </c>
      <c r="J129" s="5" t="s">
        <v>501</v>
      </c>
      <c r="K129" s="5" t="s">
        <v>19</v>
      </c>
      <c r="L129" s="5" t="s">
        <v>73</v>
      </c>
      <c r="M129" s="10" t="s">
        <v>21</v>
      </c>
      <c r="N129" s="10" t="s">
        <v>22</v>
      </c>
      <c r="O129" s="11" t="s">
        <v>478</v>
      </c>
      <c r="P129" s="5"/>
      <c r="Q129" s="5"/>
      <c r="R129" s="5"/>
      <c r="S129" s="5"/>
      <c r="T129" s="5"/>
    </row>
    <row r="130" ht="15.75" customHeight="1">
      <c r="A130" s="6" t="str">
        <f t="shared" si="1"/>
        <v>thank you karten, 1165370265</v>
      </c>
      <c r="B130" s="7" t="s">
        <v>15</v>
      </c>
      <c r="C130" s="5"/>
      <c r="D130" s="5" t="s">
        <v>502</v>
      </c>
      <c r="E130" s="5" t="s">
        <v>503</v>
      </c>
      <c r="F130" s="8">
        <v>1.165370265E9</v>
      </c>
      <c r="G130" s="9" t="str">
        <f>HYPERLINK("https://www.etsy.com/listing/1165370265", "link")</f>
        <v>link</v>
      </c>
      <c r="H130" s="9" t="str">
        <f>HYPERLINK("https://atlas.etsycorp.com/listing/1165370265/lookup", "link")</f>
        <v>link</v>
      </c>
      <c r="I130" s="5" t="s">
        <v>504</v>
      </c>
      <c r="J130" s="5" t="s">
        <v>505</v>
      </c>
      <c r="K130" s="5" t="s">
        <v>46</v>
      </c>
      <c r="L130" s="5" t="s">
        <v>47</v>
      </c>
      <c r="M130" s="10" t="s">
        <v>21</v>
      </c>
      <c r="N130" s="10" t="s">
        <v>22</v>
      </c>
      <c r="O130" s="11" t="s">
        <v>478</v>
      </c>
      <c r="P130" s="5"/>
      <c r="Q130" s="5"/>
      <c r="R130" s="5"/>
      <c r="S130" s="5"/>
      <c r="T130" s="5"/>
    </row>
    <row r="131" ht="15.75" customHeight="1">
      <c r="A131" s="6" t="str">
        <f t="shared" si="1"/>
        <v>travel accessories, 1703987853</v>
      </c>
      <c r="B131" s="7" t="s">
        <v>15</v>
      </c>
      <c r="C131" s="5"/>
      <c r="D131" s="5" t="s">
        <v>506</v>
      </c>
      <c r="E131" s="5" t="s">
        <v>506</v>
      </c>
      <c r="F131" s="8">
        <v>1.703987853E9</v>
      </c>
      <c r="G131" s="9" t="str">
        <f>HYPERLINK("https://www.etsy.com/listing/1703987853", "link")</f>
        <v>link</v>
      </c>
      <c r="H131" s="9" t="str">
        <f>HYPERLINK("https://atlas.etsycorp.com/listing/1703987853/lookup", "link")</f>
        <v>link</v>
      </c>
      <c r="I131" s="5" t="s">
        <v>507</v>
      </c>
      <c r="J131" s="5" t="s">
        <v>508</v>
      </c>
      <c r="K131" s="5" t="s">
        <v>80</v>
      </c>
      <c r="L131" s="5" t="s">
        <v>81</v>
      </c>
      <c r="M131" s="10" t="s">
        <v>21</v>
      </c>
      <c r="N131" s="10" t="s">
        <v>22</v>
      </c>
      <c r="O131" s="11" t="s">
        <v>478</v>
      </c>
      <c r="P131" s="5"/>
      <c r="Q131" s="5"/>
      <c r="R131" s="5"/>
      <c r="S131" s="5"/>
      <c r="T131" s="5"/>
    </row>
    <row r="132" ht="15.75" customHeight="1">
      <c r="A132" s="6" t="str">
        <f t="shared" si="1"/>
        <v>spiderman amigurumi, 1237611390</v>
      </c>
      <c r="B132" s="7" t="s">
        <v>15</v>
      </c>
      <c r="C132" s="5"/>
      <c r="D132" s="5" t="s">
        <v>509</v>
      </c>
      <c r="E132" s="5" t="s">
        <v>509</v>
      </c>
      <c r="F132" s="8">
        <v>1.23761139E9</v>
      </c>
      <c r="G132" s="9" t="str">
        <f>HYPERLINK("https://www.etsy.com/listing/1237611390", "link")</f>
        <v>link</v>
      </c>
      <c r="H132" s="9" t="str">
        <f>HYPERLINK("https://atlas.etsycorp.com/listing/1237611390/lookup", "link")</f>
        <v>link</v>
      </c>
      <c r="I132" s="5" t="s">
        <v>510</v>
      </c>
      <c r="J132" s="5" t="s">
        <v>511</v>
      </c>
      <c r="K132" s="5" t="s">
        <v>80</v>
      </c>
      <c r="L132" s="5" t="s">
        <v>81</v>
      </c>
      <c r="M132" s="10" t="s">
        <v>21</v>
      </c>
      <c r="N132" s="10" t="s">
        <v>22</v>
      </c>
      <c r="O132" s="11" t="s">
        <v>478</v>
      </c>
      <c r="P132" s="5"/>
      <c r="Q132" s="5"/>
      <c r="R132" s="5"/>
      <c r="S132" s="5"/>
      <c r="T132" s="5"/>
    </row>
    <row r="133" ht="15.75" customHeight="1">
      <c r="A133" s="6" t="str">
        <f t="shared" si="1"/>
        <v>Custom womens clothing, 1409605093</v>
      </c>
      <c r="B133" s="7" t="s">
        <v>48</v>
      </c>
      <c r="C133" s="5"/>
      <c r="D133" s="5" t="s">
        <v>512</v>
      </c>
      <c r="E133" s="5" t="s">
        <v>512</v>
      </c>
      <c r="F133" s="8">
        <v>1.409605093E9</v>
      </c>
      <c r="G133" s="9" t="str">
        <f>HYPERLINK("https://www.etsy.com/listing/1409605093", "link")</f>
        <v>link</v>
      </c>
      <c r="H133" s="9" t="str">
        <f>HYPERLINK("https://atlas.etsycorp.com/listing/1409605093/lookup", "link")</f>
        <v>link</v>
      </c>
      <c r="I133" s="5" t="s">
        <v>513</v>
      </c>
      <c r="J133" s="5" t="s">
        <v>514</v>
      </c>
      <c r="K133" s="5" t="s">
        <v>54</v>
      </c>
      <c r="L133" s="5" t="s">
        <v>55</v>
      </c>
      <c r="M133" s="10" t="s">
        <v>21</v>
      </c>
      <c r="N133" s="10" t="s">
        <v>22</v>
      </c>
      <c r="O133" s="11" t="s">
        <v>478</v>
      </c>
      <c r="P133" s="5"/>
      <c r="Q133" s="5"/>
      <c r="R133" s="5"/>
      <c r="S133" s="5"/>
      <c r="T133" s="5"/>
    </row>
    <row r="134" ht="15.75" customHeight="1">
      <c r="A134" s="6" t="str">
        <f t="shared" si="1"/>
        <v>malliot foot espagne, 1765251527</v>
      </c>
      <c r="B134" s="7" t="s">
        <v>15</v>
      </c>
      <c r="C134" s="5"/>
      <c r="D134" s="5" t="s">
        <v>515</v>
      </c>
      <c r="E134" s="5" t="s">
        <v>516</v>
      </c>
      <c r="F134" s="8">
        <v>1.765251527E9</v>
      </c>
      <c r="G134" s="9" t="str">
        <f>HYPERLINK("https://www.etsy.com/listing/1765251527", "link")</f>
        <v>link</v>
      </c>
      <c r="H134" s="9" t="str">
        <f>HYPERLINK("https://atlas.etsycorp.com/listing/1765251527/lookup", "link")</f>
        <v>link</v>
      </c>
      <c r="I134" s="5" t="s">
        <v>517</v>
      </c>
      <c r="J134" s="5" t="s">
        <v>518</v>
      </c>
      <c r="K134" s="5" t="s">
        <v>54</v>
      </c>
      <c r="L134" s="5" t="s">
        <v>55</v>
      </c>
      <c r="M134" s="10" t="s">
        <v>21</v>
      </c>
      <c r="N134" s="10" t="s">
        <v>22</v>
      </c>
      <c r="O134" s="11" t="s">
        <v>478</v>
      </c>
      <c r="P134" s="5"/>
      <c r="Q134" s="5"/>
      <c r="R134" s="5"/>
      <c r="S134" s="5"/>
      <c r="T134" s="5"/>
    </row>
    <row r="135" ht="15.75" customHeight="1">
      <c r="A135" s="6" t="str">
        <f t="shared" si="1"/>
        <v>little death, 1595879528</v>
      </c>
      <c r="B135" s="7" t="s">
        <v>48</v>
      </c>
      <c r="C135" s="7" t="s">
        <v>519</v>
      </c>
      <c r="D135" s="5" t="s">
        <v>520</v>
      </c>
      <c r="E135" s="5"/>
      <c r="F135" s="8">
        <v>1.595879528E9</v>
      </c>
      <c r="G135" s="9" t="str">
        <f>HYPERLINK("https://www.etsy.com/listing/1595879528", "link")</f>
        <v>link</v>
      </c>
      <c r="H135" s="9" t="str">
        <f>HYPERLINK("https://atlas.etsycorp.com/listing/1595879528/lookup", "link")</f>
        <v>link</v>
      </c>
      <c r="I135" s="5" t="s">
        <v>521</v>
      </c>
      <c r="J135" s="5" t="s">
        <v>522</v>
      </c>
      <c r="K135" s="5" t="s">
        <v>19</v>
      </c>
      <c r="L135" s="5" t="s">
        <v>20</v>
      </c>
      <c r="M135" s="10" t="s">
        <v>21</v>
      </c>
      <c r="N135" s="10" t="s">
        <v>22</v>
      </c>
      <c r="O135" s="11" t="s">
        <v>478</v>
      </c>
      <c r="P135" s="5"/>
      <c r="Q135" s="5"/>
      <c r="R135" s="5"/>
      <c r="S135" s="5"/>
      <c r="T135" s="5"/>
    </row>
    <row r="136" ht="15.75" customHeight="1">
      <c r="A136" s="6" t="str">
        <f t="shared" si="1"/>
        <v>hero sword, 1674751211</v>
      </c>
      <c r="B136" s="7" t="s">
        <v>48</v>
      </c>
      <c r="C136" s="7" t="s">
        <v>523</v>
      </c>
      <c r="D136" s="5" t="s">
        <v>524</v>
      </c>
      <c r="E136" s="5"/>
      <c r="F136" s="8">
        <v>1.674751211E9</v>
      </c>
      <c r="G136" s="9" t="str">
        <f>HYPERLINK("https://www.etsy.com/listing/1674751211", "link")</f>
        <v>link</v>
      </c>
      <c r="H136" s="9" t="str">
        <f>HYPERLINK("https://atlas.etsycorp.com/listing/1674751211/lookup", "link")</f>
        <v>link</v>
      </c>
      <c r="I136" s="5" t="s">
        <v>525</v>
      </c>
      <c r="J136" s="5" t="s">
        <v>526</v>
      </c>
      <c r="K136" s="5" t="s">
        <v>120</v>
      </c>
      <c r="L136" s="5" t="s">
        <v>41</v>
      </c>
      <c r="M136" s="10" t="s">
        <v>21</v>
      </c>
      <c r="N136" s="10" t="s">
        <v>22</v>
      </c>
      <c r="O136" s="11" t="s">
        <v>478</v>
      </c>
      <c r="P136" s="5"/>
      <c r="Q136" s="5"/>
      <c r="R136" s="5"/>
      <c r="S136" s="5"/>
      <c r="T136" s="5"/>
    </row>
    <row r="137" ht="15.75" customHeight="1">
      <c r="A137" s="6" t="str">
        <f t="shared" si="1"/>
        <v>wings of fire  hivewing plush, 1657139184</v>
      </c>
      <c r="B137" s="7" t="s">
        <v>48</v>
      </c>
      <c r="C137" s="5"/>
      <c r="D137" s="5" t="s">
        <v>122</v>
      </c>
      <c r="E137" s="5"/>
      <c r="F137" s="8">
        <v>1.657139184E9</v>
      </c>
      <c r="G137" s="9" t="str">
        <f>HYPERLINK("https://www.etsy.com/listing/1657139184", "link")</f>
        <v>link</v>
      </c>
      <c r="H137" s="9" t="str">
        <f>HYPERLINK("https://atlas.etsycorp.com/listing/1657139184/lookup", "link")</f>
        <v>link</v>
      </c>
      <c r="I137" s="5" t="s">
        <v>527</v>
      </c>
      <c r="J137" s="5" t="s">
        <v>124</v>
      </c>
      <c r="K137" s="5" t="s">
        <v>19</v>
      </c>
      <c r="L137" s="5" t="s">
        <v>73</v>
      </c>
      <c r="M137" s="10" t="s">
        <v>21</v>
      </c>
      <c r="N137" s="10" t="s">
        <v>22</v>
      </c>
      <c r="O137" s="11" t="s">
        <v>478</v>
      </c>
      <c r="P137" s="5"/>
      <c r="Q137" s="5"/>
      <c r="R137" s="5"/>
      <c r="S137" s="5"/>
      <c r="T137" s="5"/>
    </row>
    <row r="138" ht="15.75" customHeight="1">
      <c r="A138" s="6" t="str">
        <f t="shared" si="1"/>
        <v>ohrringe, 639683789</v>
      </c>
      <c r="B138" s="7" t="s">
        <v>15</v>
      </c>
      <c r="C138" s="5"/>
      <c r="D138" s="5" t="s">
        <v>528</v>
      </c>
      <c r="E138" s="5" t="s">
        <v>529</v>
      </c>
      <c r="F138" s="8">
        <v>6.39683789E8</v>
      </c>
      <c r="G138" s="9" t="str">
        <f>HYPERLINK("https://www.etsy.com/listing/639683789", "link")</f>
        <v>link</v>
      </c>
      <c r="H138" s="9" t="str">
        <f>HYPERLINK("https://atlas.etsycorp.com/listing/639683789/lookup", "link")</f>
        <v>link</v>
      </c>
      <c r="I138" s="5" t="s">
        <v>530</v>
      </c>
      <c r="J138" s="5" t="s">
        <v>531</v>
      </c>
      <c r="K138" s="5" t="s">
        <v>46</v>
      </c>
      <c r="L138" s="5" t="s">
        <v>47</v>
      </c>
      <c r="M138" s="10" t="s">
        <v>21</v>
      </c>
      <c r="N138" s="10" t="s">
        <v>22</v>
      </c>
      <c r="O138" s="11" t="s">
        <v>478</v>
      </c>
      <c r="P138" s="5"/>
      <c r="Q138" s="5"/>
      <c r="R138" s="5"/>
      <c r="S138" s="5"/>
      <c r="T138" s="5"/>
    </row>
    <row r="139" ht="15.75" customHeight="1">
      <c r="A139" s="6" t="str">
        <f t="shared" si="1"/>
        <v>swetshot, 1508937897</v>
      </c>
      <c r="B139" s="7" t="s">
        <v>446</v>
      </c>
      <c r="C139" s="7" t="s">
        <v>532</v>
      </c>
      <c r="D139" s="5" t="s">
        <v>533</v>
      </c>
      <c r="E139" s="5"/>
      <c r="F139" s="8">
        <v>1.508937897E9</v>
      </c>
      <c r="G139" s="9" t="str">
        <f>HYPERLINK("https://www.etsy.com/listing/1508937897", "link")</f>
        <v>link</v>
      </c>
      <c r="H139" s="9" t="str">
        <f>HYPERLINK("https://atlas.etsycorp.com/listing/1508937897/lookup", "link")</f>
        <v>link</v>
      </c>
      <c r="I139" s="5" t="s">
        <v>534</v>
      </c>
      <c r="J139" s="5" t="s">
        <v>535</v>
      </c>
      <c r="K139" s="5" t="s">
        <v>19</v>
      </c>
      <c r="L139" s="5" t="s">
        <v>41</v>
      </c>
      <c r="M139" s="10" t="s">
        <v>21</v>
      </c>
      <c r="N139" s="10" t="s">
        <v>22</v>
      </c>
      <c r="O139" s="11" t="s">
        <v>478</v>
      </c>
      <c r="P139" s="5"/>
      <c r="Q139" s="5"/>
      <c r="R139" s="5"/>
      <c r="S139" s="5"/>
      <c r="T139" s="5"/>
    </row>
    <row r="140" ht="15.75" customHeight="1">
      <c r="A140" s="6" t="str">
        <f t="shared" si="1"/>
        <v>ae, 1513221130</v>
      </c>
      <c r="B140" s="7" t="s">
        <v>446</v>
      </c>
      <c r="C140" s="7" t="s">
        <v>532</v>
      </c>
      <c r="D140" s="5" t="s">
        <v>536</v>
      </c>
      <c r="E140" s="5" t="s">
        <v>536</v>
      </c>
      <c r="F140" s="8">
        <v>1.51322113E9</v>
      </c>
      <c r="G140" s="9" t="str">
        <f>HYPERLINK("https://www.etsy.com/listing/1513221130", "link")</f>
        <v>link</v>
      </c>
      <c r="H140" s="9" t="str">
        <f>HYPERLINK("https://atlas.etsycorp.com/listing/1513221130/lookup", "link")</f>
        <v>link</v>
      </c>
      <c r="I140" s="5" t="s">
        <v>537</v>
      </c>
      <c r="J140" s="5" t="s">
        <v>538</v>
      </c>
      <c r="K140" s="5" t="s">
        <v>29</v>
      </c>
      <c r="L140" s="5" t="s">
        <v>30</v>
      </c>
      <c r="M140" s="10" t="s">
        <v>21</v>
      </c>
      <c r="N140" s="10" t="s">
        <v>22</v>
      </c>
      <c r="O140" s="11" t="s">
        <v>478</v>
      </c>
      <c r="P140" s="5"/>
      <c r="Q140" s="5"/>
      <c r="R140" s="5"/>
      <c r="S140" s="5"/>
      <c r="T140" s="5"/>
    </row>
    <row r="141" ht="15.75" customHeight="1">
      <c r="A141" s="6" t="str">
        <f t="shared" si="1"/>
        <v>pacha ibiza, 1716941179</v>
      </c>
      <c r="B141" s="7" t="s">
        <v>15</v>
      </c>
      <c r="C141" s="5"/>
      <c r="D141" s="5" t="s">
        <v>539</v>
      </c>
      <c r="E141" s="5" t="s">
        <v>539</v>
      </c>
      <c r="F141" s="8">
        <v>1.716941179E9</v>
      </c>
      <c r="G141" s="9" t="str">
        <f>HYPERLINK("https://www.etsy.com/listing/1716941179", "link")</f>
        <v>link</v>
      </c>
      <c r="H141" s="9" t="str">
        <f>HYPERLINK("https://atlas.etsycorp.com/listing/1716941179/lookup", "link")</f>
        <v>link</v>
      </c>
      <c r="I141" s="5" t="s">
        <v>540</v>
      </c>
      <c r="J141" s="5" t="s">
        <v>541</v>
      </c>
      <c r="K141" s="5" t="s">
        <v>35</v>
      </c>
      <c r="L141" s="5" t="s">
        <v>36</v>
      </c>
      <c r="M141" s="10" t="s">
        <v>21</v>
      </c>
      <c r="N141" s="10" t="s">
        <v>22</v>
      </c>
      <c r="O141" s="11" t="s">
        <v>478</v>
      </c>
      <c r="P141" s="5"/>
      <c r="Q141" s="5"/>
      <c r="R141" s="5"/>
      <c r="S141" s="5"/>
      <c r="T141" s="5"/>
    </row>
    <row r="142" ht="15.75" customHeight="1">
      <c r="A142" s="6" t="str">
        <f t="shared" si="1"/>
        <v>taschen damen, 679285380</v>
      </c>
      <c r="B142" s="7" t="s">
        <v>48</v>
      </c>
      <c r="C142" s="7" t="s">
        <v>542</v>
      </c>
      <c r="D142" s="5" t="s">
        <v>161</v>
      </c>
      <c r="E142" s="5" t="s">
        <v>162</v>
      </c>
      <c r="F142" s="8">
        <v>6.7928538E8</v>
      </c>
      <c r="G142" s="9" t="str">
        <f>HYPERLINK("https://www.etsy.com/listing/679285380", "link")</f>
        <v>link</v>
      </c>
      <c r="H142" s="9" t="str">
        <f>HYPERLINK("https://atlas.etsycorp.com/listing/679285380/lookup", "link")</f>
        <v>link</v>
      </c>
      <c r="I142" s="5" t="s">
        <v>543</v>
      </c>
      <c r="J142" s="5" t="s">
        <v>285</v>
      </c>
      <c r="K142" s="5" t="s">
        <v>46</v>
      </c>
      <c r="L142" s="5" t="s">
        <v>47</v>
      </c>
      <c r="M142" s="10" t="s">
        <v>21</v>
      </c>
      <c r="N142" s="10" t="s">
        <v>22</v>
      </c>
      <c r="O142" s="11" t="s">
        <v>478</v>
      </c>
      <c r="P142" s="5"/>
      <c r="Q142" s="5"/>
      <c r="R142" s="5"/>
      <c r="S142" s="5"/>
      <c r="T142" s="5"/>
    </row>
    <row r="143" ht="15.75" customHeight="1">
      <c r="A143" s="6" t="str">
        <f t="shared" si="1"/>
        <v>swimsuit slut, 1329353100</v>
      </c>
      <c r="B143" s="7" t="s">
        <v>15</v>
      </c>
      <c r="C143" s="5"/>
      <c r="D143" s="5" t="s">
        <v>544</v>
      </c>
      <c r="E143" s="5" t="s">
        <v>544</v>
      </c>
      <c r="F143" s="8">
        <v>1.3293531E9</v>
      </c>
      <c r="G143" s="9" t="str">
        <f>HYPERLINK("https://www.etsy.com/listing/1329353100", "link")</f>
        <v>link</v>
      </c>
      <c r="H143" s="9" t="str">
        <f>HYPERLINK("https://atlas.etsycorp.com/listing/1329353100/lookup", "link")</f>
        <v>link</v>
      </c>
      <c r="I143" s="5" t="s">
        <v>545</v>
      </c>
      <c r="J143" s="5" t="s">
        <v>546</v>
      </c>
      <c r="K143" s="5" t="s">
        <v>35</v>
      </c>
      <c r="L143" s="5" t="s">
        <v>36</v>
      </c>
      <c r="M143" s="10" t="s">
        <v>21</v>
      </c>
      <c r="N143" s="10" t="s">
        <v>22</v>
      </c>
      <c r="O143" s="11" t="s">
        <v>478</v>
      </c>
      <c r="P143" s="5"/>
      <c r="Q143" s="5"/>
      <c r="R143" s="5"/>
      <c r="S143" s="5"/>
      <c r="T143" s="5"/>
    </row>
    <row r="144" ht="15.75" customHeight="1">
      <c r="A144" s="6" t="str">
        <f t="shared" si="1"/>
        <v>outdoor hosting, 593051143</v>
      </c>
      <c r="B144" s="7" t="s">
        <v>15</v>
      </c>
      <c r="C144" s="5"/>
      <c r="D144" s="5" t="s">
        <v>547</v>
      </c>
      <c r="E144" s="5" t="s">
        <v>548</v>
      </c>
      <c r="F144" s="8">
        <v>5.93051143E8</v>
      </c>
      <c r="G144" s="9" t="str">
        <f>HYPERLINK("https://www.etsy.com/listing/593051143", "link")</f>
        <v>link</v>
      </c>
      <c r="H144" s="9" t="str">
        <f>HYPERLINK("https://atlas.etsycorp.com/listing/593051143/lookup", "link")</f>
        <v>link</v>
      </c>
      <c r="I144" s="5" t="s">
        <v>549</v>
      </c>
      <c r="J144" s="5" t="s">
        <v>550</v>
      </c>
      <c r="K144" s="5" t="s">
        <v>46</v>
      </c>
      <c r="L144" s="5" t="s">
        <v>47</v>
      </c>
      <c r="M144" s="10" t="s">
        <v>21</v>
      </c>
      <c r="N144" s="10" t="s">
        <v>22</v>
      </c>
      <c r="O144" s="11" t="s">
        <v>478</v>
      </c>
      <c r="P144" s="5"/>
      <c r="Q144" s="5"/>
      <c r="R144" s="5"/>
      <c r="S144" s="5"/>
      <c r="T144" s="5"/>
    </row>
    <row r="145" ht="15.75" customHeight="1">
      <c r="A145" s="6" t="str">
        <f t="shared" si="1"/>
        <v>pasa, 1676987109</v>
      </c>
      <c r="B145" s="7" t="s">
        <v>446</v>
      </c>
      <c r="C145" s="7" t="s">
        <v>532</v>
      </c>
      <c r="D145" s="5" t="s">
        <v>551</v>
      </c>
      <c r="E145" s="5"/>
      <c r="F145" s="8">
        <v>1.676987109E9</v>
      </c>
      <c r="G145" s="9" t="str">
        <f>HYPERLINK("https://www.etsy.com/listing/1676987109", "link")</f>
        <v>link</v>
      </c>
      <c r="H145" s="9" t="str">
        <f>HYPERLINK("https://atlas.etsycorp.com/listing/1676987109/lookup", "link")</f>
        <v>link</v>
      </c>
      <c r="I145" s="5" t="s">
        <v>552</v>
      </c>
      <c r="J145" s="5" t="s">
        <v>553</v>
      </c>
      <c r="K145" s="5" t="s">
        <v>554</v>
      </c>
      <c r="L145" s="5" t="s">
        <v>20</v>
      </c>
      <c r="M145" s="10" t="s">
        <v>21</v>
      </c>
      <c r="N145" s="10" t="s">
        <v>22</v>
      </c>
      <c r="O145" s="11" t="s">
        <v>478</v>
      </c>
      <c r="P145" s="5"/>
      <c r="Q145" s="5"/>
      <c r="R145" s="5"/>
      <c r="S145" s="5"/>
      <c r="T145" s="5"/>
    </row>
    <row r="146" ht="15.75" customHeight="1">
      <c r="A146" s="6" t="str">
        <f t="shared" si="1"/>
        <v>house plants in pots, 1184724189</v>
      </c>
      <c r="B146" s="7" t="s">
        <v>24</v>
      </c>
      <c r="C146" s="7" t="s">
        <v>555</v>
      </c>
      <c r="D146" s="5" t="s">
        <v>556</v>
      </c>
      <c r="E146" s="5"/>
      <c r="F146" s="8">
        <v>1.184724189E9</v>
      </c>
      <c r="G146" s="9" t="str">
        <f>HYPERLINK("https://www.etsy.com/listing/1184724189", "link")</f>
        <v>link</v>
      </c>
      <c r="H146" s="9" t="str">
        <f>HYPERLINK("https://atlas.etsycorp.com/listing/1184724189/lookup", "link")</f>
        <v>link</v>
      </c>
      <c r="I146" s="5" t="s">
        <v>557</v>
      </c>
      <c r="J146" s="5" t="s">
        <v>558</v>
      </c>
      <c r="K146" s="5" t="s">
        <v>120</v>
      </c>
      <c r="L146" s="5" t="s">
        <v>41</v>
      </c>
      <c r="M146" s="10" t="s">
        <v>21</v>
      </c>
      <c r="N146" s="10" t="s">
        <v>22</v>
      </c>
      <c r="O146" s="11" t="s">
        <v>478</v>
      </c>
      <c r="P146" s="5"/>
      <c r="Q146" s="5"/>
      <c r="R146" s="5"/>
      <c r="S146" s="5"/>
      <c r="T146" s="5"/>
    </row>
    <row r="147" ht="15.75" customHeight="1">
      <c r="A147" s="6" t="str">
        <f t="shared" si="1"/>
        <v>black metal hair claw clip with pearl, 865010657</v>
      </c>
      <c r="B147" s="7" t="s">
        <v>24</v>
      </c>
      <c r="C147" s="7" t="s">
        <v>559</v>
      </c>
      <c r="D147" s="5" t="s">
        <v>560</v>
      </c>
      <c r="E147" s="5"/>
      <c r="F147" s="8">
        <v>8.65010657E8</v>
      </c>
      <c r="G147" s="9" t="str">
        <f>HYPERLINK("https://www.etsy.com/listing/865010657", "link")</f>
        <v>link</v>
      </c>
      <c r="H147" s="9" t="str">
        <f>HYPERLINK("https://atlas.etsycorp.com/listing/865010657/lookup", "link")</f>
        <v>link</v>
      </c>
      <c r="I147" s="5" t="s">
        <v>561</v>
      </c>
      <c r="J147" s="5" t="s">
        <v>562</v>
      </c>
      <c r="K147" s="5" t="s">
        <v>19</v>
      </c>
      <c r="L147" s="5" t="s">
        <v>73</v>
      </c>
      <c r="M147" s="10" t="s">
        <v>21</v>
      </c>
      <c r="N147" s="10" t="s">
        <v>22</v>
      </c>
      <c r="O147" s="11" t="s">
        <v>478</v>
      </c>
      <c r="P147" s="5"/>
      <c r="Q147" s="5"/>
      <c r="R147" s="5"/>
      <c r="S147" s="5"/>
      <c r="T147" s="5"/>
    </row>
    <row r="148" ht="15.75" customHeight="1">
      <c r="A148" s="6" t="str">
        <f t="shared" si="1"/>
        <v>30th wedding anniversary gifts, 1529669642</v>
      </c>
      <c r="B148" s="7" t="s">
        <v>15</v>
      </c>
      <c r="C148" s="5"/>
      <c r="D148" s="5" t="s">
        <v>563</v>
      </c>
      <c r="E148" s="5"/>
      <c r="F148" s="8">
        <v>1.529669642E9</v>
      </c>
      <c r="G148" s="9" t="str">
        <f>HYPERLINK("https://www.etsy.com/listing/1529669642", "link")</f>
        <v>link</v>
      </c>
      <c r="H148" s="9" t="str">
        <f>HYPERLINK("https://atlas.etsycorp.com/listing/1529669642/lookup", "link")</f>
        <v>link</v>
      </c>
      <c r="I148" s="5" t="s">
        <v>564</v>
      </c>
      <c r="J148" s="5" t="s">
        <v>565</v>
      </c>
      <c r="K148" s="5" t="s">
        <v>120</v>
      </c>
      <c r="L148" s="5" t="s">
        <v>20</v>
      </c>
      <c r="M148" s="10" t="s">
        <v>21</v>
      </c>
      <c r="N148" s="10" t="s">
        <v>22</v>
      </c>
      <c r="O148" s="11" t="s">
        <v>478</v>
      </c>
      <c r="P148" s="5"/>
      <c r="Q148" s="5"/>
      <c r="R148" s="5"/>
      <c r="S148" s="5"/>
      <c r="T148" s="5"/>
    </row>
    <row r="149" ht="15.75" customHeight="1">
      <c r="A149" s="6" t="str">
        <f t="shared" si="1"/>
        <v>Toby keith sweatshirt, 1659245094</v>
      </c>
      <c r="B149" s="7" t="s">
        <v>24</v>
      </c>
      <c r="C149" s="7" t="s">
        <v>566</v>
      </c>
      <c r="D149" s="5" t="s">
        <v>567</v>
      </c>
      <c r="E149" s="5"/>
      <c r="F149" s="8">
        <v>1.659245094E9</v>
      </c>
      <c r="G149" s="9" t="str">
        <f>HYPERLINK("https://www.etsy.com/listing/1659245094", "link")</f>
        <v>link</v>
      </c>
      <c r="H149" s="9" t="str">
        <f>HYPERLINK("https://atlas.etsycorp.com/listing/1659245094/lookup", "link")</f>
        <v>link</v>
      </c>
      <c r="I149" s="5" t="s">
        <v>568</v>
      </c>
      <c r="J149" s="5" t="s">
        <v>569</v>
      </c>
      <c r="K149" s="5" t="s">
        <v>19</v>
      </c>
      <c r="L149" s="5" t="s">
        <v>73</v>
      </c>
      <c r="M149" s="10" t="s">
        <v>21</v>
      </c>
      <c r="N149" s="10" t="s">
        <v>22</v>
      </c>
      <c r="O149" s="11" t="s">
        <v>478</v>
      </c>
      <c r="P149" s="5"/>
      <c r="Q149" s="5"/>
      <c r="R149" s="5"/>
      <c r="S149" s="5"/>
      <c r="T149" s="5"/>
    </row>
    <row r="150" ht="15.75" customHeight="1">
      <c r="A150" s="6" t="str">
        <f t="shared" si="1"/>
        <v>elegant wedding dress, 1477002894</v>
      </c>
      <c r="B150" s="7" t="s">
        <v>48</v>
      </c>
      <c r="C150" s="7" t="s">
        <v>570</v>
      </c>
      <c r="D150" s="5" t="s">
        <v>571</v>
      </c>
      <c r="E150" s="5"/>
      <c r="F150" s="8">
        <v>1.477002894E9</v>
      </c>
      <c r="G150" s="9" t="str">
        <f>HYPERLINK("https://www.etsy.com/listing/1477002894", "link")</f>
        <v>link</v>
      </c>
      <c r="H150" s="9" t="str">
        <f>HYPERLINK("https://atlas.etsycorp.com/listing/1477002894/lookup", "link")</f>
        <v>link</v>
      </c>
      <c r="I150" s="5" t="s">
        <v>572</v>
      </c>
      <c r="J150" s="5" t="s">
        <v>573</v>
      </c>
      <c r="K150" s="5" t="s">
        <v>19</v>
      </c>
      <c r="L150" s="5" t="s">
        <v>73</v>
      </c>
      <c r="M150" s="10" t="s">
        <v>21</v>
      </c>
      <c r="N150" s="10" t="s">
        <v>22</v>
      </c>
      <c r="O150" s="11" t="s">
        <v>478</v>
      </c>
      <c r="P150" s="5"/>
      <c r="Q150" s="5"/>
      <c r="R150" s="5"/>
      <c r="S150" s="5"/>
      <c r="T150" s="5"/>
    </row>
    <row r="151" ht="15.75" customHeight="1">
      <c r="A151" s="6" t="str">
        <f t="shared" si="1"/>
        <v>cebu pacific logo polo shirt, 1091695270</v>
      </c>
      <c r="B151" s="7" t="s">
        <v>48</v>
      </c>
      <c r="C151" s="7" t="s">
        <v>574</v>
      </c>
      <c r="D151" s="5" t="s">
        <v>575</v>
      </c>
      <c r="E151" s="5"/>
      <c r="F151" s="8">
        <v>1.09169527E9</v>
      </c>
      <c r="G151" s="9" t="str">
        <f>HYPERLINK("https://www.etsy.com/listing/1091695270", "link")</f>
        <v>link</v>
      </c>
      <c r="H151" s="9" t="str">
        <f>HYPERLINK("https://atlas.etsycorp.com/listing/1091695270/lookup", "link")</f>
        <v>link</v>
      </c>
      <c r="I151" s="5" t="s">
        <v>576</v>
      </c>
      <c r="J151" s="5" t="s">
        <v>577</v>
      </c>
      <c r="K151" s="5" t="s">
        <v>19</v>
      </c>
      <c r="L151" s="5" t="s">
        <v>73</v>
      </c>
      <c r="M151" s="10" t="s">
        <v>21</v>
      </c>
      <c r="N151" s="10" t="s">
        <v>22</v>
      </c>
      <c r="O151" s="11" t="s">
        <v>478</v>
      </c>
      <c r="P151" s="5"/>
      <c r="Q151" s="5"/>
      <c r="R151" s="5"/>
      <c r="S151" s="5"/>
      <c r="T151" s="5"/>
    </row>
    <row r="152" ht="15.75" customHeight="1">
      <c r="A152" s="6" t="str">
        <f t="shared" si="1"/>
        <v>sac magique, 1188789623</v>
      </c>
      <c r="B152" s="7" t="s">
        <v>48</v>
      </c>
      <c r="C152" s="7" t="s">
        <v>578</v>
      </c>
      <c r="D152" s="5" t="s">
        <v>579</v>
      </c>
      <c r="E152" s="5" t="s">
        <v>580</v>
      </c>
      <c r="F152" s="8">
        <v>1.188789623E9</v>
      </c>
      <c r="G152" s="9" t="str">
        <f>HYPERLINK("https://www.etsy.com/listing/1188789623", "link")</f>
        <v>link</v>
      </c>
      <c r="H152" s="9" t="str">
        <f>HYPERLINK("https://atlas.etsycorp.com/listing/1188789623/lookup", "link")</f>
        <v>link</v>
      </c>
      <c r="I152" s="5" t="s">
        <v>581</v>
      </c>
      <c r="J152" s="5" t="s">
        <v>582</v>
      </c>
      <c r="K152" s="5" t="s">
        <v>54</v>
      </c>
      <c r="L152" s="5" t="s">
        <v>55</v>
      </c>
      <c r="M152" s="10" t="s">
        <v>21</v>
      </c>
      <c r="N152" s="10" t="s">
        <v>22</v>
      </c>
      <c r="O152" s="11" t="s">
        <v>478</v>
      </c>
      <c r="P152" s="5"/>
      <c r="Q152" s="5"/>
      <c r="R152" s="5"/>
      <c r="S152" s="5"/>
      <c r="T152" s="5"/>
    </row>
    <row r="153" ht="15.75" customHeight="1">
      <c r="A153" s="6" t="str">
        <f t="shared" si="1"/>
        <v>easter decor, 788064719</v>
      </c>
      <c r="B153" s="7" t="s">
        <v>15</v>
      </c>
      <c r="C153" s="5"/>
      <c r="D153" s="5" t="s">
        <v>583</v>
      </c>
      <c r="E153" s="5"/>
      <c r="F153" s="8">
        <v>7.88064719E8</v>
      </c>
      <c r="G153" s="9" t="str">
        <f>HYPERLINK("https://www.etsy.com/listing/788064719", "link")</f>
        <v>link</v>
      </c>
      <c r="H153" s="9" t="str">
        <f>HYPERLINK("https://atlas.etsycorp.com/listing/788064719/lookup", "link")</f>
        <v>link</v>
      </c>
      <c r="I153" s="5" t="s">
        <v>584</v>
      </c>
      <c r="J153" s="5" t="s">
        <v>585</v>
      </c>
      <c r="K153" s="5" t="s">
        <v>19</v>
      </c>
      <c r="L153" s="5" t="s">
        <v>20</v>
      </c>
      <c r="M153" s="10" t="s">
        <v>21</v>
      </c>
      <c r="N153" s="10" t="s">
        <v>22</v>
      </c>
      <c r="O153" s="11" t="s">
        <v>478</v>
      </c>
      <c r="P153" s="5"/>
      <c r="Q153" s="5"/>
      <c r="R153" s="5"/>
      <c r="S153" s="5"/>
      <c r="T153" s="5"/>
    </row>
    <row r="154" ht="15.75" customHeight="1">
      <c r="A154" s="6" t="str">
        <f t="shared" si="1"/>
        <v>fararri boulevard, 800450764</v>
      </c>
      <c r="B154" s="7" t="s">
        <v>48</v>
      </c>
      <c r="C154" s="5"/>
      <c r="D154" s="5" t="s">
        <v>586</v>
      </c>
      <c r="E154" s="5"/>
      <c r="F154" s="8">
        <v>8.00450764E8</v>
      </c>
      <c r="G154" s="9" t="str">
        <f>HYPERLINK("https://www.etsy.com/listing/800450764", "link")</f>
        <v>link</v>
      </c>
      <c r="H154" s="9" t="str">
        <f>HYPERLINK("https://atlas.etsycorp.com/listing/800450764/lookup", "link")</f>
        <v>link</v>
      </c>
      <c r="I154" s="5" t="s">
        <v>587</v>
      </c>
      <c r="J154" s="5" t="s">
        <v>588</v>
      </c>
      <c r="K154" s="5" t="s">
        <v>19</v>
      </c>
      <c r="L154" s="5" t="s">
        <v>20</v>
      </c>
      <c r="M154" s="10" t="s">
        <v>21</v>
      </c>
      <c r="N154" s="10" t="s">
        <v>22</v>
      </c>
      <c r="O154" s="11" t="s">
        <v>478</v>
      </c>
      <c r="P154" s="5"/>
      <c r="Q154" s="5"/>
      <c r="R154" s="5"/>
      <c r="S154" s="5"/>
      <c r="T154" s="5"/>
    </row>
    <row r="155" ht="15.75" customHeight="1">
      <c r="A155" s="6" t="str">
        <f t="shared" si="1"/>
        <v>valentines gifts for her, 1217855352</v>
      </c>
      <c r="B155" s="7" t="s">
        <v>15</v>
      </c>
      <c r="C155" s="5"/>
      <c r="D155" s="5" t="s">
        <v>589</v>
      </c>
      <c r="E155" s="5"/>
      <c r="F155" s="8">
        <v>1.217855352E9</v>
      </c>
      <c r="G155" s="9" t="str">
        <f>HYPERLINK("https://www.etsy.com/listing/1217855352", "link")</f>
        <v>link</v>
      </c>
      <c r="H155" s="9" t="str">
        <f>HYPERLINK("https://atlas.etsycorp.com/listing/1217855352/lookup", "link")</f>
        <v>link</v>
      </c>
      <c r="I155" s="5" t="s">
        <v>590</v>
      </c>
      <c r="J155" s="5" t="s">
        <v>591</v>
      </c>
      <c r="K155" s="5" t="s">
        <v>120</v>
      </c>
      <c r="L155" s="5" t="s">
        <v>100</v>
      </c>
      <c r="M155" s="10" t="s">
        <v>21</v>
      </c>
      <c r="N155" s="10" t="s">
        <v>22</v>
      </c>
      <c r="O155" s="11" t="s">
        <v>478</v>
      </c>
      <c r="P155" s="5"/>
      <c r="Q155" s="5"/>
      <c r="R155" s="5"/>
      <c r="S155" s="5"/>
      <c r="T155" s="5"/>
    </row>
    <row r="156" ht="15.75" customHeight="1">
      <c r="A156" s="6" t="str">
        <f t="shared" si="1"/>
        <v>book vase for flowers, 1527032294</v>
      </c>
      <c r="B156" s="7" t="s">
        <v>48</v>
      </c>
      <c r="C156" s="5"/>
      <c r="D156" s="5" t="s">
        <v>592</v>
      </c>
      <c r="E156" s="5"/>
      <c r="F156" s="8">
        <v>1.527032294E9</v>
      </c>
      <c r="G156" s="9" t="str">
        <f>HYPERLINK("https://www.etsy.com/listing/1527032294", "link")</f>
        <v>link</v>
      </c>
      <c r="H156" s="9" t="str">
        <f>HYPERLINK("https://atlas.etsycorp.com/listing/1527032294/lookup", "link")</f>
        <v>link</v>
      </c>
      <c r="I156" s="5" t="s">
        <v>593</v>
      </c>
      <c r="J156" s="5" t="s">
        <v>594</v>
      </c>
      <c r="K156" s="5" t="s">
        <v>120</v>
      </c>
      <c r="L156" s="5" t="s">
        <v>41</v>
      </c>
      <c r="M156" s="10" t="s">
        <v>21</v>
      </c>
      <c r="N156" s="10" t="s">
        <v>22</v>
      </c>
      <c r="O156" s="11" t="s">
        <v>478</v>
      </c>
      <c r="P156" s="5"/>
      <c r="Q156" s="5"/>
      <c r="R156" s="5"/>
      <c r="S156" s="5"/>
      <c r="T156" s="5"/>
    </row>
    <row r="157" ht="15.75" customHeight="1">
      <c r="A157" s="6" t="str">
        <f t="shared" si="1"/>
        <v>aussie animal baby mobile, 988558432</v>
      </c>
      <c r="B157" s="7" t="s">
        <v>24</v>
      </c>
      <c r="C157" s="7" t="s">
        <v>595</v>
      </c>
      <c r="D157" s="5" t="s">
        <v>596</v>
      </c>
      <c r="E157" s="5"/>
      <c r="F157" s="8">
        <v>9.88558432E8</v>
      </c>
      <c r="G157" s="9" t="str">
        <f>HYPERLINK("https://www.etsy.com/listing/988558432", "link")</f>
        <v>link</v>
      </c>
      <c r="H157" s="9" t="str">
        <f>HYPERLINK("https://atlas.etsycorp.com/listing/988558432/lookup", "link")</f>
        <v>link</v>
      </c>
      <c r="I157" s="5" t="s">
        <v>597</v>
      </c>
      <c r="J157" s="5" t="s">
        <v>598</v>
      </c>
      <c r="K157" s="5" t="s">
        <v>120</v>
      </c>
      <c r="L157" s="5" t="s">
        <v>73</v>
      </c>
      <c r="M157" s="10" t="s">
        <v>21</v>
      </c>
      <c r="N157" s="10" t="s">
        <v>22</v>
      </c>
      <c r="O157" s="11" t="s">
        <v>478</v>
      </c>
      <c r="P157" s="5"/>
      <c r="Q157" s="5"/>
      <c r="R157" s="5"/>
      <c r="S157" s="5"/>
      <c r="T157" s="5"/>
    </row>
    <row r="158" ht="15.75" customHeight="1">
      <c r="A158" s="6" t="str">
        <f t="shared" si="1"/>
        <v>personalized school supplies, 1026309136</v>
      </c>
      <c r="B158" s="7" t="s">
        <v>15</v>
      </c>
      <c r="C158" s="5"/>
      <c r="D158" s="5" t="s">
        <v>485</v>
      </c>
      <c r="E158" s="5" t="s">
        <v>485</v>
      </c>
      <c r="F158" s="8">
        <v>1.026309136E9</v>
      </c>
      <c r="G158" s="9" t="str">
        <f>HYPERLINK("https://www.etsy.com/listing/1026309136", "link")</f>
        <v>link</v>
      </c>
      <c r="H158" s="9" t="str">
        <f>HYPERLINK("https://atlas.etsycorp.com/listing/1026309136/lookup", "link")</f>
        <v>link</v>
      </c>
      <c r="I158" s="5" t="s">
        <v>599</v>
      </c>
      <c r="J158" s="5" t="s">
        <v>600</v>
      </c>
      <c r="K158" s="5" t="s">
        <v>54</v>
      </c>
      <c r="L158" s="5" t="s">
        <v>55</v>
      </c>
      <c r="M158" s="10" t="s">
        <v>21</v>
      </c>
      <c r="N158" s="10" t="s">
        <v>22</v>
      </c>
      <c r="O158" s="11" t="s">
        <v>478</v>
      </c>
      <c r="P158" s="5"/>
      <c r="Q158" s="5"/>
      <c r="R158" s="5"/>
      <c r="S158" s="5"/>
      <c r="T158" s="5"/>
    </row>
    <row r="159" ht="15.75" customHeight="1">
      <c r="A159" s="6" t="str">
        <f t="shared" si="1"/>
        <v>Gifts For The Couple Decision Maker Coin - Decis..., 1523105151</v>
      </c>
      <c r="B159" s="7" t="s">
        <v>15</v>
      </c>
      <c r="C159" s="5"/>
      <c r="D159" s="5" t="s">
        <v>601</v>
      </c>
      <c r="E159" s="5"/>
      <c r="F159" s="8">
        <v>1.523105151E9</v>
      </c>
      <c r="G159" s="9" t="str">
        <f>HYPERLINK("https://www.etsy.com/listing/1523105151", "link")</f>
        <v>link</v>
      </c>
      <c r="H159" s="9" t="str">
        <f>HYPERLINK("https://atlas.etsycorp.com/listing/1523105151/lookup", "link")</f>
        <v>link</v>
      </c>
      <c r="I159" s="5" t="s">
        <v>602</v>
      </c>
      <c r="J159" s="5" t="s">
        <v>603</v>
      </c>
      <c r="K159" s="5" t="s">
        <v>19</v>
      </c>
      <c r="L159" s="5" t="s">
        <v>100</v>
      </c>
      <c r="M159" s="10" t="s">
        <v>21</v>
      </c>
      <c r="N159" s="10" t="s">
        <v>22</v>
      </c>
      <c r="O159" s="11" t="s">
        <v>478</v>
      </c>
      <c r="P159" s="5"/>
      <c r="Q159" s="5"/>
      <c r="R159" s="5"/>
      <c r="S159" s="5"/>
      <c r="T159" s="5"/>
    </row>
    <row r="160" ht="15.75" customHeight="1">
      <c r="A160" s="6" t="str">
        <f t="shared" si="1"/>
        <v>sticker schalke, 1512755353</v>
      </c>
      <c r="B160" s="7" t="s">
        <v>48</v>
      </c>
      <c r="C160" s="5"/>
      <c r="D160" s="5" t="s">
        <v>604</v>
      </c>
      <c r="E160" s="5" t="s">
        <v>605</v>
      </c>
      <c r="F160" s="8">
        <v>1.512755353E9</v>
      </c>
      <c r="G160" s="9" t="str">
        <f>HYPERLINK("https://www.etsy.com/listing/1512755353", "link")</f>
        <v>link</v>
      </c>
      <c r="H160" s="9" t="str">
        <f>HYPERLINK("https://atlas.etsycorp.com/listing/1512755353/lookup", "link")</f>
        <v>link</v>
      </c>
      <c r="I160" s="5" t="s">
        <v>606</v>
      </c>
      <c r="J160" s="5" t="s">
        <v>607</v>
      </c>
      <c r="K160" s="5" t="s">
        <v>46</v>
      </c>
      <c r="L160" s="5" t="s">
        <v>47</v>
      </c>
      <c r="M160" s="10" t="s">
        <v>21</v>
      </c>
      <c r="N160" s="10" t="s">
        <v>22</v>
      </c>
      <c r="O160" s="11" t="s">
        <v>478</v>
      </c>
      <c r="P160" s="5"/>
      <c r="Q160" s="5"/>
      <c r="R160" s="5"/>
      <c r="S160" s="5"/>
      <c r="T160" s="5"/>
    </row>
    <row r="161" ht="15.75" customHeight="1">
      <c r="A161" s="6" t="str">
        <f t="shared" si="1"/>
        <v>rupee ice mold, 1087119903</v>
      </c>
      <c r="B161" s="7" t="s">
        <v>48</v>
      </c>
      <c r="C161" s="5"/>
      <c r="D161" s="5" t="s">
        <v>608</v>
      </c>
      <c r="E161" s="5"/>
      <c r="F161" s="8">
        <v>1.087119903E9</v>
      </c>
      <c r="G161" s="9" t="str">
        <f>HYPERLINK("https://www.etsy.com/listing/1087119903", "link")</f>
        <v>link</v>
      </c>
      <c r="H161" s="9" t="str">
        <f>HYPERLINK("https://atlas.etsycorp.com/listing/1087119903/lookup", "link")</f>
        <v>link</v>
      </c>
      <c r="I161" s="5" t="s">
        <v>609</v>
      </c>
      <c r="J161" s="5" t="s">
        <v>610</v>
      </c>
      <c r="K161" s="5" t="s">
        <v>120</v>
      </c>
      <c r="L161" s="5" t="s">
        <v>73</v>
      </c>
      <c r="M161" s="10" t="s">
        <v>21</v>
      </c>
      <c r="N161" s="10" t="s">
        <v>22</v>
      </c>
      <c r="O161" s="11" t="s">
        <v>478</v>
      </c>
      <c r="P161" s="5"/>
      <c r="Q161" s="5"/>
      <c r="R161" s="5"/>
      <c r="S161" s="5"/>
      <c r="T161" s="5"/>
    </row>
    <row r="162" ht="15.75" customHeight="1">
      <c r="A162" s="6" t="str">
        <f t="shared" si="1"/>
        <v>babyrassel häkeln, 1034453627</v>
      </c>
      <c r="B162" s="7" t="s">
        <v>24</v>
      </c>
      <c r="C162" s="7" t="s">
        <v>611</v>
      </c>
      <c r="D162" s="5" t="s">
        <v>612</v>
      </c>
      <c r="E162" s="5" t="s">
        <v>613</v>
      </c>
      <c r="F162" s="8">
        <v>1.034453627E9</v>
      </c>
      <c r="G162" s="9" t="str">
        <f>HYPERLINK("https://www.etsy.com/listing/1034453627", "link")</f>
        <v>link</v>
      </c>
      <c r="H162" s="9" t="str">
        <f>HYPERLINK("https://atlas.etsycorp.com/listing/1034453627/lookup", "link")</f>
        <v>link</v>
      </c>
      <c r="I162" s="5" t="s">
        <v>614</v>
      </c>
      <c r="J162" s="5" t="s">
        <v>615</v>
      </c>
      <c r="K162" s="5" t="s">
        <v>46</v>
      </c>
      <c r="L162" s="5" t="s">
        <v>47</v>
      </c>
      <c r="M162" s="10" t="s">
        <v>21</v>
      </c>
      <c r="N162" s="10" t="s">
        <v>22</v>
      </c>
      <c r="O162" s="11" t="s">
        <v>478</v>
      </c>
      <c r="P162" s="5"/>
      <c r="Q162" s="5"/>
      <c r="R162" s="5"/>
      <c r="S162" s="5"/>
      <c r="T162" s="5"/>
    </row>
    <row r="163" ht="15.75" customHeight="1">
      <c r="A163" s="6" t="str">
        <f t="shared" si="1"/>
        <v>zelda tumbler pdf, 1655210649</v>
      </c>
      <c r="B163" s="7" t="s">
        <v>15</v>
      </c>
      <c r="C163" s="5"/>
      <c r="D163" s="5" t="s">
        <v>616</v>
      </c>
      <c r="E163" s="5"/>
      <c r="F163" s="8">
        <v>1.655210649E9</v>
      </c>
      <c r="G163" s="9" t="str">
        <f>HYPERLINK("https://www.etsy.com/listing/1655210649", "link")</f>
        <v>link</v>
      </c>
      <c r="H163" s="9" t="str">
        <f>HYPERLINK("https://atlas.etsycorp.com/listing/1655210649/lookup", "link")</f>
        <v>link</v>
      </c>
      <c r="I163" s="5" t="s">
        <v>617</v>
      </c>
      <c r="J163" s="5" t="s">
        <v>618</v>
      </c>
      <c r="K163" s="5" t="s">
        <v>19</v>
      </c>
      <c r="L163" s="5" t="s">
        <v>73</v>
      </c>
      <c r="M163" s="10" t="s">
        <v>21</v>
      </c>
      <c r="N163" s="10" t="s">
        <v>22</v>
      </c>
      <c r="O163" s="11" t="s">
        <v>478</v>
      </c>
      <c r="P163" s="5"/>
      <c r="Q163" s="5"/>
      <c r="R163" s="5"/>
      <c r="S163" s="5"/>
      <c r="T163" s="5"/>
    </row>
    <row r="164" ht="15.75" customHeight="1">
      <c r="A164" s="6" t="str">
        <f t="shared" si="1"/>
        <v>black metal hair claw clip with pearl, 1393279069</v>
      </c>
      <c r="B164" s="7" t="s">
        <v>24</v>
      </c>
      <c r="C164" s="7" t="s">
        <v>619</v>
      </c>
      <c r="D164" s="5" t="s">
        <v>560</v>
      </c>
      <c r="E164" s="5"/>
      <c r="F164" s="8">
        <v>1.393279069E9</v>
      </c>
      <c r="G164" s="9" t="str">
        <f>HYPERLINK("https://www.etsy.com/listing/1393279069", "link")</f>
        <v>link</v>
      </c>
      <c r="H164" s="9" t="str">
        <f>HYPERLINK("https://atlas.etsycorp.com/listing/1393279069/lookup", "link")</f>
        <v>link</v>
      </c>
      <c r="I164" s="5" t="s">
        <v>620</v>
      </c>
      <c r="J164" s="5" t="s">
        <v>562</v>
      </c>
      <c r="K164" s="5" t="s">
        <v>19</v>
      </c>
      <c r="L164" s="5" t="s">
        <v>73</v>
      </c>
      <c r="M164" s="10" t="s">
        <v>21</v>
      </c>
      <c r="N164" s="10" t="s">
        <v>22</v>
      </c>
      <c r="O164" s="11" t="s">
        <v>478</v>
      </c>
      <c r="P164" s="5"/>
      <c r="Q164" s="5"/>
      <c r="R164" s="5"/>
      <c r="S164" s="5"/>
      <c r="T164" s="5"/>
    </row>
    <row r="165" ht="15.75" customHeight="1">
      <c r="A165" s="6" t="str">
        <f t="shared" si="1"/>
        <v>dir en grey, 571894214</v>
      </c>
      <c r="B165" s="7" t="s">
        <v>446</v>
      </c>
      <c r="C165" s="7" t="s">
        <v>532</v>
      </c>
      <c r="D165" s="5" t="s">
        <v>621</v>
      </c>
      <c r="E165" s="5" t="s">
        <v>622</v>
      </c>
      <c r="F165" s="8">
        <v>5.71894214E8</v>
      </c>
      <c r="G165" s="9" t="str">
        <f>HYPERLINK("https://www.etsy.com/listing/571894214", "link")</f>
        <v>link</v>
      </c>
      <c r="H165" s="9" t="str">
        <f>HYPERLINK("https://atlas.etsycorp.com/listing/571894214/lookup", "link")</f>
        <v>link</v>
      </c>
      <c r="I165" s="5" t="s">
        <v>623</v>
      </c>
      <c r="J165" s="5" t="s">
        <v>624</v>
      </c>
      <c r="K165" s="5" t="s">
        <v>29</v>
      </c>
      <c r="L165" s="5" t="s">
        <v>30</v>
      </c>
      <c r="M165" s="10" t="s">
        <v>21</v>
      </c>
      <c r="N165" s="10" t="s">
        <v>22</v>
      </c>
      <c r="O165" s="11" t="s">
        <v>478</v>
      </c>
      <c r="P165" s="5"/>
      <c r="Q165" s="5"/>
      <c r="R165" s="5"/>
      <c r="S165" s="5"/>
      <c r="T165" s="5"/>
    </row>
    <row r="166" ht="15.75" customHeight="1">
      <c r="A166" s="6" t="str">
        <f t="shared" si="1"/>
        <v>food charm gold, 1525862720</v>
      </c>
      <c r="B166" s="7" t="s">
        <v>15</v>
      </c>
      <c r="C166" s="5"/>
      <c r="D166" s="5" t="s">
        <v>625</v>
      </c>
      <c r="E166" s="5" t="s">
        <v>625</v>
      </c>
      <c r="F166" s="8">
        <v>1.52586272E9</v>
      </c>
      <c r="G166" s="9" t="str">
        <f>HYPERLINK("https://www.etsy.com/listing/1525862720", "link")</f>
        <v>link</v>
      </c>
      <c r="H166" s="9" t="str">
        <f>HYPERLINK("https://atlas.etsycorp.com/listing/1525862720/lookup", "link")</f>
        <v>link</v>
      </c>
      <c r="I166" s="5" t="s">
        <v>626</v>
      </c>
      <c r="J166" s="5" t="s">
        <v>627</v>
      </c>
      <c r="K166" s="5" t="s">
        <v>35</v>
      </c>
      <c r="L166" s="5" t="s">
        <v>36</v>
      </c>
      <c r="M166" s="10" t="s">
        <v>21</v>
      </c>
      <c r="N166" s="10" t="s">
        <v>22</v>
      </c>
      <c r="O166" s="11" t="s">
        <v>478</v>
      </c>
      <c r="P166" s="5"/>
      <c r="Q166" s="5"/>
      <c r="R166" s="5"/>
      <c r="S166" s="5"/>
      <c r="T166" s="5"/>
    </row>
    <row r="167" ht="15.75" customHeight="1">
      <c r="A167" s="6" t="str">
        <f t="shared" si="1"/>
        <v>madagascar lace leaf fish tank plant, 1086323617</v>
      </c>
      <c r="B167" s="7" t="s">
        <v>24</v>
      </c>
      <c r="C167" s="7" t="s">
        <v>628</v>
      </c>
      <c r="D167" s="5" t="s">
        <v>629</v>
      </c>
      <c r="E167" s="5"/>
      <c r="F167" s="8">
        <v>1.086323617E9</v>
      </c>
      <c r="G167" s="9" t="str">
        <f>HYPERLINK("https://www.etsy.com/listing/1086323617", "link")</f>
        <v>link</v>
      </c>
      <c r="H167" s="9" t="str">
        <f>HYPERLINK("https://atlas.etsycorp.com/listing/1086323617/lookup", "link")</f>
        <v>link</v>
      </c>
      <c r="I167" s="5" t="s">
        <v>630</v>
      </c>
      <c r="J167" s="5" t="s">
        <v>631</v>
      </c>
      <c r="K167" s="5" t="s">
        <v>19</v>
      </c>
      <c r="L167" s="5" t="s">
        <v>73</v>
      </c>
      <c r="M167" s="10" t="s">
        <v>21</v>
      </c>
      <c r="N167" s="10" t="s">
        <v>22</v>
      </c>
      <c r="O167" s="11" t="s">
        <v>478</v>
      </c>
      <c r="P167" s="5"/>
      <c r="Q167" s="5"/>
      <c r="R167" s="5"/>
      <c r="S167" s="5"/>
      <c r="T167" s="5"/>
    </row>
    <row r="168" ht="15.75" customHeight="1">
      <c r="A168" s="6" t="str">
        <f t="shared" si="1"/>
        <v>miraculous ladybug stickers, 1354417767</v>
      </c>
      <c r="B168" s="7" t="s">
        <v>48</v>
      </c>
      <c r="C168" s="5"/>
      <c r="D168" s="5" t="s">
        <v>632</v>
      </c>
      <c r="E168" s="5" t="s">
        <v>632</v>
      </c>
      <c r="F168" s="8">
        <v>1.354417767E9</v>
      </c>
      <c r="G168" s="9" t="str">
        <f>HYPERLINK("https://www.etsy.com/listing/1354417767", "link")</f>
        <v>link</v>
      </c>
      <c r="H168" s="9" t="str">
        <f>HYPERLINK("https://atlas.etsycorp.com/listing/1354417767/lookup", "link")</f>
        <v>link</v>
      </c>
      <c r="I168" s="5" t="s">
        <v>633</v>
      </c>
      <c r="J168" s="5" t="s">
        <v>634</v>
      </c>
      <c r="K168" s="5" t="s">
        <v>46</v>
      </c>
      <c r="L168" s="5" t="s">
        <v>47</v>
      </c>
      <c r="M168" s="10" t="s">
        <v>21</v>
      </c>
      <c r="N168" s="10" t="s">
        <v>22</v>
      </c>
      <c r="O168" s="11" t="s">
        <v>478</v>
      </c>
      <c r="P168" s="5"/>
      <c r="Q168" s="5"/>
      <c r="R168" s="5"/>
      <c r="S168" s="5"/>
      <c r="T168" s="5"/>
    </row>
    <row r="169" ht="15.75" customHeight="1">
      <c r="A169" s="6" t="str">
        <f t="shared" si="1"/>
        <v>acuity revamp, 1215057313</v>
      </c>
      <c r="B169" s="7" t="s">
        <v>15</v>
      </c>
      <c r="C169" s="5"/>
      <c r="D169" s="5" t="s">
        <v>635</v>
      </c>
      <c r="E169" s="5" t="s">
        <v>636</v>
      </c>
      <c r="F169" s="8">
        <v>1.215057313E9</v>
      </c>
      <c r="G169" s="9" t="str">
        <f>HYPERLINK("https://www.etsy.com/listing/1215057313", "link")</f>
        <v>link</v>
      </c>
      <c r="H169" s="9" t="str">
        <f>HYPERLINK("https://atlas.etsycorp.com/listing/1215057313/lookup", "link")</f>
        <v>link</v>
      </c>
      <c r="I169" s="5" t="s">
        <v>637</v>
      </c>
      <c r="J169" s="5" t="s">
        <v>638</v>
      </c>
      <c r="K169" s="5" t="s">
        <v>35</v>
      </c>
      <c r="L169" s="5" t="s">
        <v>36</v>
      </c>
      <c r="M169" s="10" t="s">
        <v>21</v>
      </c>
      <c r="N169" s="10" t="s">
        <v>22</v>
      </c>
      <c r="O169" s="11" t="s">
        <v>478</v>
      </c>
      <c r="P169" s="5"/>
      <c r="Q169" s="5"/>
      <c r="R169" s="5"/>
      <c r="S169" s="5"/>
      <c r="T169" s="5"/>
    </row>
    <row r="170" ht="15.75" customHeight="1">
      <c r="A170" s="6" t="str">
        <f t="shared" si="1"/>
        <v>ohrringe, 1330801431</v>
      </c>
      <c r="B170" s="7" t="s">
        <v>15</v>
      </c>
      <c r="C170" s="5"/>
      <c r="D170" s="5" t="s">
        <v>528</v>
      </c>
      <c r="E170" s="5" t="s">
        <v>529</v>
      </c>
      <c r="F170" s="8">
        <v>1.330801431E9</v>
      </c>
      <c r="G170" s="9" t="str">
        <f>HYPERLINK("https://www.etsy.com/listing/1330801431", "link")</f>
        <v>link</v>
      </c>
      <c r="H170" s="9" t="str">
        <f>HYPERLINK("https://atlas.etsycorp.com/listing/1330801431/lookup", "link")</f>
        <v>link</v>
      </c>
      <c r="I170" s="5" t="s">
        <v>639</v>
      </c>
      <c r="J170" s="5" t="s">
        <v>640</v>
      </c>
      <c r="K170" s="5" t="s">
        <v>46</v>
      </c>
      <c r="L170" s="5" t="s">
        <v>47</v>
      </c>
      <c r="M170" s="10" t="s">
        <v>21</v>
      </c>
      <c r="N170" s="10" t="s">
        <v>22</v>
      </c>
      <c r="O170" s="11" t="s">
        <v>478</v>
      </c>
      <c r="P170" s="5"/>
      <c r="Q170" s="5"/>
      <c r="R170" s="5"/>
      <c r="S170" s="5"/>
      <c r="T170" s="5"/>
    </row>
    <row r="171" ht="15.75" customHeight="1">
      <c r="A171" s="6" t="str">
        <f t="shared" si="1"/>
        <v>gifts for women, 1423289913</v>
      </c>
      <c r="B171" s="7" t="s">
        <v>15</v>
      </c>
      <c r="C171" s="5"/>
      <c r="D171" s="5" t="s">
        <v>641</v>
      </c>
      <c r="E171" s="5"/>
      <c r="F171" s="8">
        <v>1.423289913E9</v>
      </c>
      <c r="G171" s="9" t="str">
        <f>HYPERLINK("https://www.etsy.com/listing/1423289913", "link")</f>
        <v>link</v>
      </c>
      <c r="H171" s="9" t="str">
        <f>HYPERLINK("https://atlas.etsycorp.com/listing/1423289913/lookup", "link")</f>
        <v>link</v>
      </c>
      <c r="I171" s="5" t="s">
        <v>642</v>
      </c>
      <c r="J171" s="5" t="s">
        <v>643</v>
      </c>
      <c r="K171" s="5" t="s">
        <v>120</v>
      </c>
      <c r="L171" s="5" t="s">
        <v>100</v>
      </c>
      <c r="M171" s="10" t="s">
        <v>21</v>
      </c>
      <c r="N171" s="10" t="s">
        <v>22</v>
      </c>
      <c r="O171" s="11" t="s">
        <v>478</v>
      </c>
      <c r="P171" s="5"/>
      <c r="Q171" s="5"/>
      <c r="R171" s="5"/>
      <c r="S171" s="5"/>
      <c r="T171" s="5"/>
    </row>
    <row r="172" ht="15.75" customHeight="1">
      <c r="A172" s="6" t="str">
        <f t="shared" si="1"/>
        <v>unique gifts for her, 1670022097</v>
      </c>
      <c r="B172" s="7" t="s">
        <v>15</v>
      </c>
      <c r="C172" s="5"/>
      <c r="D172" s="5" t="s">
        <v>327</v>
      </c>
      <c r="E172" s="5"/>
      <c r="F172" s="8">
        <v>1.670022097E9</v>
      </c>
      <c r="G172" s="9" t="str">
        <f>HYPERLINK("https://www.etsy.com/listing/1670022097", "link")</f>
        <v>link</v>
      </c>
      <c r="H172" s="9" t="str">
        <f>HYPERLINK("https://atlas.etsycorp.com/listing/1670022097/lookup", "link")</f>
        <v>link</v>
      </c>
      <c r="I172" s="5" t="s">
        <v>644</v>
      </c>
      <c r="J172" s="5" t="s">
        <v>645</v>
      </c>
      <c r="K172" s="5" t="s">
        <v>19</v>
      </c>
      <c r="L172" s="5" t="s">
        <v>20</v>
      </c>
      <c r="M172" s="10" t="s">
        <v>21</v>
      </c>
      <c r="N172" s="10" t="s">
        <v>22</v>
      </c>
      <c r="O172" s="11" t="s">
        <v>478</v>
      </c>
      <c r="P172" s="5"/>
      <c r="Q172" s="5"/>
      <c r="R172" s="5"/>
      <c r="S172" s="5"/>
      <c r="T172" s="5"/>
    </row>
    <row r="173" ht="15.75" customHeight="1">
      <c r="A173" s="6" t="str">
        <f t="shared" si="1"/>
        <v>piercing ear, 1312983627</v>
      </c>
      <c r="B173" s="7" t="s">
        <v>15</v>
      </c>
      <c r="C173" s="5"/>
      <c r="D173" s="5" t="s">
        <v>646</v>
      </c>
      <c r="E173" s="5" t="s">
        <v>647</v>
      </c>
      <c r="F173" s="8">
        <v>1.312983627E9</v>
      </c>
      <c r="G173" s="9" t="str">
        <f>HYPERLINK("https://www.etsy.com/listing/1312983627", "link")</f>
        <v>link</v>
      </c>
      <c r="H173" s="9" t="str">
        <f>HYPERLINK("https://atlas.etsycorp.com/listing/1312983627/lookup", "link")</f>
        <v>link</v>
      </c>
      <c r="I173" s="5" t="s">
        <v>648</v>
      </c>
      <c r="J173" s="5" t="s">
        <v>649</v>
      </c>
      <c r="K173" s="5" t="s">
        <v>29</v>
      </c>
      <c r="L173" s="5" t="s">
        <v>30</v>
      </c>
      <c r="M173" s="10" t="s">
        <v>21</v>
      </c>
      <c r="N173" s="10" t="s">
        <v>22</v>
      </c>
      <c r="O173" s="11" t="s">
        <v>478</v>
      </c>
      <c r="P173" s="5"/>
      <c r="Q173" s="5"/>
      <c r="R173" s="5"/>
      <c r="S173" s="5"/>
      <c r="T173" s="5"/>
    </row>
    <row r="174" ht="15.75" customHeight="1">
      <c r="A174" s="6" t="str">
        <f t="shared" si="1"/>
        <v>wish disney, 1766312745</v>
      </c>
      <c r="B174" s="7" t="s">
        <v>15</v>
      </c>
      <c r="C174" s="5"/>
      <c r="D174" s="5" t="s">
        <v>650</v>
      </c>
      <c r="E174" s="5" t="s">
        <v>650</v>
      </c>
      <c r="F174" s="8">
        <v>1.766312745E9</v>
      </c>
      <c r="G174" s="9" t="str">
        <f>HYPERLINK("https://www.etsy.com/listing/1766312745", "link")</f>
        <v>link</v>
      </c>
      <c r="H174" s="9" t="str">
        <f>HYPERLINK("https://atlas.etsycorp.com/listing/1766312745/lookup", "link")</f>
        <v>link</v>
      </c>
      <c r="I174" s="5" t="s">
        <v>651</v>
      </c>
      <c r="J174" s="5" t="s">
        <v>652</v>
      </c>
      <c r="K174" s="5" t="s">
        <v>54</v>
      </c>
      <c r="L174" s="5" t="s">
        <v>55</v>
      </c>
      <c r="M174" s="10" t="s">
        <v>21</v>
      </c>
      <c r="N174" s="10" t="s">
        <v>22</v>
      </c>
      <c r="O174" s="11" t="s">
        <v>478</v>
      </c>
      <c r="P174" s="5"/>
      <c r="Q174" s="5"/>
      <c r="R174" s="5"/>
      <c r="S174" s="5"/>
      <c r="T174" s="5"/>
    </row>
    <row r="175" ht="15.75" customHeight="1">
      <c r="A175" s="6" t="str">
        <f t="shared" si="1"/>
        <v>shepards journal atlantis, 1557334924</v>
      </c>
      <c r="B175" s="7" t="s">
        <v>15</v>
      </c>
      <c r="C175" s="5"/>
      <c r="D175" s="5" t="s">
        <v>653</v>
      </c>
      <c r="E175" s="5"/>
      <c r="F175" s="8">
        <v>1.557334924E9</v>
      </c>
      <c r="G175" s="9" t="str">
        <f>HYPERLINK("https://www.etsy.com/listing/1557334924", "link")</f>
        <v>link</v>
      </c>
      <c r="H175" s="9" t="str">
        <f>HYPERLINK("https://atlas.etsycorp.com/listing/1557334924/lookup", "link")</f>
        <v>link</v>
      </c>
      <c r="I175" s="5" t="s">
        <v>654</v>
      </c>
      <c r="J175" s="5" t="s">
        <v>655</v>
      </c>
      <c r="K175" s="5" t="s">
        <v>19</v>
      </c>
      <c r="L175" s="5" t="s">
        <v>20</v>
      </c>
      <c r="M175" s="10" t="s">
        <v>21</v>
      </c>
      <c r="N175" s="10" t="s">
        <v>22</v>
      </c>
      <c r="O175" s="11" t="s">
        <v>478</v>
      </c>
      <c r="P175" s="5"/>
      <c r="Q175" s="5"/>
      <c r="R175" s="5"/>
      <c r="S175" s="5"/>
      <c r="T175" s="5"/>
    </row>
    <row r="176" ht="15.75" customHeight="1">
      <c r="A176" s="6" t="str">
        <f t="shared" si="1"/>
        <v>Canada outfit, 1658415612</v>
      </c>
      <c r="B176" s="7" t="s">
        <v>15</v>
      </c>
      <c r="C176" s="5"/>
      <c r="D176" s="5" t="s">
        <v>656</v>
      </c>
      <c r="E176" s="5"/>
      <c r="F176" s="8">
        <v>1.658415612E9</v>
      </c>
      <c r="G176" s="9" t="str">
        <f>HYPERLINK("https://www.etsy.com/listing/1658415612", "link")</f>
        <v>link</v>
      </c>
      <c r="H176" s="9" t="str">
        <f>HYPERLINK("https://atlas.etsycorp.com/listing/1658415612/lookup", "link")</f>
        <v>link</v>
      </c>
      <c r="I176" s="5" t="s">
        <v>657</v>
      </c>
      <c r="J176" s="5" t="s">
        <v>658</v>
      </c>
      <c r="K176" s="5" t="s">
        <v>120</v>
      </c>
      <c r="L176" s="5" t="s">
        <v>41</v>
      </c>
      <c r="M176" s="10" t="s">
        <v>21</v>
      </c>
      <c r="N176" s="10" t="s">
        <v>22</v>
      </c>
      <c r="O176" s="11" t="s">
        <v>478</v>
      </c>
      <c r="P176" s="5"/>
      <c r="Q176" s="5"/>
      <c r="R176" s="5"/>
      <c r="S176" s="5"/>
      <c r="T176" s="5"/>
    </row>
    <row r="177" ht="15.75" customHeight="1">
      <c r="A177" s="6" t="str">
        <f t="shared" si="1"/>
        <v>final fantasy cookie, 1398367160</v>
      </c>
      <c r="B177" s="7" t="s">
        <v>15</v>
      </c>
      <c r="C177" s="5"/>
      <c r="D177" s="5" t="s">
        <v>659</v>
      </c>
      <c r="E177" s="5" t="s">
        <v>659</v>
      </c>
      <c r="F177" s="8">
        <v>1.39836716E9</v>
      </c>
      <c r="G177" s="9" t="str">
        <f>HYPERLINK("https://www.etsy.com/listing/1398367160", "link")</f>
        <v>link</v>
      </c>
      <c r="H177" s="9" t="str">
        <f>HYPERLINK("https://atlas.etsycorp.com/listing/1398367160/lookup", "link")</f>
        <v>link</v>
      </c>
      <c r="I177" s="5" t="s">
        <v>660</v>
      </c>
      <c r="J177" s="5" t="s">
        <v>661</v>
      </c>
      <c r="K177" s="5" t="s">
        <v>54</v>
      </c>
      <c r="L177" s="5" t="s">
        <v>55</v>
      </c>
      <c r="M177" s="10" t="s">
        <v>21</v>
      </c>
      <c r="N177" s="10" t="s">
        <v>22</v>
      </c>
      <c r="O177" s="11" t="s">
        <v>478</v>
      </c>
      <c r="P177" s="5"/>
      <c r="Q177" s="5"/>
      <c r="R177" s="5"/>
      <c r="S177" s="5"/>
      <c r="T177" s="5"/>
    </row>
    <row r="178" ht="15.75" customHeight="1">
      <c r="A178" s="6" t="str">
        <f t="shared" si="1"/>
        <v>card holder for cruise, 918070469</v>
      </c>
      <c r="B178" s="7" t="s">
        <v>15</v>
      </c>
      <c r="C178" s="5"/>
      <c r="D178" s="5" t="s">
        <v>662</v>
      </c>
      <c r="E178" s="5"/>
      <c r="F178" s="8">
        <v>9.18070469E8</v>
      </c>
      <c r="G178" s="9" t="str">
        <f>HYPERLINK("https://www.etsy.com/listing/918070469", "link")</f>
        <v>link</v>
      </c>
      <c r="H178" s="9" t="str">
        <f>HYPERLINK("https://atlas.etsycorp.com/listing/918070469/lookup", "link")</f>
        <v>link</v>
      </c>
      <c r="I178" s="5" t="s">
        <v>663</v>
      </c>
      <c r="J178" s="5" t="s">
        <v>664</v>
      </c>
      <c r="K178" s="5" t="s">
        <v>19</v>
      </c>
      <c r="L178" s="5" t="s">
        <v>41</v>
      </c>
      <c r="M178" s="10" t="s">
        <v>21</v>
      </c>
      <c r="N178" s="10" t="s">
        <v>22</v>
      </c>
      <c r="O178" s="11" t="s">
        <v>478</v>
      </c>
      <c r="P178" s="5"/>
      <c r="Q178" s="5"/>
      <c r="R178" s="5"/>
      <c r="S178" s="5"/>
      <c r="T178" s="5"/>
    </row>
    <row r="179" ht="15.75" customHeight="1">
      <c r="A179" s="6" t="str">
        <f t="shared" si="1"/>
        <v>starbucksparty decorations, 1514466640</v>
      </c>
      <c r="B179" s="7" t="s">
        <v>24</v>
      </c>
      <c r="C179" s="7" t="s">
        <v>665</v>
      </c>
      <c r="D179" s="5" t="s">
        <v>666</v>
      </c>
      <c r="E179" s="5"/>
      <c r="F179" s="8">
        <v>1.51446664E9</v>
      </c>
      <c r="G179" s="9" t="str">
        <f>HYPERLINK("https://www.etsy.com/listing/1514466640", "link")</f>
        <v>link</v>
      </c>
      <c r="H179" s="9" t="str">
        <f>HYPERLINK("https://atlas.etsycorp.com/listing/1514466640/lookup", "link")</f>
        <v>link</v>
      </c>
      <c r="I179" s="5" t="s">
        <v>667</v>
      </c>
      <c r="J179" s="5" t="s">
        <v>668</v>
      </c>
      <c r="K179" s="5" t="s">
        <v>19</v>
      </c>
      <c r="L179" s="5" t="s">
        <v>20</v>
      </c>
      <c r="M179" s="10" t="s">
        <v>21</v>
      </c>
      <c r="N179" s="10" t="s">
        <v>22</v>
      </c>
      <c r="O179" s="11" t="s">
        <v>478</v>
      </c>
      <c r="P179" s="5"/>
      <c r="Q179" s="5"/>
      <c r="R179" s="5"/>
      <c r="S179" s="5"/>
      <c r="T179" s="5"/>
    </row>
    <row r="180" ht="15.75" customHeight="1">
      <c r="A180" s="6" t="str">
        <f t="shared" si="1"/>
        <v>Motorcycle leather jacket, 1504047706</v>
      </c>
      <c r="B180" s="7" t="s">
        <v>15</v>
      </c>
      <c r="C180" s="5"/>
      <c r="D180" s="5" t="s">
        <v>669</v>
      </c>
      <c r="E180" s="5" t="s">
        <v>670</v>
      </c>
      <c r="F180" s="8">
        <v>1.504047706E9</v>
      </c>
      <c r="G180" s="9" t="str">
        <f>HYPERLINK("https://www.etsy.com/listing/1504047706", "link")</f>
        <v>link</v>
      </c>
      <c r="H180" s="9" t="str">
        <f>HYPERLINK("https://atlas.etsycorp.com/listing/1504047706/lookup", "link")</f>
        <v>link</v>
      </c>
      <c r="I180" s="5" t="s">
        <v>671</v>
      </c>
      <c r="J180" s="5" t="s">
        <v>672</v>
      </c>
      <c r="K180" s="5" t="s">
        <v>46</v>
      </c>
      <c r="L180" s="5" t="s">
        <v>47</v>
      </c>
      <c r="M180" s="10" t="s">
        <v>21</v>
      </c>
      <c r="N180" s="10" t="s">
        <v>22</v>
      </c>
      <c r="O180" s="11" t="s">
        <v>478</v>
      </c>
      <c r="P180" s="5"/>
      <c r="Q180" s="5"/>
      <c r="R180" s="5"/>
      <c r="S180" s="5"/>
      <c r="T180" s="5"/>
    </row>
    <row r="181" ht="15.75" customHeight="1">
      <c r="A181" s="6" t="str">
        <f t="shared" si="1"/>
        <v>vitage fischer, 1438011270</v>
      </c>
      <c r="B181" s="7" t="s">
        <v>446</v>
      </c>
      <c r="C181" s="5"/>
      <c r="D181" s="5" t="s">
        <v>221</v>
      </c>
      <c r="E181" s="5" t="s">
        <v>221</v>
      </c>
      <c r="F181" s="8">
        <v>1.43801127E9</v>
      </c>
      <c r="G181" s="9" t="str">
        <f>HYPERLINK("https://www.etsy.com/listing/1438011270", "link")</f>
        <v>link</v>
      </c>
      <c r="H181" s="9" t="str">
        <f>HYPERLINK("https://atlas.etsycorp.com/listing/1438011270/lookup", "link")</f>
        <v>link</v>
      </c>
      <c r="I181" s="5" t="s">
        <v>673</v>
      </c>
      <c r="J181" s="5" t="s">
        <v>223</v>
      </c>
      <c r="K181" s="5" t="s">
        <v>46</v>
      </c>
      <c r="L181" s="5" t="s">
        <v>47</v>
      </c>
      <c r="M181" s="10" t="s">
        <v>21</v>
      </c>
      <c r="N181" s="10" t="s">
        <v>22</v>
      </c>
      <c r="O181" s="11" t="s">
        <v>478</v>
      </c>
      <c r="P181" s="5"/>
      <c r="Q181" s="5"/>
      <c r="R181" s="5"/>
      <c r="S181" s="5"/>
      <c r="T181" s="5"/>
    </row>
    <row r="182" ht="15.75" customHeight="1">
      <c r="A182" s="6" t="str">
        <f t="shared" si="1"/>
        <v>gifts for kids, 1216084766</v>
      </c>
      <c r="B182" s="7" t="s">
        <v>48</v>
      </c>
      <c r="C182" s="7" t="s">
        <v>674</v>
      </c>
      <c r="D182" s="5" t="s">
        <v>675</v>
      </c>
      <c r="E182" s="5"/>
      <c r="F182" s="8">
        <v>1.216084766E9</v>
      </c>
      <c r="G182" s="9" t="str">
        <f>HYPERLINK("https://www.etsy.com/listing/1216084766", "link")</f>
        <v>link</v>
      </c>
      <c r="H182" s="9" t="str">
        <f>HYPERLINK("https://atlas.etsycorp.com/listing/1216084766/lookup", "link")</f>
        <v>link</v>
      </c>
      <c r="I182" s="5" t="s">
        <v>676</v>
      </c>
      <c r="J182" s="5" t="s">
        <v>677</v>
      </c>
      <c r="K182" s="5" t="s">
        <v>19</v>
      </c>
      <c r="L182" s="5" t="s">
        <v>100</v>
      </c>
      <c r="M182" s="10" t="s">
        <v>21</v>
      </c>
      <c r="N182" s="10" t="s">
        <v>22</v>
      </c>
      <c r="O182" s="11" t="s">
        <v>478</v>
      </c>
      <c r="P182" s="5"/>
      <c r="Q182" s="5"/>
      <c r="R182" s="5"/>
      <c r="S182" s="5"/>
      <c r="T182" s="5"/>
    </row>
    <row r="183" ht="15.75" customHeight="1">
      <c r="A183" s="6" t="str">
        <f t="shared" si="1"/>
        <v>linux tux plush, 1418189204</v>
      </c>
      <c r="B183" s="7" t="s">
        <v>48</v>
      </c>
      <c r="C183" s="5"/>
      <c r="D183" s="5" t="s">
        <v>678</v>
      </c>
      <c r="E183" s="5"/>
      <c r="F183" s="8">
        <v>1.418189204E9</v>
      </c>
      <c r="G183" s="9" t="str">
        <f>HYPERLINK("https://www.etsy.com/listing/1418189204", "link")</f>
        <v>link</v>
      </c>
      <c r="H183" s="9" t="str">
        <f>HYPERLINK("https://atlas.etsycorp.com/listing/1418189204/lookup", "link")</f>
        <v>link</v>
      </c>
      <c r="I183" s="5" t="s">
        <v>679</v>
      </c>
      <c r="J183" s="5" t="s">
        <v>680</v>
      </c>
      <c r="K183" s="5" t="s">
        <v>19</v>
      </c>
      <c r="L183" s="5" t="s">
        <v>73</v>
      </c>
      <c r="M183" s="10" t="s">
        <v>21</v>
      </c>
      <c r="N183" s="10" t="s">
        <v>22</v>
      </c>
      <c r="O183" s="11" t="s">
        <v>478</v>
      </c>
      <c r="P183" s="5"/>
      <c r="Q183" s="5"/>
      <c r="R183" s="5"/>
      <c r="S183" s="5"/>
      <c r="T183" s="5"/>
    </row>
    <row r="184" ht="15.75" customHeight="1">
      <c r="A184" s="6" t="str">
        <f t="shared" si="1"/>
        <v>storage shelves for totes, 1292262218</v>
      </c>
      <c r="B184" s="7" t="s">
        <v>48</v>
      </c>
      <c r="C184" s="7" t="s">
        <v>681</v>
      </c>
      <c r="D184" s="5" t="s">
        <v>682</v>
      </c>
      <c r="E184" s="5"/>
      <c r="F184" s="8">
        <v>1.292262218E9</v>
      </c>
      <c r="G184" s="9" t="str">
        <f>HYPERLINK("https://www.etsy.com/listing/1292262218", "link")</f>
        <v>link</v>
      </c>
      <c r="H184" s="9" t="str">
        <f>HYPERLINK("https://atlas.etsycorp.com/listing/1292262218/lookup", "link")</f>
        <v>link</v>
      </c>
      <c r="I184" s="5" t="s">
        <v>683</v>
      </c>
      <c r="J184" s="5" t="s">
        <v>684</v>
      </c>
      <c r="K184" s="5" t="s">
        <v>19</v>
      </c>
      <c r="L184" s="5" t="s">
        <v>41</v>
      </c>
      <c r="M184" s="10" t="s">
        <v>21</v>
      </c>
      <c r="N184" s="10" t="s">
        <v>22</v>
      </c>
      <c r="O184" s="11" t="s">
        <v>478</v>
      </c>
      <c r="P184" s="5"/>
      <c r="Q184" s="5"/>
      <c r="R184" s="5"/>
      <c r="S184" s="5"/>
      <c r="T184" s="5"/>
    </row>
    <row r="185" ht="15.75" customHeight="1">
      <c r="A185" s="6" t="str">
        <f t="shared" si="1"/>
        <v>watercolor lisbon, 1491366396</v>
      </c>
      <c r="B185" s="7" t="s">
        <v>15</v>
      </c>
      <c r="C185" s="5"/>
      <c r="D185" s="5" t="s">
        <v>685</v>
      </c>
      <c r="E185" s="5" t="s">
        <v>685</v>
      </c>
      <c r="F185" s="8">
        <v>1.491366396E9</v>
      </c>
      <c r="G185" s="9" t="str">
        <f>HYPERLINK("https://www.etsy.com/listing/1491366396", "link")</f>
        <v>link</v>
      </c>
      <c r="H185" s="9" t="str">
        <f>HYPERLINK("https://atlas.etsycorp.com/listing/1491366396/lookup", "link")</f>
        <v>link</v>
      </c>
      <c r="I185" s="5" t="s">
        <v>686</v>
      </c>
      <c r="J185" s="5" t="s">
        <v>687</v>
      </c>
      <c r="K185" s="5" t="s">
        <v>229</v>
      </c>
      <c r="L185" s="5" t="s">
        <v>230</v>
      </c>
      <c r="M185" s="10" t="s">
        <v>21</v>
      </c>
      <c r="N185" s="10" t="s">
        <v>22</v>
      </c>
      <c r="O185" s="11" t="s">
        <v>478</v>
      </c>
      <c r="P185" s="5"/>
      <c r="Q185" s="5"/>
      <c r="R185" s="5"/>
      <c r="S185" s="5"/>
      <c r="T185" s="5"/>
    </row>
    <row r="186" ht="15.75" customHeight="1">
      <c r="A186" s="6" t="str">
        <f t="shared" si="1"/>
        <v>FIRST DISNEY TRIP DAD, 1378419918</v>
      </c>
      <c r="B186" s="7" t="s">
        <v>15</v>
      </c>
      <c r="C186" s="5"/>
      <c r="D186" s="5" t="s">
        <v>688</v>
      </c>
      <c r="E186" s="5"/>
      <c r="F186" s="8">
        <v>1.378419918E9</v>
      </c>
      <c r="G186" s="9" t="str">
        <f>HYPERLINK("https://www.etsy.com/listing/1378419918", "link")</f>
        <v>link</v>
      </c>
      <c r="H186" s="9" t="str">
        <f>HYPERLINK("https://atlas.etsycorp.com/listing/1378419918/lookup", "link")</f>
        <v>link</v>
      </c>
      <c r="I186" s="5" t="s">
        <v>689</v>
      </c>
      <c r="J186" s="5" t="s">
        <v>690</v>
      </c>
      <c r="K186" s="5" t="s">
        <v>19</v>
      </c>
      <c r="L186" s="5" t="s">
        <v>20</v>
      </c>
      <c r="M186" s="10" t="s">
        <v>21</v>
      </c>
      <c r="N186" s="10" t="s">
        <v>22</v>
      </c>
      <c r="O186" s="11" t="s">
        <v>478</v>
      </c>
      <c r="P186" s="5"/>
      <c r="Q186" s="5"/>
      <c r="R186" s="5"/>
      <c r="S186" s="5"/>
      <c r="T186" s="5"/>
    </row>
    <row r="187" ht="15.75" customHeight="1">
      <c r="A187" s="6" t="str">
        <f t="shared" si="1"/>
        <v>vintage rabbit decor, 118335551</v>
      </c>
      <c r="B187" s="7" t="s">
        <v>15</v>
      </c>
      <c r="C187" s="5"/>
      <c r="D187" s="5" t="s">
        <v>691</v>
      </c>
      <c r="E187" s="5"/>
      <c r="F187" s="8">
        <v>1.18335551E8</v>
      </c>
      <c r="G187" s="9" t="str">
        <f>HYPERLINK("https://www.etsy.com/listing/118335551", "link")</f>
        <v>link</v>
      </c>
      <c r="H187" s="9" t="str">
        <f>HYPERLINK("https://atlas.etsycorp.com/listing/118335551/lookup", "link")</f>
        <v>link</v>
      </c>
      <c r="I187" s="5" t="s">
        <v>692</v>
      </c>
      <c r="J187" s="5" t="s">
        <v>693</v>
      </c>
      <c r="K187" s="5" t="s">
        <v>19</v>
      </c>
      <c r="L187" s="5" t="s">
        <v>20</v>
      </c>
      <c r="M187" s="10" t="s">
        <v>21</v>
      </c>
      <c r="N187" s="10" t="s">
        <v>22</v>
      </c>
      <c r="O187" s="11" t="s">
        <v>478</v>
      </c>
      <c r="P187" s="5"/>
      <c r="Q187" s="5"/>
      <c r="R187" s="5"/>
      <c r="S187" s="5"/>
      <c r="T187" s="5"/>
    </row>
    <row r="188" ht="15.75" customHeight="1">
      <c r="A188" s="6" t="str">
        <f t="shared" si="1"/>
        <v>Coffee &amp; Tea BLOSSOM tea - Nordic blend,..., 1176050264</v>
      </c>
      <c r="B188" s="7" t="s">
        <v>24</v>
      </c>
      <c r="C188" s="7" t="s">
        <v>694</v>
      </c>
      <c r="D188" s="5" t="s">
        <v>695</v>
      </c>
      <c r="E188" s="5"/>
      <c r="F188" s="8">
        <v>1.176050264E9</v>
      </c>
      <c r="G188" s="9" t="str">
        <f>HYPERLINK("https://www.etsy.com/listing/1176050264", "link")</f>
        <v>link</v>
      </c>
      <c r="H188" s="9" t="str">
        <f>HYPERLINK("https://atlas.etsycorp.com/listing/1176050264/lookup", "link")</f>
        <v>link</v>
      </c>
      <c r="I188" s="5" t="s">
        <v>696</v>
      </c>
      <c r="J188" s="5" t="s">
        <v>697</v>
      </c>
      <c r="K188" s="5" t="s">
        <v>19</v>
      </c>
      <c r="L188" s="5" t="s">
        <v>73</v>
      </c>
      <c r="M188" s="10" t="s">
        <v>21</v>
      </c>
      <c r="N188" s="10" t="s">
        <v>22</v>
      </c>
      <c r="O188" s="11" t="s">
        <v>478</v>
      </c>
      <c r="P188" s="5"/>
      <c r="Q188" s="5"/>
      <c r="R188" s="5"/>
      <c r="S188" s="5"/>
      <c r="T188" s="5"/>
    </row>
    <row r="189" ht="15.75" customHeight="1">
      <c r="A189" s="6" t="str">
        <f t="shared" si="1"/>
        <v>pendurar puxador, 1084551110</v>
      </c>
      <c r="B189" s="7" t="s">
        <v>48</v>
      </c>
      <c r="C189" s="7"/>
      <c r="D189" s="5" t="s">
        <v>225</v>
      </c>
      <c r="E189" s="5" t="s">
        <v>226</v>
      </c>
      <c r="F189" s="8">
        <v>1.08455111E9</v>
      </c>
      <c r="G189" s="9" t="str">
        <f>HYPERLINK("https://www.etsy.com/listing/1084551110", "link")</f>
        <v>link</v>
      </c>
      <c r="H189" s="9" t="str">
        <f>HYPERLINK("https://atlas.etsycorp.com/listing/1084551110/lookup", "link")</f>
        <v>link</v>
      </c>
      <c r="I189" s="5" t="s">
        <v>698</v>
      </c>
      <c r="J189" s="5" t="s">
        <v>228</v>
      </c>
      <c r="K189" s="5" t="s">
        <v>229</v>
      </c>
      <c r="L189" s="5" t="s">
        <v>230</v>
      </c>
      <c r="M189" s="10" t="s">
        <v>21</v>
      </c>
      <c r="N189" s="10" t="s">
        <v>22</v>
      </c>
      <c r="O189" s="11" t="s">
        <v>478</v>
      </c>
      <c r="P189" s="5"/>
      <c r="Q189" s="5"/>
      <c r="R189" s="5"/>
      <c r="S189" s="5"/>
      <c r="T189" s="5"/>
    </row>
    <row r="190" ht="15.75" customHeight="1">
      <c r="A190" s="6" t="str">
        <f t="shared" si="1"/>
        <v>stanley cup, 1593045421</v>
      </c>
      <c r="B190" s="7" t="s">
        <v>24</v>
      </c>
      <c r="C190" s="7" t="s">
        <v>699</v>
      </c>
      <c r="D190" s="5" t="s">
        <v>700</v>
      </c>
      <c r="E190" s="5"/>
      <c r="F190" s="8">
        <v>1.593045421E9</v>
      </c>
      <c r="G190" s="9" t="str">
        <f>HYPERLINK("https://www.etsy.com/listing/1593045421", "link")</f>
        <v>link</v>
      </c>
      <c r="H190" s="9" t="str">
        <f>HYPERLINK("https://atlas.etsycorp.com/listing/1593045421/lookup", "link")</f>
        <v>link</v>
      </c>
      <c r="I190" s="5" t="s">
        <v>701</v>
      </c>
      <c r="J190" s="5" t="s">
        <v>702</v>
      </c>
      <c r="K190" s="5" t="s">
        <v>19</v>
      </c>
      <c r="L190" s="5" t="s">
        <v>41</v>
      </c>
      <c r="M190" s="10" t="s">
        <v>21</v>
      </c>
      <c r="N190" s="10" t="s">
        <v>22</v>
      </c>
      <c r="O190" s="11" t="s">
        <v>478</v>
      </c>
      <c r="P190" s="5"/>
      <c r="Q190" s="5"/>
      <c r="R190" s="5"/>
      <c r="S190" s="5"/>
      <c r="T190" s="5"/>
    </row>
    <row r="191" ht="15.75" customHeight="1">
      <c r="A191" s="6" t="str">
        <f t="shared" si="1"/>
        <v>45 long Colt single action revolver holster, 1046061990</v>
      </c>
      <c r="B191" s="7" t="s">
        <v>24</v>
      </c>
      <c r="C191" s="7" t="s">
        <v>703</v>
      </c>
      <c r="D191" s="5" t="s">
        <v>704</v>
      </c>
      <c r="E191" s="5"/>
      <c r="F191" s="8">
        <v>1.04606199E9</v>
      </c>
      <c r="G191" s="9" t="str">
        <f>HYPERLINK("https://www.etsy.com/listing/1046061990", "link")</f>
        <v>link</v>
      </c>
      <c r="H191" s="9" t="str">
        <f>HYPERLINK("https://atlas.etsycorp.com/listing/1046061990/lookup", "link")</f>
        <v>link</v>
      </c>
      <c r="I191" s="5" t="s">
        <v>705</v>
      </c>
      <c r="J191" s="5" t="s">
        <v>706</v>
      </c>
      <c r="K191" s="5" t="s">
        <v>19</v>
      </c>
      <c r="L191" s="5" t="s">
        <v>73</v>
      </c>
      <c r="M191" s="10" t="s">
        <v>21</v>
      </c>
      <c r="N191" s="10" t="s">
        <v>22</v>
      </c>
      <c r="O191" s="11" t="s">
        <v>478</v>
      </c>
      <c r="P191" s="5"/>
      <c r="Q191" s="5"/>
      <c r="R191" s="5"/>
      <c r="S191" s="5"/>
      <c r="T191" s="5"/>
    </row>
    <row r="192" ht="15.75" customHeight="1">
      <c r="A192" s="6" t="str">
        <f t="shared" si="1"/>
        <v>do all things with love sticker, 978233753</v>
      </c>
      <c r="B192" s="7" t="s">
        <v>24</v>
      </c>
      <c r="C192" s="7" t="s">
        <v>707</v>
      </c>
      <c r="D192" s="5" t="s">
        <v>708</v>
      </c>
      <c r="E192" s="5"/>
      <c r="F192" s="8">
        <v>9.78233753E8</v>
      </c>
      <c r="G192" s="9" t="str">
        <f>HYPERLINK("https://www.etsy.com/listing/978233753", "link")</f>
        <v>link</v>
      </c>
      <c r="H192" s="9" t="str">
        <f>HYPERLINK("https://atlas.etsycorp.com/listing/978233753/lookup", "link")</f>
        <v>link</v>
      </c>
      <c r="I192" s="5" t="s">
        <v>709</v>
      </c>
      <c r="J192" s="5" t="s">
        <v>710</v>
      </c>
      <c r="K192" s="5" t="s">
        <v>19</v>
      </c>
      <c r="L192" s="5" t="s">
        <v>73</v>
      </c>
      <c r="M192" s="10" t="s">
        <v>21</v>
      </c>
      <c r="N192" s="10" t="s">
        <v>22</v>
      </c>
      <c r="O192" s="11" t="s">
        <v>478</v>
      </c>
      <c r="P192" s="5"/>
      <c r="Q192" s="5"/>
      <c r="R192" s="5"/>
      <c r="S192" s="5"/>
      <c r="T192" s="5"/>
    </row>
    <row r="193" ht="15.75" customHeight="1">
      <c r="A193" s="6" t="str">
        <f t="shared" si="1"/>
        <v>musselin decke, 1425461208</v>
      </c>
      <c r="B193" s="7" t="s">
        <v>15</v>
      </c>
      <c r="C193" s="5"/>
      <c r="D193" s="5" t="s">
        <v>711</v>
      </c>
      <c r="E193" s="5" t="s">
        <v>712</v>
      </c>
      <c r="F193" s="8">
        <v>1.425461208E9</v>
      </c>
      <c r="G193" s="9" t="str">
        <f>HYPERLINK("https://www.etsy.com/listing/1425461208", "link")</f>
        <v>link</v>
      </c>
      <c r="H193" s="9" t="str">
        <f>HYPERLINK("https://atlas.etsycorp.com/listing/1425461208/lookup", "link")</f>
        <v>link</v>
      </c>
      <c r="I193" s="5" t="s">
        <v>713</v>
      </c>
      <c r="J193" s="5" t="s">
        <v>714</v>
      </c>
      <c r="K193" s="5" t="s">
        <v>46</v>
      </c>
      <c r="L193" s="5" t="s">
        <v>47</v>
      </c>
      <c r="M193" s="10" t="s">
        <v>21</v>
      </c>
      <c r="N193" s="10" t="s">
        <v>22</v>
      </c>
      <c r="O193" s="11" t="s">
        <v>478</v>
      </c>
      <c r="P193" s="5"/>
      <c r="Q193" s="5"/>
      <c r="R193" s="5"/>
      <c r="S193" s="5"/>
      <c r="T193" s="5"/>
    </row>
    <row r="194" ht="15.75" customHeight="1">
      <c r="A194" s="6" t="str">
        <f t="shared" si="1"/>
        <v>pattern journal, 1166539502</v>
      </c>
      <c r="B194" s="7" t="s">
        <v>15</v>
      </c>
      <c r="C194" s="5"/>
      <c r="D194" s="5" t="s">
        <v>715</v>
      </c>
      <c r="E194" s="5"/>
      <c r="F194" s="8">
        <v>1.166539502E9</v>
      </c>
      <c r="G194" s="9" t="str">
        <f>HYPERLINK("https://www.etsy.com/listing/1166539502", "link")</f>
        <v>link</v>
      </c>
      <c r="H194" s="9" t="str">
        <f>HYPERLINK("https://atlas.etsycorp.com/listing/1166539502/lookup", "link")</f>
        <v>link</v>
      </c>
      <c r="I194" s="5" t="s">
        <v>716</v>
      </c>
      <c r="J194" s="5" t="s">
        <v>717</v>
      </c>
      <c r="K194" s="5" t="s">
        <v>19</v>
      </c>
      <c r="L194" s="5" t="s">
        <v>41</v>
      </c>
      <c r="M194" s="10" t="s">
        <v>21</v>
      </c>
      <c r="N194" s="10" t="s">
        <v>22</v>
      </c>
      <c r="O194" s="11" t="s">
        <v>478</v>
      </c>
      <c r="P194" s="5"/>
      <c r="Q194" s="5"/>
      <c r="R194" s="5"/>
      <c r="S194" s="5"/>
      <c r="T194" s="5"/>
    </row>
    <row r="195" ht="15.75" customHeight="1">
      <c r="A195" s="6" t="str">
        <f t="shared" si="1"/>
        <v>swimsuit slut, 1540051603</v>
      </c>
      <c r="B195" s="7" t="s">
        <v>15</v>
      </c>
      <c r="C195" s="5"/>
      <c r="D195" s="5" t="s">
        <v>544</v>
      </c>
      <c r="E195" s="5" t="s">
        <v>544</v>
      </c>
      <c r="F195" s="8">
        <v>1.540051603E9</v>
      </c>
      <c r="G195" s="9" t="str">
        <f>HYPERLINK("https://www.etsy.com/listing/1540051603", "link")</f>
        <v>link</v>
      </c>
      <c r="H195" s="9" t="str">
        <f>HYPERLINK("https://atlas.etsycorp.com/listing/1540051603/lookup", "link")</f>
        <v>link</v>
      </c>
      <c r="I195" s="5" t="s">
        <v>718</v>
      </c>
      <c r="J195" s="5" t="s">
        <v>546</v>
      </c>
      <c r="K195" s="5" t="s">
        <v>35</v>
      </c>
      <c r="L195" s="5" t="s">
        <v>36</v>
      </c>
      <c r="M195" s="10" t="s">
        <v>21</v>
      </c>
      <c r="N195" s="10" t="s">
        <v>22</v>
      </c>
      <c r="O195" s="11" t="s">
        <v>478</v>
      </c>
      <c r="P195" s="5"/>
      <c r="Q195" s="5"/>
      <c r="R195" s="5"/>
      <c r="S195" s="5"/>
      <c r="T195" s="5"/>
    </row>
    <row r="196" ht="15.75" customHeight="1">
      <c r="A196" s="6" t="str">
        <f t="shared" si="1"/>
        <v>t shirt donna, 1301139242</v>
      </c>
      <c r="B196" s="7" t="s">
        <v>15</v>
      </c>
      <c r="C196" s="5"/>
      <c r="D196" s="5" t="s">
        <v>719</v>
      </c>
      <c r="E196" s="5" t="s">
        <v>720</v>
      </c>
      <c r="F196" s="8">
        <v>1.301139242E9</v>
      </c>
      <c r="G196" s="9" t="str">
        <f>HYPERLINK("https://www.etsy.com/listing/1301139242", "link")</f>
        <v>link</v>
      </c>
      <c r="H196" s="9" t="str">
        <f>HYPERLINK("https://atlas.etsycorp.com/listing/1301139242/lookup", "link")</f>
        <v>link</v>
      </c>
      <c r="I196" s="5" t="s">
        <v>721</v>
      </c>
      <c r="J196" s="5" t="s">
        <v>722</v>
      </c>
      <c r="K196" s="5" t="s">
        <v>80</v>
      </c>
      <c r="L196" s="5" t="s">
        <v>81</v>
      </c>
      <c r="M196" s="10" t="s">
        <v>21</v>
      </c>
      <c r="N196" s="10" t="s">
        <v>22</v>
      </c>
      <c r="O196" s="11" t="s">
        <v>478</v>
      </c>
      <c r="P196" s="5"/>
      <c r="Q196" s="5"/>
      <c r="R196" s="5"/>
      <c r="S196" s="5"/>
      <c r="T196" s="5"/>
    </row>
    <row r="197" ht="15.75" customHeight="1">
      <c r="A197" s="6" t="str">
        <f t="shared" si="1"/>
        <v>my orders placed, 613708533</v>
      </c>
      <c r="B197" s="7" t="s">
        <v>66</v>
      </c>
      <c r="C197" s="5"/>
      <c r="D197" s="5" t="s">
        <v>723</v>
      </c>
      <c r="E197" s="5"/>
      <c r="F197" s="8">
        <v>6.13708533E8</v>
      </c>
      <c r="G197" s="9" t="str">
        <f>HYPERLINK("https://www.etsy.com/listing/613708533", "link")</f>
        <v>link</v>
      </c>
      <c r="H197" s="9" t="str">
        <f>HYPERLINK("https://atlas.etsycorp.com/listing/613708533/lookup", "link")</f>
        <v>link</v>
      </c>
      <c r="I197" s="5" t="s">
        <v>724</v>
      </c>
      <c r="J197" s="5" t="s">
        <v>725</v>
      </c>
      <c r="K197" s="5" t="s">
        <v>19</v>
      </c>
      <c r="L197" s="5" t="s">
        <v>20</v>
      </c>
      <c r="M197" s="10" t="s">
        <v>21</v>
      </c>
      <c r="N197" s="10" t="s">
        <v>22</v>
      </c>
      <c r="O197" s="11" t="s">
        <v>478</v>
      </c>
      <c r="P197" s="5"/>
      <c r="Q197" s="5"/>
      <c r="R197" s="5"/>
      <c r="S197" s="5"/>
      <c r="T197" s="5"/>
    </row>
    <row r="198" ht="15.75" customHeight="1">
      <c r="A198" s="6" t="str">
        <f t="shared" si="1"/>
        <v>dumb pet tag, 1304459772</v>
      </c>
      <c r="B198" s="7" t="s">
        <v>15</v>
      </c>
      <c r="C198" s="7" t="s">
        <v>726</v>
      </c>
      <c r="D198" s="5" t="s">
        <v>727</v>
      </c>
      <c r="E198" s="5"/>
      <c r="F198" s="8">
        <v>1.304459772E9</v>
      </c>
      <c r="G198" s="9" t="str">
        <f>HYPERLINK("https://www.etsy.com/listing/1304459772", "link")</f>
        <v>link</v>
      </c>
      <c r="H198" s="9" t="str">
        <f>HYPERLINK("https://atlas.etsycorp.com/listing/1304459772/lookup", "link")</f>
        <v>link</v>
      </c>
      <c r="I198" s="5" t="s">
        <v>728</v>
      </c>
      <c r="J198" s="5" t="s">
        <v>729</v>
      </c>
      <c r="K198" s="5" t="s">
        <v>19</v>
      </c>
      <c r="L198" s="5" t="s">
        <v>41</v>
      </c>
      <c r="M198" s="10" t="s">
        <v>21</v>
      </c>
      <c r="N198" s="10" t="s">
        <v>22</v>
      </c>
      <c r="O198" s="11" t="s">
        <v>478</v>
      </c>
      <c r="P198" s="5"/>
      <c r="Q198" s="5"/>
      <c r="R198" s="5"/>
      <c r="S198" s="5"/>
      <c r="T198" s="5"/>
    </row>
    <row r="199" ht="15.75" customHeight="1">
      <c r="A199" s="6" t="str">
        <f t="shared" si="1"/>
        <v>handmade bracelet, 1018354002</v>
      </c>
      <c r="B199" s="7" t="s">
        <v>15</v>
      </c>
      <c r="C199" s="5"/>
      <c r="D199" s="5" t="s">
        <v>730</v>
      </c>
      <c r="E199" s="5"/>
      <c r="F199" s="8">
        <v>1.018354002E9</v>
      </c>
      <c r="G199" s="9" t="str">
        <f>HYPERLINK("https://www.etsy.com/listing/1018354002", "link")</f>
        <v>link</v>
      </c>
      <c r="H199" s="9" t="str">
        <f>HYPERLINK("https://atlas.etsycorp.com/listing/1018354002/lookup", "link")</f>
        <v>link</v>
      </c>
      <c r="I199" s="5" t="s">
        <v>731</v>
      </c>
      <c r="J199" s="5" t="s">
        <v>732</v>
      </c>
      <c r="K199" s="5" t="s">
        <v>120</v>
      </c>
      <c r="L199" s="5" t="s">
        <v>73</v>
      </c>
      <c r="M199" s="10" t="s">
        <v>21</v>
      </c>
      <c r="N199" s="10" t="s">
        <v>22</v>
      </c>
      <c r="O199" s="11" t="s">
        <v>478</v>
      </c>
      <c r="P199" s="5"/>
      <c r="Q199" s="5"/>
      <c r="R199" s="5"/>
      <c r="S199" s="5"/>
      <c r="T199" s="5"/>
    </row>
    <row r="200" ht="15.75" customHeight="1">
      <c r="A200" s="6" t="str">
        <f t="shared" si="1"/>
        <v>Sonnenschirm 60er kleiner, 1739140998</v>
      </c>
      <c r="B200" s="7" t="s">
        <v>15</v>
      </c>
      <c r="C200" s="5"/>
      <c r="D200" s="5" t="s">
        <v>733</v>
      </c>
      <c r="E200" s="5" t="s">
        <v>734</v>
      </c>
      <c r="F200" s="8">
        <v>1.739140998E9</v>
      </c>
      <c r="G200" s="9" t="str">
        <f>HYPERLINK("https://www.etsy.com/listing/1739140998", "link")</f>
        <v>link</v>
      </c>
      <c r="H200" s="9" t="str">
        <f>HYPERLINK("https://atlas.etsycorp.com/listing/1739140998/lookup", "link")</f>
        <v>link</v>
      </c>
      <c r="I200" s="5" t="s">
        <v>735</v>
      </c>
      <c r="J200" s="5" t="s">
        <v>736</v>
      </c>
      <c r="K200" s="5" t="s">
        <v>46</v>
      </c>
      <c r="L200" s="5" t="s">
        <v>47</v>
      </c>
      <c r="M200" s="10" t="s">
        <v>21</v>
      </c>
      <c r="N200" s="10" t="s">
        <v>22</v>
      </c>
      <c r="O200" s="11" t="s">
        <v>478</v>
      </c>
      <c r="P200" s="5"/>
      <c r="Q200" s="5"/>
      <c r="R200" s="5"/>
      <c r="S200" s="5"/>
      <c r="T200" s="5"/>
    </row>
    <row r="201" ht="15.75" customHeight="1">
      <c r="A201" s="6" t="str">
        <f t="shared" si="1"/>
        <v>gold earrings dangle 18k, 1328209949</v>
      </c>
      <c r="B201" s="7" t="s">
        <v>15</v>
      </c>
      <c r="C201" s="5"/>
      <c r="D201" s="5" t="s">
        <v>737</v>
      </c>
      <c r="E201" s="5"/>
      <c r="F201" s="8">
        <v>1.328209949E9</v>
      </c>
      <c r="G201" s="9" t="str">
        <f>HYPERLINK("https://www.etsy.com/listing/1328209949", "link")</f>
        <v>link</v>
      </c>
      <c r="H201" s="9" t="str">
        <f>HYPERLINK("https://atlas.etsycorp.com/listing/1328209949/lookup", "link")</f>
        <v>link</v>
      </c>
      <c r="I201" s="5" t="s">
        <v>738</v>
      </c>
      <c r="J201" s="5" t="s">
        <v>739</v>
      </c>
      <c r="K201" s="5" t="s">
        <v>19</v>
      </c>
      <c r="L201" s="5" t="s">
        <v>73</v>
      </c>
      <c r="M201" s="10" t="s">
        <v>21</v>
      </c>
      <c r="N201" s="10" t="s">
        <v>22</v>
      </c>
      <c r="O201" s="11" t="s">
        <v>478</v>
      </c>
      <c r="P201" s="5"/>
      <c r="Q201" s="5"/>
      <c r="R201" s="5"/>
      <c r="S201" s="5"/>
      <c r="T201" s="5"/>
    </row>
    <row r="202" ht="15.75" customHeight="1">
      <c r="A202" s="6" t="str">
        <f t="shared" si="1"/>
        <v>CUERDA fujifilm xt5, 972107509</v>
      </c>
      <c r="B202" s="7" t="s">
        <v>24</v>
      </c>
      <c r="C202" s="7" t="s">
        <v>740</v>
      </c>
      <c r="D202" s="5" t="s">
        <v>741</v>
      </c>
      <c r="E202" s="5" t="s">
        <v>742</v>
      </c>
      <c r="F202" s="8">
        <v>9.72107509E8</v>
      </c>
      <c r="G202" s="9" t="str">
        <f>HYPERLINK("https://www.etsy.com/listing/972107509", "link")</f>
        <v>link</v>
      </c>
      <c r="H202" s="9" t="str">
        <f>HYPERLINK("https://atlas.etsycorp.com/listing/972107509/lookup", "link")</f>
        <v>link</v>
      </c>
      <c r="I202" s="5" t="s">
        <v>743</v>
      </c>
      <c r="J202" s="5" t="s">
        <v>744</v>
      </c>
      <c r="K202" s="5" t="s">
        <v>29</v>
      </c>
      <c r="L202" s="5" t="s">
        <v>30</v>
      </c>
      <c r="M202" s="10" t="s">
        <v>21</v>
      </c>
      <c r="N202" s="10" t="s">
        <v>22</v>
      </c>
      <c r="O202" s="11" t="s">
        <v>478</v>
      </c>
      <c r="P202" s="5"/>
      <c r="Q202" s="5"/>
      <c r="R202" s="5"/>
      <c r="S202" s="5"/>
      <c r="T202" s="5"/>
    </row>
    <row r="203" ht="15.75" customHeight="1">
      <c r="A203" s="6" t="str">
        <f t="shared" si="1"/>
        <v>woollen blanket, 1482766233</v>
      </c>
      <c r="B203" s="7" t="s">
        <v>48</v>
      </c>
      <c r="C203" s="7" t="s">
        <v>745</v>
      </c>
      <c r="D203" s="5" t="s">
        <v>746</v>
      </c>
      <c r="E203" s="5"/>
      <c r="F203" s="8">
        <v>1.482766233E9</v>
      </c>
      <c r="G203" s="9" t="str">
        <f>HYPERLINK("https://www.etsy.com/listing/1482766233", "link")</f>
        <v>link</v>
      </c>
      <c r="H203" s="9" t="str">
        <f>HYPERLINK("https://atlas.etsycorp.com/listing/1482766233/lookup", "link")</f>
        <v>link</v>
      </c>
      <c r="I203" s="5" t="s">
        <v>747</v>
      </c>
      <c r="J203" s="5" t="s">
        <v>748</v>
      </c>
      <c r="K203" s="5" t="s">
        <v>120</v>
      </c>
      <c r="L203" s="5" t="s">
        <v>73</v>
      </c>
      <c r="M203" s="10" t="s">
        <v>21</v>
      </c>
      <c r="N203" s="10" t="s">
        <v>22</v>
      </c>
      <c r="O203" s="11" t="s">
        <v>478</v>
      </c>
      <c r="P203" s="5"/>
      <c r="Q203" s="5"/>
      <c r="R203" s="5"/>
      <c r="S203" s="5"/>
      <c r="T203" s="5"/>
    </row>
    <row r="204" ht="15.75" customHeight="1">
      <c r="A204" s="6" t="str">
        <f t="shared" si="1"/>
        <v>flight attendant gifts, 1085158673</v>
      </c>
      <c r="B204" s="7" t="s">
        <v>15</v>
      </c>
      <c r="C204" s="7"/>
      <c r="D204" s="5" t="s">
        <v>749</v>
      </c>
      <c r="E204" s="5"/>
      <c r="F204" s="8">
        <v>1.085158673E9</v>
      </c>
      <c r="G204" s="9" t="str">
        <f>HYPERLINK("https://www.etsy.com/listing/1085158673", "link")</f>
        <v>link</v>
      </c>
      <c r="H204" s="9" t="str">
        <f>HYPERLINK("https://atlas.etsycorp.com/listing/1085158673/lookup", "link")</f>
        <v>link</v>
      </c>
      <c r="I204" s="5" t="s">
        <v>750</v>
      </c>
      <c r="J204" s="5" t="s">
        <v>751</v>
      </c>
      <c r="K204" s="5" t="s">
        <v>120</v>
      </c>
      <c r="L204" s="5" t="s">
        <v>100</v>
      </c>
      <c r="M204" s="10" t="s">
        <v>21</v>
      </c>
      <c r="N204" s="10" t="s">
        <v>22</v>
      </c>
      <c r="O204" s="11" t="s">
        <v>478</v>
      </c>
      <c r="P204" s="5"/>
      <c r="Q204" s="5"/>
      <c r="R204" s="5"/>
      <c r="S204" s="5"/>
      <c r="T204" s="5"/>
    </row>
    <row r="205" ht="15.75" customHeight="1">
      <c r="A205" s="6" t="str">
        <f t="shared" si="1"/>
        <v>urlaub karte, 1093665630</v>
      </c>
      <c r="B205" s="7" t="s">
        <v>15</v>
      </c>
      <c r="C205" s="5"/>
      <c r="D205" s="5" t="s">
        <v>752</v>
      </c>
      <c r="E205" s="5" t="s">
        <v>753</v>
      </c>
      <c r="F205" s="8">
        <v>1.09366563E9</v>
      </c>
      <c r="G205" s="9" t="str">
        <f>HYPERLINK("https://www.etsy.com/listing/1093665630", "link")</f>
        <v>link</v>
      </c>
      <c r="H205" s="9" t="str">
        <f>HYPERLINK("https://atlas.etsycorp.com/listing/1093665630/lookup", "link")</f>
        <v>link</v>
      </c>
      <c r="I205" s="5" t="s">
        <v>754</v>
      </c>
      <c r="J205" s="5" t="s">
        <v>755</v>
      </c>
      <c r="K205" s="5" t="s">
        <v>46</v>
      </c>
      <c r="L205" s="5" t="s">
        <v>47</v>
      </c>
      <c r="M205" s="10" t="s">
        <v>21</v>
      </c>
      <c r="N205" s="10" t="s">
        <v>22</v>
      </c>
      <c r="O205" s="11" t="s">
        <v>478</v>
      </c>
      <c r="P205" s="5"/>
      <c r="Q205" s="5"/>
      <c r="R205" s="5"/>
      <c r="S205" s="5"/>
      <c r="T205" s="5"/>
    </row>
    <row r="206" ht="15.75" customHeight="1">
      <c r="A206" s="6" t="str">
        <f t="shared" si="1"/>
        <v>travel accessories, 1706475096</v>
      </c>
      <c r="B206" s="7" t="s">
        <v>15</v>
      </c>
      <c r="C206" s="5"/>
      <c r="D206" s="5" t="s">
        <v>506</v>
      </c>
      <c r="E206" s="5" t="s">
        <v>756</v>
      </c>
      <c r="F206" s="8">
        <v>1.706475096E9</v>
      </c>
      <c r="G206" s="9" t="str">
        <f>HYPERLINK("https://www.etsy.com/listing/1706475096", "link")</f>
        <v>link</v>
      </c>
      <c r="H206" s="9" t="str">
        <f>HYPERLINK("https://atlas.etsycorp.com/listing/1706475096/lookup", "link")</f>
        <v>link</v>
      </c>
      <c r="I206" s="5" t="s">
        <v>757</v>
      </c>
      <c r="J206" s="5" t="s">
        <v>758</v>
      </c>
      <c r="K206" s="5" t="s">
        <v>759</v>
      </c>
      <c r="L206" s="5" t="s">
        <v>760</v>
      </c>
      <c r="M206" s="10" t="s">
        <v>21</v>
      </c>
      <c r="N206" s="10" t="s">
        <v>22</v>
      </c>
      <c r="O206" s="11" t="s">
        <v>478</v>
      </c>
      <c r="P206" s="5"/>
      <c r="Q206" s="5"/>
      <c r="R206" s="5"/>
      <c r="S206" s="5"/>
      <c r="T206" s="5"/>
    </row>
    <row r="207" ht="15.75" customHeight="1">
      <c r="A207" s="6" t="str">
        <f t="shared" si="1"/>
        <v>painting cartoon, 1625961923</v>
      </c>
      <c r="B207" s="7" t="s">
        <v>15</v>
      </c>
      <c r="C207" s="5"/>
      <c r="D207" s="5" t="s">
        <v>761</v>
      </c>
      <c r="E207" s="5"/>
      <c r="F207" s="8">
        <v>1.625961923E9</v>
      </c>
      <c r="G207" s="9" t="str">
        <f>HYPERLINK("https://www.etsy.com/listing/1625961923", "link")</f>
        <v>link</v>
      </c>
      <c r="H207" s="9" t="str">
        <f>HYPERLINK("https://atlas.etsycorp.com/listing/1625961923/lookup", "link")</f>
        <v>link</v>
      </c>
      <c r="I207" s="5" t="s">
        <v>762</v>
      </c>
      <c r="J207" s="5" t="s">
        <v>763</v>
      </c>
      <c r="K207" s="5" t="s">
        <v>19</v>
      </c>
      <c r="L207" s="5" t="s">
        <v>73</v>
      </c>
      <c r="M207" s="10" t="s">
        <v>21</v>
      </c>
      <c r="N207" s="10" t="s">
        <v>22</v>
      </c>
      <c r="O207" s="11" t="s">
        <v>478</v>
      </c>
      <c r="P207" s="5"/>
      <c r="Q207" s="5"/>
      <c r="R207" s="5"/>
      <c r="S207" s="5"/>
      <c r="T207" s="5"/>
    </row>
    <row r="208" ht="15.75" customHeight="1">
      <c r="A208" s="6" t="str">
        <f t="shared" si="1"/>
        <v>george russell, 1609523086</v>
      </c>
      <c r="B208" s="7" t="s">
        <v>15</v>
      </c>
      <c r="C208" s="5"/>
      <c r="D208" s="5" t="s">
        <v>764</v>
      </c>
      <c r="E208" s="5" t="s">
        <v>764</v>
      </c>
      <c r="F208" s="8">
        <v>1.609523086E9</v>
      </c>
      <c r="G208" s="9" t="str">
        <f>HYPERLINK("https://www.etsy.com/listing/1609523086", "link")</f>
        <v>link</v>
      </c>
      <c r="H208" s="9" t="str">
        <f>HYPERLINK("https://atlas.etsycorp.com/listing/1609523086/lookup", "link")</f>
        <v>link</v>
      </c>
      <c r="I208" s="5" t="s">
        <v>765</v>
      </c>
      <c r="J208" s="5" t="s">
        <v>766</v>
      </c>
      <c r="K208" s="5" t="s">
        <v>80</v>
      </c>
      <c r="L208" s="5" t="s">
        <v>81</v>
      </c>
      <c r="M208" s="10" t="s">
        <v>21</v>
      </c>
      <c r="N208" s="10" t="s">
        <v>22</v>
      </c>
      <c r="O208" s="11" t="s">
        <v>478</v>
      </c>
      <c r="P208" s="5"/>
      <c r="Q208" s="5"/>
      <c r="R208" s="5"/>
      <c r="S208" s="5"/>
      <c r="T208" s="5"/>
    </row>
    <row r="209" ht="15.75" customHeight="1">
      <c r="A209" s="6" t="str">
        <f t="shared" si="1"/>
        <v>broeken, 628806366</v>
      </c>
      <c r="B209" s="7" t="s">
        <v>15</v>
      </c>
      <c r="C209" s="7" t="s">
        <v>767</v>
      </c>
      <c r="D209" s="5" t="s">
        <v>768</v>
      </c>
      <c r="E209" s="5" t="s">
        <v>769</v>
      </c>
      <c r="F209" s="8">
        <v>6.28806366E8</v>
      </c>
      <c r="G209" s="9" t="str">
        <f>HYPERLINK("https://www.etsy.com/listing/628806366", "link")</f>
        <v>link</v>
      </c>
      <c r="H209" s="9" t="str">
        <f>HYPERLINK("https://atlas.etsycorp.com/listing/628806366/lookup", "link")</f>
        <v>link</v>
      </c>
      <c r="I209" s="5" t="s">
        <v>770</v>
      </c>
      <c r="J209" s="5" t="s">
        <v>771</v>
      </c>
      <c r="K209" s="5" t="s">
        <v>35</v>
      </c>
      <c r="L209" s="5" t="s">
        <v>36</v>
      </c>
      <c r="M209" s="10" t="s">
        <v>21</v>
      </c>
      <c r="N209" s="10" t="s">
        <v>22</v>
      </c>
      <c r="O209" s="11" t="s">
        <v>478</v>
      </c>
      <c r="P209" s="5"/>
      <c r="Q209" s="5"/>
      <c r="R209" s="5"/>
      <c r="S209" s="5"/>
      <c r="T209" s="5"/>
    </row>
    <row r="210" ht="15.75" customHeight="1">
      <c r="A210" s="6" t="str">
        <f t="shared" si="1"/>
        <v>90s polo sport tags, 1470049686</v>
      </c>
      <c r="B210" s="7" t="s">
        <v>48</v>
      </c>
      <c r="C210" s="5"/>
      <c r="D210" s="5" t="s">
        <v>772</v>
      </c>
      <c r="E210" s="5"/>
      <c r="F210" s="8">
        <v>1.470049686E9</v>
      </c>
      <c r="G210" s="9" t="str">
        <f>HYPERLINK("https://www.etsy.com/listing/1470049686", "link")</f>
        <v>link</v>
      </c>
      <c r="H210" s="9" t="str">
        <f>HYPERLINK("https://atlas.etsycorp.com/listing/1470049686/lookup", "link")</f>
        <v>link</v>
      </c>
      <c r="I210" s="5" t="s">
        <v>773</v>
      </c>
      <c r="J210" s="5" t="s">
        <v>774</v>
      </c>
      <c r="K210" s="5" t="s">
        <v>19</v>
      </c>
      <c r="L210" s="5" t="s">
        <v>73</v>
      </c>
      <c r="M210" s="10" t="s">
        <v>21</v>
      </c>
      <c r="N210" s="10" t="s">
        <v>22</v>
      </c>
      <c r="O210" s="11" t="s">
        <v>478</v>
      </c>
      <c r="P210" s="5"/>
      <c r="Q210" s="5"/>
      <c r="R210" s="5"/>
      <c r="S210" s="5"/>
      <c r="T210" s="5"/>
    </row>
    <row r="211" ht="15.75" customHeight="1">
      <c r="A211" s="6" t="str">
        <f t="shared" si="1"/>
        <v>wedding gift, 1490399459</v>
      </c>
      <c r="B211" s="7" t="s">
        <v>15</v>
      </c>
      <c r="C211" s="5"/>
      <c r="D211" s="5" t="s">
        <v>775</v>
      </c>
      <c r="E211" s="5"/>
      <c r="F211" s="8">
        <v>1.490399459E9</v>
      </c>
      <c r="G211" s="9" t="str">
        <f>HYPERLINK("https://www.etsy.com/listing/1490399459", "link")</f>
        <v>link</v>
      </c>
      <c r="H211" s="9" t="str">
        <f>HYPERLINK("https://atlas.etsycorp.com/listing/1490399459/lookup", "link")</f>
        <v>link</v>
      </c>
      <c r="I211" s="5" t="s">
        <v>776</v>
      </c>
      <c r="J211" s="5" t="s">
        <v>777</v>
      </c>
      <c r="K211" s="5" t="s">
        <v>19</v>
      </c>
      <c r="L211" s="5" t="s">
        <v>20</v>
      </c>
      <c r="M211" s="10" t="s">
        <v>21</v>
      </c>
      <c r="N211" s="10" t="s">
        <v>22</v>
      </c>
      <c r="O211" s="11" t="s">
        <v>478</v>
      </c>
      <c r="P211" s="5"/>
      <c r="Q211" s="5"/>
      <c r="R211" s="5"/>
      <c r="S211" s="5"/>
      <c r="T211" s="5"/>
    </row>
    <row r="212" ht="15.75" customHeight="1">
      <c r="A212" s="6" t="str">
        <f t="shared" si="1"/>
        <v>teacher appreciation gift, 1377489767</v>
      </c>
      <c r="B212" s="7" t="s">
        <v>15</v>
      </c>
      <c r="C212" s="5"/>
      <c r="D212" s="5" t="s">
        <v>778</v>
      </c>
      <c r="E212" s="5" t="s">
        <v>778</v>
      </c>
      <c r="F212" s="8">
        <v>1.377489767E9</v>
      </c>
      <c r="G212" s="9" t="str">
        <f>HYPERLINK("https://www.etsy.com/listing/1377489767", "link")</f>
        <v>link</v>
      </c>
      <c r="H212" s="9" t="str">
        <f>HYPERLINK("https://atlas.etsycorp.com/listing/1377489767/lookup", "link")</f>
        <v>link</v>
      </c>
      <c r="I212" s="5" t="s">
        <v>779</v>
      </c>
      <c r="J212" s="5" t="s">
        <v>780</v>
      </c>
      <c r="K212" s="5" t="s">
        <v>35</v>
      </c>
      <c r="L212" s="5" t="s">
        <v>36</v>
      </c>
      <c r="M212" s="10" t="s">
        <v>21</v>
      </c>
      <c r="N212" s="10" t="s">
        <v>22</v>
      </c>
      <c r="O212" s="11" t="s">
        <v>478</v>
      </c>
      <c r="P212" s="5"/>
      <c r="Q212" s="5"/>
      <c r="R212" s="5"/>
      <c r="S212" s="5"/>
      <c r="T212" s="5"/>
    </row>
    <row r="213" ht="15.75" customHeight="1">
      <c r="A213" s="6" t="str">
        <f t="shared" si="1"/>
        <v>scott pilgrim, 1611366257</v>
      </c>
      <c r="B213" s="7" t="s">
        <v>15</v>
      </c>
      <c r="C213" s="5"/>
      <c r="D213" s="5" t="s">
        <v>339</v>
      </c>
      <c r="E213" s="5" t="s">
        <v>339</v>
      </c>
      <c r="F213" s="8">
        <v>1.611366257E9</v>
      </c>
      <c r="G213" s="9" t="str">
        <f>HYPERLINK("https://www.etsy.com/listing/1611366257", "link")</f>
        <v>link</v>
      </c>
      <c r="H213" s="9" t="str">
        <f>HYPERLINK("https://atlas.etsycorp.com/listing/1611366257/lookup", "link")</f>
        <v>link</v>
      </c>
      <c r="I213" s="5" t="s">
        <v>781</v>
      </c>
      <c r="J213" s="5" t="s">
        <v>341</v>
      </c>
      <c r="K213" s="5" t="s">
        <v>29</v>
      </c>
      <c r="L213" s="5" t="s">
        <v>30</v>
      </c>
      <c r="M213" s="10" t="s">
        <v>21</v>
      </c>
      <c r="N213" s="10" t="s">
        <v>22</v>
      </c>
      <c r="O213" s="11" t="s">
        <v>478</v>
      </c>
      <c r="P213" s="5"/>
      <c r="Q213" s="5"/>
      <c r="R213" s="5"/>
      <c r="S213" s="5"/>
      <c r="T213" s="5"/>
    </row>
    <row r="214" ht="15.75" customHeight="1">
      <c r="A214" s="6" t="str">
        <f t="shared" si="1"/>
        <v>freestyle libre 2, 931846275</v>
      </c>
      <c r="B214" s="7" t="s">
        <v>24</v>
      </c>
      <c r="C214" s="7" t="s">
        <v>782</v>
      </c>
      <c r="D214" s="5" t="s">
        <v>783</v>
      </c>
      <c r="E214" s="5" t="s">
        <v>784</v>
      </c>
      <c r="F214" s="8">
        <v>9.31846275E8</v>
      </c>
      <c r="G214" s="9" t="str">
        <f>HYPERLINK("https://www.etsy.com/listing/931846275", "link")</f>
        <v>link</v>
      </c>
      <c r="H214" s="9" t="str">
        <f>HYPERLINK("https://atlas.etsycorp.com/listing/931846275/lookup", "link")</f>
        <v>link</v>
      </c>
      <c r="I214" s="5" t="s">
        <v>785</v>
      </c>
      <c r="J214" s="5" t="s">
        <v>786</v>
      </c>
      <c r="K214" s="5" t="s">
        <v>80</v>
      </c>
      <c r="L214" s="5" t="s">
        <v>81</v>
      </c>
      <c r="M214" s="10" t="s">
        <v>21</v>
      </c>
      <c r="N214" s="10" t="s">
        <v>22</v>
      </c>
      <c r="O214" s="11" t="s">
        <v>478</v>
      </c>
      <c r="P214" s="5"/>
      <c r="Q214" s="5"/>
      <c r="R214" s="5"/>
      <c r="S214" s="5"/>
      <c r="T214" s="5"/>
    </row>
    <row r="215" ht="15.75" customHeight="1">
      <c r="A215" s="6" t="str">
        <f t="shared" si="1"/>
        <v>maddycatquilts, 1663193441</v>
      </c>
      <c r="B215" s="7" t="s">
        <v>459</v>
      </c>
      <c r="C215" s="5"/>
      <c r="D215" s="5" t="s">
        <v>787</v>
      </c>
      <c r="E215" s="5"/>
      <c r="F215" s="8">
        <v>1.663193441E9</v>
      </c>
      <c r="G215" s="9" t="str">
        <f>HYPERLINK("https://www.etsy.com/listing/1663193441", "link")</f>
        <v>link</v>
      </c>
      <c r="H215" s="9" t="str">
        <f>HYPERLINK("https://atlas.etsycorp.com/listing/1663193441/lookup", "link")</f>
        <v>link</v>
      </c>
      <c r="I215" s="5" t="s">
        <v>788</v>
      </c>
      <c r="J215" s="5" t="s">
        <v>789</v>
      </c>
      <c r="K215" s="5" t="s">
        <v>19</v>
      </c>
      <c r="L215" s="5" t="s">
        <v>20</v>
      </c>
      <c r="M215" s="10" t="s">
        <v>21</v>
      </c>
      <c r="N215" s="10" t="s">
        <v>22</v>
      </c>
      <c r="O215" s="11" t="s">
        <v>478</v>
      </c>
      <c r="P215" s="5"/>
      <c r="Q215" s="5"/>
      <c r="R215" s="5"/>
      <c r="S215" s="5"/>
      <c r="T215" s="5"/>
    </row>
    <row r="216" ht="15.75" customHeight="1">
      <c r="A216" s="6" t="str">
        <f t="shared" si="1"/>
        <v>link, 1643976404</v>
      </c>
      <c r="B216" s="5"/>
      <c r="C216" s="5"/>
      <c r="D216" s="6" t="str">
        <f>TEXTJOIN(", ", TRUE, E216, G216)</f>
        <v>link</v>
      </c>
      <c r="E216" s="5"/>
      <c r="F216" s="8">
        <v>1.643976404E9</v>
      </c>
      <c r="G216" s="9" t="str">
        <f>HYPERLINK("https://www.etsy.com/listing/1643976404", "link")</f>
        <v>link</v>
      </c>
      <c r="H216" s="9" t="str">
        <f>HYPERLINK("https://atlas.etsycorp.com/listing/1643976404/lookup", "link")</f>
        <v>link</v>
      </c>
      <c r="I216" s="5" t="s">
        <v>790</v>
      </c>
      <c r="J216" s="5" t="s">
        <v>791</v>
      </c>
      <c r="K216" s="5" t="s">
        <v>19</v>
      </c>
      <c r="L216" s="5" t="s">
        <v>41</v>
      </c>
      <c r="M216" s="10" t="s">
        <v>21</v>
      </c>
      <c r="N216" s="10" t="s">
        <v>22</v>
      </c>
      <c r="O216" s="11" t="s">
        <v>478</v>
      </c>
      <c r="P216" s="5"/>
      <c r="Q216" s="5"/>
      <c r="R216" s="5"/>
      <c r="S216" s="5"/>
      <c r="T216" s="5"/>
    </row>
    <row r="217" ht="15.75" customHeight="1">
      <c r="A217" s="6" t="str">
        <f t="shared" si="1"/>
        <v>marti bracelet, 926897300</v>
      </c>
      <c r="B217" s="7" t="s">
        <v>15</v>
      </c>
      <c r="C217" s="5"/>
      <c r="D217" s="5" t="s">
        <v>792</v>
      </c>
      <c r="E217" s="5"/>
      <c r="F217" s="8">
        <v>9.268973E8</v>
      </c>
      <c r="G217" s="9" t="str">
        <f>HYPERLINK("https://www.etsy.com/listing/926897300", "link")</f>
        <v>link</v>
      </c>
      <c r="H217" s="9" t="str">
        <f>HYPERLINK("https://atlas.etsycorp.com/listing/926897300/lookup", "link")</f>
        <v>link</v>
      </c>
      <c r="I217" s="5" t="s">
        <v>793</v>
      </c>
      <c r="J217" s="5" t="s">
        <v>794</v>
      </c>
      <c r="K217" s="5" t="s">
        <v>19</v>
      </c>
      <c r="L217" s="5" t="s">
        <v>73</v>
      </c>
      <c r="M217" s="10" t="s">
        <v>21</v>
      </c>
      <c r="N217" s="10" t="s">
        <v>22</v>
      </c>
      <c r="O217" s="11" t="s">
        <v>478</v>
      </c>
      <c r="P217" s="5"/>
      <c r="Q217" s="5"/>
      <c r="R217" s="5"/>
      <c r="S217" s="5"/>
      <c r="T217" s="5"/>
    </row>
    <row r="218" ht="15.75" customHeight="1">
      <c r="A218" s="6" t="str">
        <f t="shared" si="1"/>
        <v>home gift, 1326183511</v>
      </c>
      <c r="B218" s="7" t="s">
        <v>15</v>
      </c>
      <c r="C218" s="5"/>
      <c r="D218" s="5" t="s">
        <v>795</v>
      </c>
      <c r="E218" s="5"/>
      <c r="F218" s="8">
        <v>1.326183511E9</v>
      </c>
      <c r="G218" s="9" t="str">
        <f>HYPERLINK("https://www.etsy.com/listing/1326183511", "link")</f>
        <v>link</v>
      </c>
      <c r="H218" s="9" t="str">
        <f>HYPERLINK("https://atlas.etsycorp.com/listing/1326183511/lookup", "link")</f>
        <v>link</v>
      </c>
      <c r="I218" s="5" t="s">
        <v>796</v>
      </c>
      <c r="J218" s="5" t="s">
        <v>797</v>
      </c>
      <c r="K218" s="5" t="s">
        <v>19</v>
      </c>
      <c r="L218" s="5" t="s">
        <v>20</v>
      </c>
      <c r="M218" s="10" t="s">
        <v>21</v>
      </c>
      <c r="N218" s="10" t="s">
        <v>22</v>
      </c>
      <c r="O218" s="11" t="s">
        <v>478</v>
      </c>
      <c r="P218" s="5"/>
      <c r="Q218" s="5"/>
      <c r="R218" s="5"/>
      <c r="S218" s="5"/>
      <c r="T218" s="5"/>
    </row>
    <row r="219" ht="15.75" customHeight="1">
      <c r="A219" s="6" t="str">
        <f t="shared" si="1"/>
        <v>monalisa prendedor, 1279171034</v>
      </c>
      <c r="B219" s="7" t="s">
        <v>24</v>
      </c>
      <c r="C219" s="7" t="s">
        <v>798</v>
      </c>
      <c r="D219" s="5" t="s">
        <v>420</v>
      </c>
      <c r="E219" s="5" t="s">
        <v>421</v>
      </c>
      <c r="F219" s="8">
        <v>1.279171034E9</v>
      </c>
      <c r="G219" s="9" t="str">
        <f>HYPERLINK("https://www.etsy.com/listing/1279171034", "link")</f>
        <v>link</v>
      </c>
      <c r="H219" s="9" t="str">
        <f>HYPERLINK("https://atlas.etsycorp.com/listing/1279171034/lookup", "link")</f>
        <v>link</v>
      </c>
      <c r="I219" s="5" t="s">
        <v>799</v>
      </c>
      <c r="J219" s="5" t="s">
        <v>423</v>
      </c>
      <c r="K219" s="5" t="s">
        <v>229</v>
      </c>
      <c r="L219" s="5" t="s">
        <v>230</v>
      </c>
      <c r="M219" s="10" t="s">
        <v>21</v>
      </c>
      <c r="N219" s="10" t="s">
        <v>22</v>
      </c>
      <c r="O219" s="11" t="s">
        <v>478</v>
      </c>
      <c r="P219" s="5"/>
      <c r="Q219" s="5"/>
      <c r="R219" s="5"/>
      <c r="S219" s="5"/>
      <c r="T219" s="5"/>
    </row>
    <row r="220" ht="15.75" customHeight="1">
      <c r="A220" s="6" t="str">
        <f t="shared" si="1"/>
        <v>whole cow leather, 1651471844</v>
      </c>
      <c r="B220" s="7" t="s">
        <v>15</v>
      </c>
      <c r="C220" s="5"/>
      <c r="D220" s="5" t="s">
        <v>800</v>
      </c>
      <c r="E220" s="5"/>
      <c r="F220" s="8">
        <v>1.651471844E9</v>
      </c>
      <c r="G220" s="9" t="str">
        <f>HYPERLINK("https://www.etsy.com/listing/1651471844", "link")</f>
        <v>link</v>
      </c>
      <c r="H220" s="9" t="str">
        <f>HYPERLINK("https://atlas.etsycorp.com/listing/1651471844/lookup", "link")</f>
        <v>link</v>
      </c>
      <c r="I220" s="5" t="s">
        <v>801</v>
      </c>
      <c r="J220" s="5" t="s">
        <v>802</v>
      </c>
      <c r="K220" s="5" t="s">
        <v>19</v>
      </c>
      <c r="L220" s="5" t="s">
        <v>73</v>
      </c>
      <c r="M220" s="10" t="s">
        <v>21</v>
      </c>
      <c r="N220" s="10" t="s">
        <v>22</v>
      </c>
      <c r="O220" s="11" t="s">
        <v>478</v>
      </c>
      <c r="P220" s="5"/>
      <c r="Q220" s="5"/>
      <c r="R220" s="5"/>
      <c r="S220" s="5"/>
      <c r="T220" s="5"/>
    </row>
    <row r="221" ht="15.75" customHeight="1">
      <c r="A221" s="6" t="str">
        <f t="shared" si="1"/>
        <v>small stained glass window film green, 1566401257</v>
      </c>
      <c r="B221" s="7" t="s">
        <v>15</v>
      </c>
      <c r="C221" s="5"/>
      <c r="D221" s="5" t="s">
        <v>803</v>
      </c>
      <c r="E221" s="5"/>
      <c r="F221" s="8">
        <v>1.566401257E9</v>
      </c>
      <c r="G221" s="9" t="str">
        <f>HYPERLINK("https://www.etsy.com/listing/1566401257", "link")</f>
        <v>link</v>
      </c>
      <c r="H221" s="9" t="str">
        <f>HYPERLINK("https://atlas.etsycorp.com/listing/1566401257/lookup", "link")</f>
        <v>link</v>
      </c>
      <c r="I221" s="5" t="s">
        <v>804</v>
      </c>
      <c r="J221" s="5" t="s">
        <v>805</v>
      </c>
      <c r="K221" s="5" t="s">
        <v>120</v>
      </c>
      <c r="L221" s="5" t="s">
        <v>73</v>
      </c>
      <c r="M221" s="10" t="s">
        <v>21</v>
      </c>
      <c r="N221" s="10" t="s">
        <v>22</v>
      </c>
      <c r="O221" s="11" t="s">
        <v>478</v>
      </c>
      <c r="P221" s="5"/>
      <c r="Q221" s="5"/>
      <c r="R221" s="5"/>
      <c r="S221" s="5"/>
      <c r="T221" s="5"/>
    </row>
    <row r="222" ht="15.75" customHeight="1">
      <c r="A222" s="6" t="str">
        <f t="shared" si="1"/>
        <v>essig öl, 1649030502</v>
      </c>
      <c r="B222" s="7" t="s">
        <v>24</v>
      </c>
      <c r="C222" s="7" t="s">
        <v>806</v>
      </c>
      <c r="D222" s="5" t="s">
        <v>807</v>
      </c>
      <c r="E222" s="5" t="s">
        <v>808</v>
      </c>
      <c r="F222" s="8">
        <v>1.649030502E9</v>
      </c>
      <c r="G222" s="9" t="str">
        <f>HYPERLINK("https://www.etsy.com/listing/1649030502", "link")</f>
        <v>link</v>
      </c>
      <c r="H222" s="9" t="str">
        <f>HYPERLINK("https://atlas.etsycorp.com/listing/1649030502/lookup", "link")</f>
        <v>link</v>
      </c>
      <c r="I222" s="5" t="s">
        <v>809</v>
      </c>
      <c r="J222" s="5" t="s">
        <v>810</v>
      </c>
      <c r="K222" s="5" t="s">
        <v>46</v>
      </c>
      <c r="L222" s="5" t="s">
        <v>47</v>
      </c>
      <c r="M222" s="10" t="s">
        <v>21</v>
      </c>
      <c r="N222" s="10" t="s">
        <v>22</v>
      </c>
      <c r="O222" s="11" t="s">
        <v>478</v>
      </c>
      <c r="P222" s="5"/>
      <c r="Q222" s="5"/>
      <c r="R222" s="5"/>
      <c r="S222" s="5"/>
      <c r="T222" s="5"/>
    </row>
    <row r="223" ht="15.75" customHeight="1">
      <c r="A223" s="6" t="str">
        <f t="shared" si="1"/>
        <v>gaze Servietten Hochzeit, 1631703249</v>
      </c>
      <c r="B223" s="7" t="s">
        <v>15</v>
      </c>
      <c r="C223" s="5"/>
      <c r="D223" s="5" t="s">
        <v>811</v>
      </c>
      <c r="E223" s="5" t="s">
        <v>812</v>
      </c>
      <c r="F223" s="8">
        <v>1.631703249E9</v>
      </c>
      <c r="G223" s="9" t="str">
        <f>HYPERLINK("https://www.etsy.com/listing/1631703249", "link")</f>
        <v>link</v>
      </c>
      <c r="H223" s="9" t="str">
        <f>HYPERLINK("https://atlas.etsycorp.com/listing/1631703249/lookup", "link")</f>
        <v>link</v>
      </c>
      <c r="I223" s="5" t="s">
        <v>813</v>
      </c>
      <c r="J223" s="5" t="s">
        <v>814</v>
      </c>
      <c r="K223" s="5" t="s">
        <v>46</v>
      </c>
      <c r="L223" s="5" t="s">
        <v>47</v>
      </c>
      <c r="M223" s="10" t="s">
        <v>21</v>
      </c>
      <c r="N223" s="10" t="s">
        <v>22</v>
      </c>
      <c r="O223" s="11" t="s">
        <v>478</v>
      </c>
      <c r="P223" s="5"/>
      <c r="Q223" s="5"/>
      <c r="R223" s="5"/>
      <c r="S223" s="5"/>
      <c r="T223" s="5"/>
    </row>
    <row r="224" ht="15.75" customHeight="1">
      <c r="A224" s="6" t="str">
        <f t="shared" si="1"/>
        <v>schwebender nachttisch schwarz schmal, 1682211830</v>
      </c>
      <c r="B224" s="7" t="s">
        <v>24</v>
      </c>
      <c r="C224" s="7" t="s">
        <v>815</v>
      </c>
      <c r="D224" s="5" t="s">
        <v>61</v>
      </c>
      <c r="E224" s="5" t="s">
        <v>62</v>
      </c>
      <c r="F224" s="8">
        <v>1.68221183E9</v>
      </c>
      <c r="G224" s="9" t="str">
        <f>HYPERLINK("https://www.etsy.com/listing/1682211830", "link")</f>
        <v>link</v>
      </c>
      <c r="H224" s="9" t="str">
        <f>HYPERLINK("https://atlas.etsycorp.com/listing/1682211830/lookup", "link")</f>
        <v>link</v>
      </c>
      <c r="I224" s="5" t="s">
        <v>816</v>
      </c>
      <c r="J224" s="5" t="s">
        <v>64</v>
      </c>
      <c r="K224" s="5" t="s">
        <v>46</v>
      </c>
      <c r="L224" s="5" t="s">
        <v>47</v>
      </c>
      <c r="M224" s="10" t="s">
        <v>21</v>
      </c>
      <c r="N224" s="10" t="s">
        <v>22</v>
      </c>
      <c r="O224" s="11" t="s">
        <v>478</v>
      </c>
      <c r="P224" s="5"/>
      <c r="Q224" s="5"/>
      <c r="R224" s="5"/>
      <c r="S224" s="5"/>
      <c r="T224" s="5"/>
    </row>
    <row r="225" ht="15.75" customHeight="1">
      <c r="A225" s="6" t="str">
        <f t="shared" si="1"/>
        <v>beauty piercing manual, 1437832763</v>
      </c>
      <c r="B225" s="7" t="s">
        <v>48</v>
      </c>
      <c r="C225" s="7" t="s">
        <v>817</v>
      </c>
      <c r="D225" s="5" t="s">
        <v>818</v>
      </c>
      <c r="E225" s="5"/>
      <c r="F225" s="8">
        <v>1.437832763E9</v>
      </c>
      <c r="G225" s="9" t="str">
        <f>HYPERLINK("https://www.etsy.com/listing/1437832763", "link")</f>
        <v>link</v>
      </c>
      <c r="H225" s="9" t="str">
        <f>HYPERLINK("https://atlas.etsycorp.com/listing/1437832763/lookup", "link")</f>
        <v>link</v>
      </c>
      <c r="I225" s="5" t="s">
        <v>819</v>
      </c>
      <c r="J225" s="5" t="s">
        <v>820</v>
      </c>
      <c r="K225" s="5" t="s">
        <v>19</v>
      </c>
      <c r="L225" s="5" t="s">
        <v>41</v>
      </c>
      <c r="M225" s="10" t="s">
        <v>21</v>
      </c>
      <c r="N225" s="10" t="s">
        <v>22</v>
      </c>
      <c r="O225" s="11" t="s">
        <v>478</v>
      </c>
      <c r="P225" s="5"/>
      <c r="Q225" s="5"/>
      <c r="R225" s="5"/>
      <c r="S225" s="5"/>
      <c r="T225" s="5"/>
    </row>
    <row r="226" ht="15.75" customHeight="1">
      <c r="A226" s="6" t="str">
        <f t="shared" si="1"/>
        <v>bluffton sc art, 1565371690</v>
      </c>
      <c r="B226" s="7" t="s">
        <v>15</v>
      </c>
      <c r="C226" s="5"/>
      <c r="D226" s="5" t="s">
        <v>821</v>
      </c>
      <c r="E226" s="5"/>
      <c r="F226" s="8">
        <v>1.56537169E9</v>
      </c>
      <c r="G226" s="9" t="str">
        <f>HYPERLINK("https://www.etsy.com/listing/1565371690", "link")</f>
        <v>link</v>
      </c>
      <c r="H226" s="9" t="str">
        <f>HYPERLINK("https://atlas.etsycorp.com/listing/1565371690/lookup", "link")</f>
        <v>link</v>
      </c>
      <c r="I226" s="5" t="s">
        <v>822</v>
      </c>
      <c r="J226" s="5" t="s">
        <v>823</v>
      </c>
      <c r="K226" s="5" t="s">
        <v>19</v>
      </c>
      <c r="L226" s="5" t="s">
        <v>73</v>
      </c>
      <c r="M226" s="10" t="s">
        <v>21</v>
      </c>
      <c r="N226" s="10" t="s">
        <v>22</v>
      </c>
      <c r="O226" s="11" t="s">
        <v>478</v>
      </c>
      <c r="P226" s="5"/>
      <c r="Q226" s="5"/>
      <c r="R226" s="5"/>
      <c r="S226" s="5"/>
      <c r="T226" s="5"/>
    </row>
    <row r="227" ht="15.75" customHeight="1">
      <c r="A227" s="6" t="str">
        <f t="shared" si="1"/>
        <v>playstation hotas stick, 1305793770</v>
      </c>
      <c r="B227" s="7" t="s">
        <v>48</v>
      </c>
      <c r="C227" s="7" t="s">
        <v>824</v>
      </c>
      <c r="D227" s="5" t="s">
        <v>825</v>
      </c>
      <c r="E227" s="5"/>
      <c r="F227" s="8">
        <v>1.30579377E9</v>
      </c>
      <c r="G227" s="9" t="str">
        <f>HYPERLINK("https://www.etsy.com/listing/1305793770", "link")</f>
        <v>link</v>
      </c>
      <c r="H227" s="9" t="str">
        <f>HYPERLINK("https://atlas.etsycorp.com/listing/1305793770/lookup", "link")</f>
        <v>link</v>
      </c>
      <c r="I227" s="5" t="s">
        <v>826</v>
      </c>
      <c r="J227" s="5" t="s">
        <v>827</v>
      </c>
      <c r="K227" s="5" t="s">
        <v>19</v>
      </c>
      <c r="L227" s="5" t="s">
        <v>73</v>
      </c>
      <c r="M227" s="10" t="s">
        <v>21</v>
      </c>
      <c r="N227" s="10" t="s">
        <v>22</v>
      </c>
      <c r="O227" s="11" t="s">
        <v>478</v>
      </c>
      <c r="P227" s="5"/>
      <c r="Q227" s="5"/>
      <c r="R227" s="5"/>
      <c r="S227" s="5"/>
      <c r="T227" s="5"/>
    </row>
    <row r="228" ht="15.75" customHeight="1">
      <c r="A228" s="6" t="str">
        <f t="shared" si="1"/>
        <v>nintendo shadow box, 1748212379</v>
      </c>
      <c r="B228" s="7" t="s">
        <v>15</v>
      </c>
      <c r="C228" s="5"/>
      <c r="D228" s="5" t="s">
        <v>828</v>
      </c>
      <c r="E228" s="5" t="s">
        <v>828</v>
      </c>
      <c r="F228" s="8">
        <v>1.748212379E9</v>
      </c>
      <c r="G228" s="9" t="str">
        <f>HYPERLINK("https://www.etsy.com/listing/1748212379", "link")</f>
        <v>link</v>
      </c>
      <c r="H228" s="9" t="str">
        <f>HYPERLINK("https://atlas.etsycorp.com/listing/1748212379/lookup", "link")</f>
        <v>link</v>
      </c>
      <c r="I228" s="5" t="s">
        <v>829</v>
      </c>
      <c r="J228" s="5" t="s">
        <v>830</v>
      </c>
      <c r="K228" s="5" t="s">
        <v>46</v>
      </c>
      <c r="L228" s="5" t="s">
        <v>47</v>
      </c>
      <c r="M228" s="10" t="s">
        <v>21</v>
      </c>
      <c r="N228" s="10" t="s">
        <v>22</v>
      </c>
      <c r="O228" s="11" t="s">
        <v>478</v>
      </c>
      <c r="P228" s="5"/>
      <c r="Q228" s="5"/>
      <c r="R228" s="5"/>
      <c r="S228" s="5"/>
      <c r="T228" s="5"/>
    </row>
    <row r="229" ht="15.75" customHeight="1">
      <c r="A229" s="6" t="str">
        <f t="shared" si="1"/>
        <v>once upon a time in hollywood, 1755553358</v>
      </c>
      <c r="B229" s="7" t="s">
        <v>15</v>
      </c>
      <c r="C229" s="5"/>
      <c r="D229" s="5" t="s">
        <v>831</v>
      </c>
      <c r="E229" s="5" t="s">
        <v>831</v>
      </c>
      <c r="F229" s="8">
        <v>1.755553358E9</v>
      </c>
      <c r="G229" s="9" t="str">
        <f>HYPERLINK("https://www.etsy.com/listing/1755553358", "link")</f>
        <v>link</v>
      </c>
      <c r="H229" s="9" t="str">
        <f>HYPERLINK("https://atlas.etsycorp.com/listing/1755553358/lookup", "link")</f>
        <v>link</v>
      </c>
      <c r="I229" s="5" t="s">
        <v>832</v>
      </c>
      <c r="J229" s="5" t="s">
        <v>833</v>
      </c>
      <c r="K229" s="5" t="s">
        <v>35</v>
      </c>
      <c r="L229" s="5" t="s">
        <v>36</v>
      </c>
      <c r="M229" s="10" t="s">
        <v>21</v>
      </c>
      <c r="N229" s="10" t="s">
        <v>22</v>
      </c>
      <c r="O229" s="11" t="s">
        <v>478</v>
      </c>
      <c r="P229" s="5"/>
      <c r="Q229" s="5"/>
      <c r="R229" s="5"/>
      <c r="S229" s="5"/>
      <c r="T229" s="5"/>
    </row>
    <row r="230" ht="15.75" customHeight="1">
      <c r="A230" s="6" t="str">
        <f t="shared" si="1"/>
        <v>wedding itenary template, 890849785</v>
      </c>
      <c r="B230" s="7" t="s">
        <v>15</v>
      </c>
      <c r="C230" s="5"/>
      <c r="D230" s="5" t="s">
        <v>834</v>
      </c>
      <c r="E230" s="5"/>
      <c r="F230" s="8">
        <v>8.90849785E8</v>
      </c>
      <c r="G230" s="9" t="str">
        <f>HYPERLINK("https://www.etsy.com/listing/890849785", "link")</f>
        <v>link</v>
      </c>
      <c r="H230" s="9" t="str">
        <f>HYPERLINK("https://atlas.etsycorp.com/listing/890849785/lookup", "link")</f>
        <v>link</v>
      </c>
      <c r="I230" s="5" t="s">
        <v>835</v>
      </c>
      <c r="J230" s="5" t="s">
        <v>836</v>
      </c>
      <c r="K230" s="5" t="s">
        <v>19</v>
      </c>
      <c r="L230" s="5" t="s">
        <v>41</v>
      </c>
      <c r="M230" s="10" t="s">
        <v>21</v>
      </c>
      <c r="N230" s="10" t="s">
        <v>22</v>
      </c>
      <c r="O230" s="11" t="s">
        <v>478</v>
      </c>
      <c r="P230" s="5"/>
      <c r="Q230" s="5"/>
      <c r="R230" s="5"/>
      <c r="S230" s="5"/>
      <c r="T230" s="5"/>
    </row>
    <row r="231" ht="15.75" customHeight="1">
      <c r="A231" s="6" t="str">
        <f t="shared" si="1"/>
        <v>sac magique, 1321530445</v>
      </c>
      <c r="B231" s="7" t="s">
        <v>48</v>
      </c>
      <c r="C231" s="5"/>
      <c r="D231" s="5" t="s">
        <v>579</v>
      </c>
      <c r="E231" s="5" t="s">
        <v>580</v>
      </c>
      <c r="F231" s="8">
        <v>1.321530445E9</v>
      </c>
      <c r="G231" s="9" t="str">
        <f>HYPERLINK("https://www.etsy.com/listing/1321530445", "link")</f>
        <v>link</v>
      </c>
      <c r="H231" s="9" t="str">
        <f>HYPERLINK("https://atlas.etsycorp.com/listing/1321530445/lookup", "link")</f>
        <v>link</v>
      </c>
      <c r="I231" s="5" t="s">
        <v>837</v>
      </c>
      <c r="J231" s="5" t="s">
        <v>582</v>
      </c>
      <c r="K231" s="5" t="s">
        <v>54</v>
      </c>
      <c r="L231" s="5" t="s">
        <v>55</v>
      </c>
      <c r="M231" s="10" t="s">
        <v>21</v>
      </c>
      <c r="N231" s="10" t="s">
        <v>22</v>
      </c>
      <c r="O231" s="11" t="s">
        <v>478</v>
      </c>
      <c r="P231" s="5"/>
      <c r="Q231" s="5"/>
      <c r="R231" s="5"/>
      <c r="S231" s="5"/>
      <c r="T231" s="5"/>
    </row>
    <row r="232" ht="15.75" customHeight="1">
      <c r="A232" s="6" t="str">
        <f t="shared" si="1"/>
        <v>Adidas bild, 1657830848</v>
      </c>
      <c r="B232" s="7" t="s">
        <v>48</v>
      </c>
      <c r="C232" s="7" t="s">
        <v>838</v>
      </c>
      <c r="D232" s="5" t="s">
        <v>839</v>
      </c>
      <c r="E232" s="5" t="s">
        <v>840</v>
      </c>
      <c r="F232" s="8">
        <v>1.657830848E9</v>
      </c>
      <c r="G232" s="9" t="str">
        <f>HYPERLINK("https://www.etsy.com/listing/1657830848", "link")</f>
        <v>link</v>
      </c>
      <c r="H232" s="9" t="str">
        <f>HYPERLINK("https://atlas.etsycorp.com/listing/1657830848/lookup", "link")</f>
        <v>link</v>
      </c>
      <c r="I232" s="5" t="s">
        <v>841</v>
      </c>
      <c r="J232" s="5" t="s">
        <v>842</v>
      </c>
      <c r="K232" s="5" t="s">
        <v>46</v>
      </c>
      <c r="L232" s="5" t="s">
        <v>47</v>
      </c>
      <c r="M232" s="10" t="s">
        <v>21</v>
      </c>
      <c r="N232" s="10" t="s">
        <v>22</v>
      </c>
      <c r="O232" s="11" t="s">
        <v>478</v>
      </c>
      <c r="P232" s="5"/>
      <c r="Q232" s="5"/>
      <c r="R232" s="5"/>
      <c r="S232" s="5"/>
      <c r="T232" s="5"/>
    </row>
    <row r="233" ht="15.75" customHeight="1">
      <c r="A233" s="6" t="str">
        <f t="shared" si="1"/>
        <v>trauergeschenk, 1737503881</v>
      </c>
      <c r="B233" s="7" t="s">
        <v>48</v>
      </c>
      <c r="C233" s="5"/>
      <c r="D233" s="5" t="s">
        <v>843</v>
      </c>
      <c r="E233" s="5" t="s">
        <v>844</v>
      </c>
      <c r="F233" s="8">
        <v>1.737503881E9</v>
      </c>
      <c r="G233" s="9" t="str">
        <f>HYPERLINK("https://www.etsy.com/listing/1737503881", "link")</f>
        <v>link</v>
      </c>
      <c r="H233" s="9" t="str">
        <f>HYPERLINK("https://atlas.etsycorp.com/listing/1737503881/lookup", "link")</f>
        <v>link</v>
      </c>
      <c r="I233" s="5" t="s">
        <v>845</v>
      </c>
      <c r="J233" s="5" t="s">
        <v>846</v>
      </c>
      <c r="K233" s="5" t="s">
        <v>46</v>
      </c>
      <c r="L233" s="5" t="s">
        <v>47</v>
      </c>
      <c r="M233" s="10" t="s">
        <v>21</v>
      </c>
      <c r="N233" s="10" t="s">
        <v>22</v>
      </c>
      <c r="O233" s="11" t="s">
        <v>478</v>
      </c>
      <c r="P233" s="5"/>
      <c r="Q233" s="5"/>
      <c r="R233" s="5"/>
      <c r="S233" s="5"/>
      <c r="T233" s="5"/>
    </row>
    <row r="234" ht="15.75" customHeight="1">
      <c r="A234" s="6" t="str">
        <f t="shared" si="1"/>
        <v>bean bag, 1756077757</v>
      </c>
      <c r="B234" s="7" t="s">
        <v>24</v>
      </c>
      <c r="C234" s="7" t="s">
        <v>847</v>
      </c>
      <c r="D234" s="5" t="s">
        <v>218</v>
      </c>
      <c r="E234" s="5" t="s">
        <v>218</v>
      </c>
      <c r="F234" s="8">
        <v>1.756077757E9</v>
      </c>
      <c r="G234" s="9" t="str">
        <f>HYPERLINK("https://www.etsy.com/listing/1756077757", "link")</f>
        <v>link</v>
      </c>
      <c r="H234" s="9" t="str">
        <f>HYPERLINK("https://atlas.etsycorp.com/listing/1756077757/lookup", "link")</f>
        <v>link</v>
      </c>
      <c r="I234" s="5" t="s">
        <v>848</v>
      </c>
      <c r="J234" s="5" t="s">
        <v>220</v>
      </c>
      <c r="K234" s="5" t="s">
        <v>213</v>
      </c>
      <c r="L234" s="5" t="s">
        <v>214</v>
      </c>
      <c r="M234" s="10" t="s">
        <v>21</v>
      </c>
      <c r="N234" s="10" t="s">
        <v>22</v>
      </c>
      <c r="O234" s="11" t="s">
        <v>478</v>
      </c>
      <c r="P234" s="5"/>
      <c r="Q234" s="5"/>
      <c r="R234" s="5"/>
      <c r="S234" s="5"/>
      <c r="T234" s="5"/>
    </row>
    <row r="235" ht="15.75" customHeight="1">
      <c r="A235" s="6" t="str">
        <f t="shared" si="1"/>
        <v>ciondoli, 1000674744</v>
      </c>
      <c r="B235" s="7" t="s">
        <v>48</v>
      </c>
      <c r="C235" s="5"/>
      <c r="D235" s="5" t="s">
        <v>849</v>
      </c>
      <c r="E235" s="5" t="s">
        <v>850</v>
      </c>
      <c r="F235" s="8">
        <v>1.000674744E9</v>
      </c>
      <c r="G235" s="9" t="str">
        <f>HYPERLINK("https://www.etsy.com/listing/1000674744", "link")</f>
        <v>link</v>
      </c>
      <c r="H235" s="9" t="str">
        <f>HYPERLINK("https://atlas.etsycorp.com/listing/1000674744/lookup", "link")</f>
        <v>link</v>
      </c>
      <c r="I235" s="5" t="s">
        <v>851</v>
      </c>
      <c r="J235" s="5" t="s">
        <v>852</v>
      </c>
      <c r="K235" s="5" t="s">
        <v>80</v>
      </c>
      <c r="L235" s="5" t="s">
        <v>81</v>
      </c>
      <c r="M235" s="10" t="s">
        <v>21</v>
      </c>
      <c r="N235" s="10" t="s">
        <v>22</v>
      </c>
      <c r="O235" s="11" t="s">
        <v>478</v>
      </c>
      <c r="P235" s="5"/>
      <c r="Q235" s="5"/>
      <c r="R235" s="5"/>
      <c r="S235" s="5"/>
      <c r="T235" s="5"/>
    </row>
    <row r="236" ht="15.75" customHeight="1">
      <c r="A236" s="6" t="str">
        <f t="shared" si="1"/>
        <v>prénom bois, 947565180</v>
      </c>
      <c r="B236" s="7" t="s">
        <v>15</v>
      </c>
      <c r="C236" s="5"/>
      <c r="D236" s="5" t="s">
        <v>853</v>
      </c>
      <c r="E236" s="5" t="s">
        <v>854</v>
      </c>
      <c r="F236" s="8">
        <v>9.4756518E8</v>
      </c>
      <c r="G236" s="9" t="str">
        <f>HYPERLINK("https://www.etsy.com/listing/947565180", "link")</f>
        <v>link</v>
      </c>
      <c r="H236" s="9" t="str">
        <f>HYPERLINK("https://atlas.etsycorp.com/listing/947565180/lookup", "link")</f>
        <v>link</v>
      </c>
      <c r="I236" s="5" t="s">
        <v>855</v>
      </c>
      <c r="J236" s="5" t="s">
        <v>856</v>
      </c>
      <c r="K236" s="5" t="s">
        <v>54</v>
      </c>
      <c r="L236" s="5" t="s">
        <v>55</v>
      </c>
      <c r="M236" s="10" t="s">
        <v>21</v>
      </c>
      <c r="N236" s="10" t="s">
        <v>22</v>
      </c>
      <c r="O236" s="11" t="s">
        <v>478</v>
      </c>
      <c r="P236" s="5"/>
      <c r="Q236" s="5"/>
      <c r="R236" s="5"/>
      <c r="S236" s="5"/>
      <c r="T236" s="5"/>
    </row>
    <row r="237" ht="15.75" customHeight="1">
      <c r="A237" s="6" t="str">
        <f t="shared" si="1"/>
        <v>16x16 chair cushions, 1044075598</v>
      </c>
      <c r="B237" s="7" t="s">
        <v>15</v>
      </c>
      <c r="C237" s="5"/>
      <c r="D237" s="5" t="s">
        <v>857</v>
      </c>
      <c r="E237" s="5"/>
      <c r="F237" s="8">
        <v>1.044075598E9</v>
      </c>
      <c r="G237" s="9" t="str">
        <f>HYPERLINK("https://www.etsy.com/listing/1044075598", "link")</f>
        <v>link</v>
      </c>
      <c r="H237" s="9" t="str">
        <f>HYPERLINK("https://atlas.etsycorp.com/listing/1044075598/lookup", "link")</f>
        <v>link</v>
      </c>
      <c r="I237" s="5" t="s">
        <v>858</v>
      </c>
      <c r="J237" s="5" t="s">
        <v>859</v>
      </c>
      <c r="K237" s="5" t="s">
        <v>19</v>
      </c>
      <c r="L237" s="5" t="s">
        <v>41</v>
      </c>
      <c r="M237" s="10" t="s">
        <v>21</v>
      </c>
      <c r="N237" s="10" t="s">
        <v>22</v>
      </c>
      <c r="O237" s="11" t="s">
        <v>478</v>
      </c>
      <c r="P237" s="5"/>
      <c r="Q237" s="5"/>
      <c r="R237" s="5"/>
      <c r="S237" s="5"/>
      <c r="T237" s="5"/>
    </row>
    <row r="238" ht="15.75" customHeight="1">
      <c r="A238" s="6" t="str">
        <f t="shared" si="1"/>
        <v>yet stickers, 946462209</v>
      </c>
      <c r="B238" s="7" t="s">
        <v>15</v>
      </c>
      <c r="C238" s="7" t="s">
        <v>860</v>
      </c>
      <c r="D238" s="5" t="s">
        <v>861</v>
      </c>
      <c r="E238" s="5"/>
      <c r="F238" s="8">
        <v>9.46462209E8</v>
      </c>
      <c r="G238" s="9" t="str">
        <f>HYPERLINK("https://www.etsy.com/listing/946462209", "link")</f>
        <v>link</v>
      </c>
      <c r="H238" s="9" t="str">
        <f>HYPERLINK("https://atlas.etsycorp.com/listing/946462209/lookup", "link")</f>
        <v>link</v>
      </c>
      <c r="I238" s="5" t="s">
        <v>862</v>
      </c>
      <c r="J238" s="5" t="s">
        <v>863</v>
      </c>
      <c r="K238" s="5" t="s">
        <v>19</v>
      </c>
      <c r="L238" s="5" t="s">
        <v>73</v>
      </c>
      <c r="M238" s="10" t="s">
        <v>21</v>
      </c>
      <c r="N238" s="10" t="s">
        <v>22</v>
      </c>
      <c r="O238" s="11" t="s">
        <v>478</v>
      </c>
      <c r="P238" s="5"/>
      <c r="Q238" s="5"/>
      <c r="R238" s="5"/>
      <c r="S238" s="5"/>
      <c r="T238" s="5"/>
    </row>
    <row r="239" ht="15.75" customHeight="1">
      <c r="A239" s="6" t="str">
        <f t="shared" si="1"/>
        <v>custom bobblehead mountain bike, 1565455901</v>
      </c>
      <c r="B239" s="7" t="s">
        <v>24</v>
      </c>
      <c r="C239" s="7" t="s">
        <v>864</v>
      </c>
      <c r="D239" s="5" t="s">
        <v>865</v>
      </c>
      <c r="E239" s="5"/>
      <c r="F239" s="8">
        <v>1.565455901E9</v>
      </c>
      <c r="G239" s="9" t="str">
        <f>HYPERLINK("https://www.etsy.com/listing/1565455901", "link")</f>
        <v>link</v>
      </c>
      <c r="H239" s="9" t="str">
        <f>HYPERLINK("https://atlas.etsycorp.com/listing/1565455901/lookup", "link")</f>
        <v>link</v>
      </c>
      <c r="I239" s="5" t="s">
        <v>866</v>
      </c>
      <c r="J239" s="5" t="s">
        <v>867</v>
      </c>
      <c r="K239" s="5" t="s">
        <v>19</v>
      </c>
      <c r="L239" s="5" t="s">
        <v>73</v>
      </c>
      <c r="M239" s="10" t="s">
        <v>21</v>
      </c>
      <c r="N239" s="10" t="s">
        <v>22</v>
      </c>
      <c r="O239" s="11" t="s">
        <v>478</v>
      </c>
      <c r="P239" s="5"/>
      <c r="Q239" s="5"/>
      <c r="R239" s="5"/>
      <c r="S239" s="5"/>
      <c r="T239" s="5"/>
    </row>
    <row r="240" ht="15.75" customHeight="1">
      <c r="A240" s="6" t="str">
        <f t="shared" si="1"/>
        <v>pacha ibiza, 1631618085</v>
      </c>
      <c r="B240" s="7" t="s">
        <v>24</v>
      </c>
      <c r="C240" s="7" t="s">
        <v>868</v>
      </c>
      <c r="D240" s="5" t="s">
        <v>539</v>
      </c>
      <c r="E240" s="5" t="s">
        <v>539</v>
      </c>
      <c r="F240" s="8">
        <v>1.631618085E9</v>
      </c>
      <c r="G240" s="9" t="str">
        <f>HYPERLINK("https://www.etsy.com/listing/1631618085", "link")</f>
        <v>link</v>
      </c>
      <c r="H240" s="9" t="str">
        <f>HYPERLINK("https://atlas.etsycorp.com/listing/1631618085/lookup", "link")</f>
        <v>link</v>
      </c>
      <c r="I240" s="5" t="s">
        <v>869</v>
      </c>
      <c r="J240" s="5" t="s">
        <v>541</v>
      </c>
      <c r="K240" s="5" t="s">
        <v>35</v>
      </c>
      <c r="L240" s="5" t="s">
        <v>36</v>
      </c>
      <c r="M240" s="10" t="s">
        <v>21</v>
      </c>
      <c r="N240" s="10" t="s">
        <v>22</v>
      </c>
      <c r="O240" s="11" t="s">
        <v>478</v>
      </c>
      <c r="P240" s="5"/>
      <c r="Q240" s="5"/>
      <c r="R240" s="5"/>
      <c r="S240" s="5"/>
      <c r="T240" s="5"/>
    </row>
    <row r="241" ht="15.75" customHeight="1">
      <c r="A241" s="6" t="str">
        <f t="shared" si="1"/>
        <v>crochet kookaburra, 779229213</v>
      </c>
      <c r="B241" s="7" t="s">
        <v>48</v>
      </c>
      <c r="C241" s="7" t="s">
        <v>870</v>
      </c>
      <c r="D241" s="5" t="s">
        <v>871</v>
      </c>
      <c r="E241" s="5"/>
      <c r="F241" s="8">
        <v>7.79229213E8</v>
      </c>
      <c r="G241" s="9" t="str">
        <f>HYPERLINK("https://www.etsy.com/listing/779229213", "link")</f>
        <v>link</v>
      </c>
      <c r="H241" s="9" t="str">
        <f>HYPERLINK("https://atlas.etsycorp.com/listing/779229213/lookup", "link")</f>
        <v>link</v>
      </c>
      <c r="I241" s="5" t="s">
        <v>872</v>
      </c>
      <c r="J241" s="5" t="s">
        <v>873</v>
      </c>
      <c r="K241" s="5" t="s">
        <v>19</v>
      </c>
      <c r="L241" s="5" t="s">
        <v>41</v>
      </c>
      <c r="M241" s="10" t="s">
        <v>21</v>
      </c>
      <c r="N241" s="10" t="s">
        <v>22</v>
      </c>
      <c r="O241" s="11" t="s">
        <v>478</v>
      </c>
      <c r="P241" s="5"/>
      <c r="Q241" s="5"/>
      <c r="R241" s="5"/>
      <c r="S241" s="5"/>
      <c r="T241" s="5"/>
    </row>
    <row r="242" ht="15.75" customHeight="1">
      <c r="A242" s="6" t="str">
        <f t="shared" si="1"/>
        <v>baby memory book boy, 752469933</v>
      </c>
      <c r="B242" s="7" t="s">
        <v>15</v>
      </c>
      <c r="C242" s="5"/>
      <c r="D242" s="5" t="s">
        <v>874</v>
      </c>
      <c r="E242" s="5"/>
      <c r="F242" s="8">
        <v>7.52469933E8</v>
      </c>
      <c r="G242" s="9" t="str">
        <f>HYPERLINK("https://www.etsy.com/listing/752469933", "link")</f>
        <v>link</v>
      </c>
      <c r="H242" s="9" t="str">
        <f>HYPERLINK("https://atlas.etsycorp.com/listing/752469933/lookup", "link")</f>
        <v>link</v>
      </c>
      <c r="I242" s="5" t="s">
        <v>875</v>
      </c>
      <c r="J242" s="5" t="s">
        <v>876</v>
      </c>
      <c r="K242" s="5" t="s">
        <v>19</v>
      </c>
      <c r="L242" s="5" t="s">
        <v>41</v>
      </c>
      <c r="M242" s="10" t="s">
        <v>21</v>
      </c>
      <c r="N242" s="10" t="s">
        <v>22</v>
      </c>
      <c r="O242" s="11" t="s">
        <v>877</v>
      </c>
      <c r="P242" s="5"/>
      <c r="Q242" s="5"/>
      <c r="R242" s="5"/>
      <c r="S242" s="5"/>
      <c r="T242" s="5"/>
    </row>
    <row r="243" ht="15.75" customHeight="1">
      <c r="A243" s="6" t="str">
        <f t="shared" si="1"/>
        <v>hello sign, 723124037</v>
      </c>
      <c r="B243" s="7" t="s">
        <v>15</v>
      </c>
      <c r="C243" s="5"/>
      <c r="D243" s="5" t="s">
        <v>878</v>
      </c>
      <c r="E243" s="5"/>
      <c r="F243" s="8">
        <v>7.23124037E8</v>
      </c>
      <c r="G243" s="9" t="str">
        <f>HYPERLINK("https://www.etsy.com/listing/723124037", "link")</f>
        <v>link</v>
      </c>
      <c r="H243" s="9" t="str">
        <f>HYPERLINK("https://atlas.etsycorp.com/listing/723124037/lookup", "link")</f>
        <v>link</v>
      </c>
      <c r="I243" s="5" t="s">
        <v>879</v>
      </c>
      <c r="J243" s="5" t="s">
        <v>880</v>
      </c>
      <c r="K243" s="5" t="s">
        <v>19</v>
      </c>
      <c r="L243" s="5" t="s">
        <v>41</v>
      </c>
      <c r="M243" s="10" t="s">
        <v>21</v>
      </c>
      <c r="N243" s="10" t="s">
        <v>22</v>
      </c>
      <c r="O243" s="11" t="s">
        <v>877</v>
      </c>
      <c r="P243" s="5"/>
      <c r="Q243" s="5"/>
      <c r="R243" s="5"/>
      <c r="S243" s="5"/>
      <c r="T243" s="5"/>
    </row>
    <row r="244" ht="15.75" customHeight="1">
      <c r="A244" s="6" t="str">
        <f t="shared" si="1"/>
        <v>cadre bijoux enfant, 1361416471</v>
      </c>
      <c r="B244" s="7" t="s">
        <v>15</v>
      </c>
      <c r="C244" s="5"/>
      <c r="D244" s="5" t="s">
        <v>50</v>
      </c>
      <c r="E244" s="5" t="s">
        <v>51</v>
      </c>
      <c r="F244" s="8">
        <v>1.361416471E9</v>
      </c>
      <c r="G244" s="9" t="str">
        <f>HYPERLINK("https://www.etsy.com/listing/1361416471", "link")</f>
        <v>link</v>
      </c>
      <c r="H244" s="9" t="str">
        <f>HYPERLINK("https://atlas.etsycorp.com/listing/1361416471/lookup", "link")</f>
        <v>link</v>
      </c>
      <c r="I244" s="5" t="s">
        <v>881</v>
      </c>
      <c r="J244" s="5" t="s">
        <v>53</v>
      </c>
      <c r="K244" s="5" t="s">
        <v>54</v>
      </c>
      <c r="L244" s="5" t="s">
        <v>55</v>
      </c>
      <c r="M244" s="10" t="s">
        <v>21</v>
      </c>
      <c r="N244" s="10" t="s">
        <v>22</v>
      </c>
      <c r="O244" s="11" t="s">
        <v>877</v>
      </c>
      <c r="P244" s="5"/>
      <c r="Q244" s="5"/>
      <c r="R244" s="5"/>
      <c r="S244" s="5"/>
      <c r="T244" s="5"/>
    </row>
    <row r="245" ht="15.75" customHeight="1">
      <c r="A245" s="6" t="str">
        <f t="shared" si="1"/>
        <v>broek, 615170424</v>
      </c>
      <c r="B245" s="7" t="s">
        <v>15</v>
      </c>
      <c r="C245" s="5"/>
      <c r="D245" s="5" t="s">
        <v>379</v>
      </c>
      <c r="E245" s="5" t="s">
        <v>380</v>
      </c>
      <c r="F245" s="8">
        <v>6.15170424E8</v>
      </c>
      <c r="G245" s="9" t="str">
        <f>HYPERLINK("https://www.etsy.com/listing/615170424", "link")</f>
        <v>link</v>
      </c>
      <c r="H245" s="9" t="str">
        <f>HYPERLINK("https://atlas.etsycorp.com/listing/615170424/lookup", "link")</f>
        <v>link</v>
      </c>
      <c r="I245" s="5" t="s">
        <v>882</v>
      </c>
      <c r="J245" s="5" t="s">
        <v>382</v>
      </c>
      <c r="K245" s="5" t="s">
        <v>35</v>
      </c>
      <c r="L245" s="5" t="s">
        <v>36</v>
      </c>
      <c r="M245" s="10" t="s">
        <v>21</v>
      </c>
      <c r="N245" s="10" t="s">
        <v>22</v>
      </c>
      <c r="O245" s="11" t="s">
        <v>877</v>
      </c>
      <c r="P245" s="5"/>
      <c r="Q245" s="5"/>
      <c r="R245" s="5"/>
      <c r="S245" s="5"/>
      <c r="T245" s="5"/>
    </row>
    <row r="246" ht="15.75" customHeight="1">
      <c r="A246" s="6" t="str">
        <f t="shared" si="1"/>
        <v>doll house siding, 977226368</v>
      </c>
      <c r="B246" s="7" t="s">
        <v>15</v>
      </c>
      <c r="C246" s="7" t="s">
        <v>883</v>
      </c>
      <c r="D246" s="5" t="s">
        <v>884</v>
      </c>
      <c r="E246" s="5"/>
      <c r="F246" s="8">
        <v>9.77226368E8</v>
      </c>
      <c r="G246" s="9" t="str">
        <f>HYPERLINK("https://www.etsy.com/listing/977226368", "link")</f>
        <v>link</v>
      </c>
      <c r="H246" s="9" t="str">
        <f>HYPERLINK("https://atlas.etsycorp.com/listing/977226368/lookup", "link")</f>
        <v>link</v>
      </c>
      <c r="I246" s="5" t="s">
        <v>885</v>
      </c>
      <c r="J246" s="5" t="s">
        <v>886</v>
      </c>
      <c r="K246" s="5" t="s">
        <v>19</v>
      </c>
      <c r="L246" s="5" t="s">
        <v>41</v>
      </c>
      <c r="M246" s="10" t="s">
        <v>21</v>
      </c>
      <c r="N246" s="10" t="s">
        <v>22</v>
      </c>
      <c r="O246" s="11" t="s">
        <v>877</v>
      </c>
      <c r="P246" s="5"/>
      <c r="Q246" s="5"/>
      <c r="R246" s="5"/>
      <c r="S246" s="5"/>
      <c r="T246" s="5"/>
    </row>
    <row r="247" ht="15.75" customHeight="1">
      <c r="A247" s="6" t="str">
        <f t="shared" si="1"/>
        <v>disco ball party, 1162358523</v>
      </c>
      <c r="B247" s="7" t="s">
        <v>15</v>
      </c>
      <c r="C247" s="5"/>
      <c r="D247" s="5" t="s">
        <v>887</v>
      </c>
      <c r="E247" s="5"/>
      <c r="F247" s="8">
        <v>1.162358523E9</v>
      </c>
      <c r="G247" s="9" t="str">
        <f>HYPERLINK("https://www.etsy.com/listing/1162358523", "link")</f>
        <v>link</v>
      </c>
      <c r="H247" s="9" t="str">
        <f>HYPERLINK("https://atlas.etsycorp.com/listing/1162358523/lookup", "link")</f>
        <v>link</v>
      </c>
      <c r="I247" s="5" t="s">
        <v>888</v>
      </c>
      <c r="J247" s="5" t="s">
        <v>889</v>
      </c>
      <c r="K247" s="5" t="s">
        <v>120</v>
      </c>
      <c r="L247" s="5" t="s">
        <v>20</v>
      </c>
      <c r="M247" s="10" t="s">
        <v>21</v>
      </c>
      <c r="N247" s="10" t="s">
        <v>22</v>
      </c>
      <c r="O247" s="11" t="s">
        <v>877</v>
      </c>
      <c r="P247" s="5"/>
      <c r="Q247" s="5"/>
      <c r="R247" s="5"/>
      <c r="S247" s="5"/>
      <c r="T247" s="5"/>
    </row>
    <row r="248" ht="15.75" customHeight="1">
      <c r="A248" s="6" t="str">
        <f t="shared" si="1"/>
        <v>fern resin necklace, 1395829219</v>
      </c>
      <c r="B248" s="7" t="s">
        <v>24</v>
      </c>
      <c r="C248" s="7" t="s">
        <v>890</v>
      </c>
      <c r="D248" s="5" t="s">
        <v>891</v>
      </c>
      <c r="E248" s="5"/>
      <c r="F248" s="8">
        <v>1.395829219E9</v>
      </c>
      <c r="G248" s="9" t="str">
        <f>HYPERLINK("https://www.etsy.com/listing/1395829219", "link")</f>
        <v>link</v>
      </c>
      <c r="H248" s="9" t="str">
        <f>HYPERLINK("https://atlas.etsycorp.com/listing/1395829219/lookup", "link")</f>
        <v>link</v>
      </c>
      <c r="I248" s="5" t="s">
        <v>892</v>
      </c>
      <c r="J248" s="5" t="s">
        <v>893</v>
      </c>
      <c r="K248" s="5" t="s">
        <v>19</v>
      </c>
      <c r="L248" s="5" t="s">
        <v>73</v>
      </c>
      <c r="M248" s="10" t="s">
        <v>21</v>
      </c>
      <c r="N248" s="10" t="s">
        <v>22</v>
      </c>
      <c r="O248" s="11" t="s">
        <v>877</v>
      </c>
      <c r="P248" s="5"/>
      <c r="Q248" s="5"/>
      <c r="R248" s="5"/>
      <c r="S248" s="5"/>
      <c r="T248" s="5"/>
    </row>
    <row r="249" ht="15.75" customHeight="1">
      <c r="A249" s="6" t="str">
        <f t="shared" si="1"/>
        <v>bob esponja invitacion, 1749154697</v>
      </c>
      <c r="B249" s="7" t="s">
        <v>48</v>
      </c>
      <c r="C249" s="5"/>
      <c r="D249" s="5" t="s">
        <v>894</v>
      </c>
      <c r="E249" s="5" t="s">
        <v>895</v>
      </c>
      <c r="F249" s="8">
        <v>1.749154697E9</v>
      </c>
      <c r="G249" s="9" t="str">
        <f>HYPERLINK("https://www.etsy.com/listing/1749154697", "link")</f>
        <v>link</v>
      </c>
      <c r="H249" s="9" t="str">
        <f>HYPERLINK("https://atlas.etsycorp.com/listing/1749154697/lookup", "link")</f>
        <v>link</v>
      </c>
      <c r="I249" s="5" t="s">
        <v>896</v>
      </c>
      <c r="J249" s="5" t="s">
        <v>897</v>
      </c>
      <c r="K249" s="5" t="s">
        <v>29</v>
      </c>
      <c r="L249" s="5" t="s">
        <v>30</v>
      </c>
      <c r="M249" s="10" t="s">
        <v>21</v>
      </c>
      <c r="N249" s="10" t="s">
        <v>22</v>
      </c>
      <c r="O249" s="11" t="s">
        <v>877</v>
      </c>
      <c r="P249" s="5"/>
      <c r="Q249" s="5"/>
      <c r="R249" s="5"/>
      <c r="S249" s="5"/>
      <c r="T249" s="5"/>
    </row>
    <row r="250" ht="15.75" customHeight="1">
      <c r="A250" s="6" t="str">
        <f t="shared" si="1"/>
        <v>bonvon, 512188034</v>
      </c>
      <c r="B250" s="7" t="s">
        <v>15</v>
      </c>
      <c r="C250" s="5"/>
      <c r="D250" s="5" t="s">
        <v>898</v>
      </c>
      <c r="E250" s="5" t="s">
        <v>899</v>
      </c>
      <c r="F250" s="8">
        <v>5.12188034E8</v>
      </c>
      <c r="G250" s="9" t="str">
        <f>HYPERLINK("https://www.etsy.com/listing/512188034", "link")</f>
        <v>link</v>
      </c>
      <c r="H250" s="9" t="str">
        <f>HYPERLINK("https://atlas.etsycorp.com/listing/512188034/lookup", "link")</f>
        <v>link</v>
      </c>
      <c r="I250" s="5" t="s">
        <v>900</v>
      </c>
      <c r="J250" s="5" t="s">
        <v>901</v>
      </c>
      <c r="K250" s="5" t="s">
        <v>54</v>
      </c>
      <c r="L250" s="5" t="s">
        <v>55</v>
      </c>
      <c r="M250" s="10" t="s">
        <v>21</v>
      </c>
      <c r="N250" s="10" t="s">
        <v>22</v>
      </c>
      <c r="O250" s="11" t="s">
        <v>877</v>
      </c>
      <c r="P250" s="5"/>
      <c r="Q250" s="5"/>
      <c r="R250" s="5"/>
      <c r="S250" s="5"/>
      <c r="T250" s="5"/>
    </row>
    <row r="251" ht="15.75" customHeight="1">
      <c r="A251" s="6" t="str">
        <f t="shared" si="1"/>
        <v>pottery jug, 1288804377</v>
      </c>
      <c r="B251" s="7" t="s">
        <v>15</v>
      </c>
      <c r="C251" s="5"/>
      <c r="D251" s="5" t="s">
        <v>902</v>
      </c>
      <c r="E251" s="5"/>
      <c r="F251" s="8">
        <v>1.288804377E9</v>
      </c>
      <c r="G251" s="9" t="str">
        <f>HYPERLINK("https://www.etsy.com/listing/1288804377", "link")</f>
        <v>link</v>
      </c>
      <c r="H251" s="9" t="str">
        <f>HYPERLINK("https://atlas.etsycorp.com/listing/1288804377/lookup", "link")</f>
        <v>link</v>
      </c>
      <c r="I251" s="5" t="s">
        <v>903</v>
      </c>
      <c r="J251" s="5" t="s">
        <v>904</v>
      </c>
      <c r="K251" s="5" t="s">
        <v>19</v>
      </c>
      <c r="L251" s="5" t="s">
        <v>41</v>
      </c>
      <c r="M251" s="10" t="s">
        <v>21</v>
      </c>
      <c r="N251" s="10" t="s">
        <v>22</v>
      </c>
      <c r="O251" s="11" t="s">
        <v>877</v>
      </c>
      <c r="P251" s="5"/>
      <c r="Q251" s="5"/>
      <c r="R251" s="5"/>
      <c r="S251" s="5"/>
      <c r="T251" s="5"/>
    </row>
    <row r="252" ht="15.75" customHeight="1">
      <c r="A252" s="6" t="str">
        <f t="shared" si="1"/>
        <v>diario de gratitud, 1661820574</v>
      </c>
      <c r="B252" s="7" t="s">
        <v>24</v>
      </c>
      <c r="C252" s="7" t="s">
        <v>905</v>
      </c>
      <c r="D252" s="5" t="s">
        <v>906</v>
      </c>
      <c r="E252" s="5" t="s">
        <v>907</v>
      </c>
      <c r="F252" s="8">
        <v>1.661820574E9</v>
      </c>
      <c r="G252" s="9" t="str">
        <f>HYPERLINK("https://www.etsy.com/listing/1661820574", "link")</f>
        <v>link</v>
      </c>
      <c r="H252" s="9" t="str">
        <f>HYPERLINK("https://atlas.etsycorp.com/listing/1661820574/lookup", "link")</f>
        <v>link</v>
      </c>
      <c r="I252" s="5" t="s">
        <v>908</v>
      </c>
      <c r="J252" s="5" t="s">
        <v>909</v>
      </c>
      <c r="K252" s="5" t="s">
        <v>29</v>
      </c>
      <c r="L252" s="5" t="s">
        <v>30</v>
      </c>
      <c r="M252" s="10" t="s">
        <v>21</v>
      </c>
      <c r="N252" s="10" t="s">
        <v>22</v>
      </c>
      <c r="O252" s="11" t="s">
        <v>877</v>
      </c>
      <c r="P252" s="5"/>
      <c r="Q252" s="5"/>
      <c r="R252" s="5"/>
      <c r="S252" s="5"/>
      <c r="T252" s="5"/>
    </row>
    <row r="253" ht="15.75" customHeight="1">
      <c r="A253" s="6" t="str">
        <f t="shared" si="1"/>
        <v>engagement rings, 1376981568</v>
      </c>
      <c r="B253" s="7" t="s">
        <v>15</v>
      </c>
      <c r="C253" s="5"/>
      <c r="D253" s="5" t="s">
        <v>910</v>
      </c>
      <c r="E253" s="5" t="s">
        <v>910</v>
      </c>
      <c r="F253" s="8">
        <v>1.376981568E9</v>
      </c>
      <c r="G253" s="9" t="str">
        <f>HYPERLINK("https://www.etsy.com/listing/1376981568", "link")</f>
        <v>link</v>
      </c>
      <c r="H253" s="9" t="str">
        <f>HYPERLINK("https://atlas.etsycorp.com/listing/1376981568/lookup", "link")</f>
        <v>link</v>
      </c>
      <c r="I253" s="5" t="s">
        <v>911</v>
      </c>
      <c r="J253" s="5" t="s">
        <v>912</v>
      </c>
      <c r="K253" s="5" t="s">
        <v>29</v>
      </c>
      <c r="L253" s="5" t="s">
        <v>30</v>
      </c>
      <c r="M253" s="10" t="s">
        <v>21</v>
      </c>
      <c r="N253" s="10" t="s">
        <v>22</v>
      </c>
      <c r="O253" s="11" t="s">
        <v>877</v>
      </c>
      <c r="P253" s="5"/>
      <c r="Q253" s="5"/>
      <c r="R253" s="5"/>
      <c r="S253" s="5"/>
      <c r="T253" s="5"/>
    </row>
    <row r="254" ht="15.75" customHeight="1">
      <c r="A254" s="6" t="str">
        <f t="shared" si="1"/>
        <v>vintage portable compact mirror asiatique, 1595892207</v>
      </c>
      <c r="B254" s="7" t="s">
        <v>15</v>
      </c>
      <c r="C254" s="5"/>
      <c r="D254" s="5" t="s">
        <v>170</v>
      </c>
      <c r="E254" s="5" t="s">
        <v>170</v>
      </c>
      <c r="F254" s="8">
        <v>1.595892207E9</v>
      </c>
      <c r="G254" s="9" t="str">
        <f>HYPERLINK("https://www.etsy.com/listing/1595892207", "link")</f>
        <v>link</v>
      </c>
      <c r="H254" s="9" t="str">
        <f>HYPERLINK("https://atlas.etsycorp.com/listing/1595892207/lookup", "link")</f>
        <v>link</v>
      </c>
      <c r="I254" s="5" t="s">
        <v>913</v>
      </c>
      <c r="J254" s="5" t="s">
        <v>172</v>
      </c>
      <c r="K254" s="5" t="s">
        <v>54</v>
      </c>
      <c r="L254" s="5" t="s">
        <v>55</v>
      </c>
      <c r="M254" s="10" t="s">
        <v>21</v>
      </c>
      <c r="N254" s="10" t="s">
        <v>22</v>
      </c>
      <c r="O254" s="11" t="s">
        <v>877</v>
      </c>
      <c r="P254" s="5"/>
      <c r="Q254" s="5"/>
      <c r="R254" s="5"/>
      <c r="S254" s="5"/>
      <c r="T254" s="5"/>
    </row>
    <row r="255" ht="15.75" customHeight="1">
      <c r="A255" s="6" t="str">
        <f t="shared" si="1"/>
        <v>d &amp; d stained glass png, 1421091438</v>
      </c>
      <c r="B255" s="7" t="s">
        <v>48</v>
      </c>
      <c r="C255" s="7" t="s">
        <v>914</v>
      </c>
      <c r="D255" s="5" t="s">
        <v>915</v>
      </c>
      <c r="E255" s="5"/>
      <c r="F255" s="8">
        <v>1.421091438E9</v>
      </c>
      <c r="G255" s="9" t="str">
        <f>HYPERLINK("https://www.etsy.com/listing/1421091438", "link")</f>
        <v>link</v>
      </c>
      <c r="H255" s="9" t="str">
        <f>HYPERLINK("https://atlas.etsycorp.com/listing/1421091438/lookup", "link")</f>
        <v>link</v>
      </c>
      <c r="I255" s="5" t="s">
        <v>916</v>
      </c>
      <c r="J255" s="5" t="s">
        <v>917</v>
      </c>
      <c r="K255" s="5" t="s">
        <v>19</v>
      </c>
      <c r="L255" s="5" t="s">
        <v>73</v>
      </c>
      <c r="M255" s="10" t="s">
        <v>21</v>
      </c>
      <c r="N255" s="10" t="s">
        <v>22</v>
      </c>
      <c r="O255" s="11" t="s">
        <v>877</v>
      </c>
      <c r="P255" s="5"/>
      <c r="Q255" s="5"/>
      <c r="R255" s="5"/>
      <c r="S255" s="5"/>
      <c r="T255" s="5"/>
    </row>
    <row r="256" ht="15.75" customHeight="1">
      <c r="A256" s="6" t="str">
        <f t="shared" si="1"/>
        <v>custom handstamped keychain, 1649805467</v>
      </c>
      <c r="B256" s="7" t="s">
        <v>15</v>
      </c>
      <c r="C256" s="5"/>
      <c r="D256" s="5" t="s">
        <v>918</v>
      </c>
      <c r="E256" s="5"/>
      <c r="F256" s="8">
        <v>1.649805467E9</v>
      </c>
      <c r="G256" s="9" t="str">
        <f>HYPERLINK("https://www.etsy.com/listing/1649805467", "link")</f>
        <v>link</v>
      </c>
      <c r="H256" s="9" t="str">
        <f>HYPERLINK("https://atlas.etsycorp.com/listing/1649805467/lookup", "link")</f>
        <v>link</v>
      </c>
      <c r="I256" s="5" t="s">
        <v>919</v>
      </c>
      <c r="J256" s="5" t="s">
        <v>920</v>
      </c>
      <c r="K256" s="5" t="s">
        <v>19</v>
      </c>
      <c r="L256" s="5" t="s">
        <v>73</v>
      </c>
      <c r="M256" s="10" t="s">
        <v>21</v>
      </c>
      <c r="N256" s="10" t="s">
        <v>22</v>
      </c>
      <c r="O256" s="11" t="s">
        <v>877</v>
      </c>
      <c r="P256" s="5"/>
      <c r="Q256" s="5"/>
      <c r="R256" s="5"/>
      <c r="S256" s="5"/>
      <c r="T256" s="5"/>
    </row>
    <row r="257" ht="15.75" customHeight="1">
      <c r="A257" s="6" t="str">
        <f t="shared" si="1"/>
        <v>friends pencil case, 1301906539</v>
      </c>
      <c r="B257" s="7" t="s">
        <v>15</v>
      </c>
      <c r="C257" s="5"/>
      <c r="D257" s="5" t="s">
        <v>921</v>
      </c>
      <c r="E257" s="5"/>
      <c r="F257" s="8">
        <v>1.301906539E9</v>
      </c>
      <c r="G257" s="9" t="str">
        <f>HYPERLINK("https://www.etsy.com/listing/1301906539", "link")</f>
        <v>link</v>
      </c>
      <c r="H257" s="9" t="str">
        <f>HYPERLINK("https://atlas.etsycorp.com/listing/1301906539/lookup", "link")</f>
        <v>link</v>
      </c>
      <c r="I257" s="5" t="s">
        <v>922</v>
      </c>
      <c r="J257" s="5" t="s">
        <v>923</v>
      </c>
      <c r="K257" s="5" t="s">
        <v>19</v>
      </c>
      <c r="L257" s="5" t="s">
        <v>73</v>
      </c>
      <c r="M257" s="10" t="s">
        <v>21</v>
      </c>
      <c r="N257" s="10" t="s">
        <v>22</v>
      </c>
      <c r="O257" s="11" t="s">
        <v>877</v>
      </c>
      <c r="P257" s="5"/>
      <c r="Q257" s="5"/>
      <c r="R257" s="5"/>
      <c r="S257" s="5"/>
      <c r="T257" s="5"/>
    </row>
    <row r="258" ht="15.75" customHeight="1">
      <c r="A258" s="6" t="str">
        <f t="shared" si="1"/>
        <v>crystal rings for women, 1590282559</v>
      </c>
      <c r="B258" s="7" t="s">
        <v>15</v>
      </c>
      <c r="C258" s="5"/>
      <c r="D258" s="5" t="s">
        <v>924</v>
      </c>
      <c r="E258" s="5" t="s">
        <v>924</v>
      </c>
      <c r="F258" s="8">
        <v>1.590282559E9</v>
      </c>
      <c r="G258" s="9" t="str">
        <f>HYPERLINK("https://www.etsy.com/listing/1590282559", "link")</f>
        <v>link</v>
      </c>
      <c r="H258" s="9" t="str">
        <f>HYPERLINK("https://atlas.etsycorp.com/listing/1590282559/lookup", "link")</f>
        <v>link</v>
      </c>
      <c r="I258" s="5" t="s">
        <v>925</v>
      </c>
      <c r="J258" s="5" t="s">
        <v>926</v>
      </c>
      <c r="K258" s="5" t="s">
        <v>759</v>
      </c>
      <c r="L258" s="5" t="s">
        <v>760</v>
      </c>
      <c r="M258" s="10" t="s">
        <v>21</v>
      </c>
      <c r="N258" s="10" t="s">
        <v>22</v>
      </c>
      <c r="O258" s="11" t="s">
        <v>877</v>
      </c>
      <c r="P258" s="5"/>
      <c r="Q258" s="5"/>
      <c r="R258" s="5"/>
      <c r="S258" s="5"/>
      <c r="T258" s="5"/>
    </row>
    <row r="259" ht="15.75" customHeight="1">
      <c r="A259" s="6" t="str">
        <f t="shared" si="1"/>
        <v>ponyo blanket, 1167004807</v>
      </c>
      <c r="B259" s="7" t="s">
        <v>48</v>
      </c>
      <c r="C259" s="7" t="s">
        <v>927</v>
      </c>
      <c r="D259" s="5" t="s">
        <v>928</v>
      </c>
      <c r="E259" s="5"/>
      <c r="F259" s="8">
        <v>1.167004807E9</v>
      </c>
      <c r="G259" s="9" t="str">
        <f>HYPERLINK("https://www.etsy.com/listing/1167004807", "link")</f>
        <v>link</v>
      </c>
      <c r="H259" s="9" t="str">
        <f>HYPERLINK("https://atlas.etsycorp.com/listing/1167004807/lookup", "link")</f>
        <v>link</v>
      </c>
      <c r="I259" s="5" t="s">
        <v>929</v>
      </c>
      <c r="J259" s="5" t="s">
        <v>930</v>
      </c>
      <c r="K259" s="5" t="s">
        <v>120</v>
      </c>
      <c r="L259" s="5" t="s">
        <v>41</v>
      </c>
      <c r="M259" s="10" t="s">
        <v>21</v>
      </c>
      <c r="N259" s="10" t="s">
        <v>22</v>
      </c>
      <c r="O259" s="11" t="s">
        <v>877</v>
      </c>
      <c r="P259" s="5"/>
      <c r="Q259" s="5"/>
      <c r="R259" s="5"/>
      <c r="S259" s="5"/>
      <c r="T259" s="5"/>
    </row>
    <row r="260" ht="15.75" customHeight="1">
      <c r="A260" s="6" t="str">
        <f t="shared" si="1"/>
        <v>sza poster, 1585073186</v>
      </c>
      <c r="B260" s="7" t="s">
        <v>24</v>
      </c>
      <c r="C260" s="7" t="s">
        <v>931</v>
      </c>
      <c r="D260" s="5" t="s">
        <v>932</v>
      </c>
      <c r="E260" s="5"/>
      <c r="F260" s="8">
        <v>1.585073186E9</v>
      </c>
      <c r="G260" s="9" t="str">
        <f>HYPERLINK("https://www.etsy.com/listing/1585073186", "link")</f>
        <v>link</v>
      </c>
      <c r="H260" s="9" t="str">
        <f>HYPERLINK("https://atlas.etsycorp.com/listing/1585073186/lookup", "link")</f>
        <v>link</v>
      </c>
      <c r="I260" s="5" t="s">
        <v>933</v>
      </c>
      <c r="J260" s="5" t="s">
        <v>934</v>
      </c>
      <c r="K260" s="5" t="s">
        <v>19</v>
      </c>
      <c r="L260" s="5" t="s">
        <v>73</v>
      </c>
      <c r="M260" s="10" t="s">
        <v>21</v>
      </c>
      <c r="N260" s="10" t="s">
        <v>22</v>
      </c>
      <c r="O260" s="11" t="s">
        <v>877</v>
      </c>
      <c r="P260" s="5"/>
      <c r="Q260" s="5"/>
      <c r="R260" s="5"/>
      <c r="S260" s="5"/>
      <c r="T260" s="5"/>
    </row>
    <row r="261" ht="15.75" customHeight="1">
      <c r="A261" s="6" t="str">
        <f t="shared" si="1"/>
        <v>logo R300, 1575443618</v>
      </c>
      <c r="B261" s="7" t="s">
        <v>48</v>
      </c>
      <c r="C261" s="5"/>
      <c r="D261" s="5" t="s">
        <v>935</v>
      </c>
      <c r="E261" s="5" t="s">
        <v>936</v>
      </c>
      <c r="F261" s="8">
        <v>1.575443618E9</v>
      </c>
      <c r="G261" s="9" t="str">
        <f>HYPERLINK("https://www.etsy.com/listing/1575443618", "link")</f>
        <v>link</v>
      </c>
      <c r="H261" s="9" t="str">
        <f>HYPERLINK("https://atlas.etsycorp.com/listing/1575443618/lookup", "link")</f>
        <v>link</v>
      </c>
      <c r="I261" s="5" t="s">
        <v>937</v>
      </c>
      <c r="J261" s="5" t="s">
        <v>938</v>
      </c>
      <c r="K261" s="5" t="s">
        <v>54</v>
      </c>
      <c r="L261" s="5" t="s">
        <v>55</v>
      </c>
      <c r="M261" s="10" t="s">
        <v>21</v>
      </c>
      <c r="N261" s="10" t="s">
        <v>22</v>
      </c>
      <c r="O261" s="11" t="s">
        <v>877</v>
      </c>
      <c r="P261" s="5"/>
      <c r="Q261" s="5"/>
      <c r="R261" s="5"/>
      <c r="S261" s="5"/>
      <c r="T261" s="5"/>
    </row>
    <row r="262" ht="15.75" customHeight="1">
      <c r="A262" s="6" t="str">
        <f t="shared" si="1"/>
        <v>Chinese  lingerie, 537136877</v>
      </c>
      <c r="B262" s="7" t="s">
        <v>15</v>
      </c>
      <c r="C262" s="5"/>
      <c r="D262" s="5" t="s">
        <v>939</v>
      </c>
      <c r="E262" s="5"/>
      <c r="F262" s="8">
        <v>5.37136877E8</v>
      </c>
      <c r="G262" s="9" t="str">
        <f>HYPERLINK("https://www.etsy.com/listing/537136877", "link")</f>
        <v>link</v>
      </c>
      <c r="H262" s="9" t="str">
        <f>HYPERLINK("https://atlas.etsycorp.com/listing/537136877/lookup", "link")</f>
        <v>link</v>
      </c>
      <c r="I262" s="5" t="s">
        <v>940</v>
      </c>
      <c r="J262" s="5" t="s">
        <v>941</v>
      </c>
      <c r="K262" s="5" t="s">
        <v>120</v>
      </c>
      <c r="L262" s="5" t="s">
        <v>73</v>
      </c>
      <c r="M262" s="10" t="s">
        <v>21</v>
      </c>
      <c r="N262" s="10" t="s">
        <v>22</v>
      </c>
      <c r="O262" s="11" t="s">
        <v>877</v>
      </c>
      <c r="P262" s="5"/>
      <c r="Q262" s="5"/>
      <c r="R262" s="5"/>
      <c r="S262" s="5"/>
      <c r="T262" s="5"/>
    </row>
    <row r="263" ht="15.75" customHeight="1">
      <c r="A263" s="6" t="str">
        <f t="shared" si="1"/>
        <v>carved oak side table, 1324724676</v>
      </c>
      <c r="B263" s="7" t="s">
        <v>24</v>
      </c>
      <c r="C263" s="7" t="s">
        <v>942</v>
      </c>
      <c r="D263" s="5" t="s">
        <v>943</v>
      </c>
      <c r="E263" s="5"/>
      <c r="F263" s="8">
        <v>1.324724676E9</v>
      </c>
      <c r="G263" s="9" t="str">
        <f>HYPERLINK("https://www.etsy.com/listing/1324724676", "link")</f>
        <v>link</v>
      </c>
      <c r="H263" s="9" t="str">
        <f>HYPERLINK("https://atlas.etsycorp.com/listing/1324724676/lookup", "link")</f>
        <v>link</v>
      </c>
      <c r="I263" s="5" t="s">
        <v>944</v>
      </c>
      <c r="J263" s="5" t="s">
        <v>945</v>
      </c>
      <c r="K263" s="5" t="s">
        <v>19</v>
      </c>
      <c r="L263" s="5" t="s">
        <v>73</v>
      </c>
      <c r="M263" s="10" t="s">
        <v>21</v>
      </c>
      <c r="N263" s="10" t="s">
        <v>22</v>
      </c>
      <c r="O263" s="11" t="s">
        <v>877</v>
      </c>
      <c r="P263" s="5"/>
      <c r="Q263" s="5"/>
      <c r="R263" s="5"/>
      <c r="S263" s="5"/>
      <c r="T263" s="5"/>
    </row>
    <row r="264" ht="15.75" customHeight="1">
      <c r="A264" s="6" t="str">
        <f t="shared" si="1"/>
        <v>islam, 1020505646</v>
      </c>
      <c r="B264" s="7" t="s">
        <v>15</v>
      </c>
      <c r="C264" s="5"/>
      <c r="D264" s="5" t="s">
        <v>946</v>
      </c>
      <c r="E264" s="5" t="s">
        <v>947</v>
      </c>
      <c r="F264" s="8">
        <v>1.020505646E9</v>
      </c>
      <c r="G264" s="9" t="str">
        <f>HYPERLINK("https://www.etsy.com/listing/1020505646", "link")</f>
        <v>link</v>
      </c>
      <c r="H264" s="9" t="str">
        <f>HYPERLINK("https://atlas.etsycorp.com/listing/1020505646/lookup", "link")</f>
        <v>link</v>
      </c>
      <c r="I264" s="5" t="s">
        <v>948</v>
      </c>
      <c r="J264" s="5" t="s">
        <v>949</v>
      </c>
      <c r="K264" s="5" t="s">
        <v>35</v>
      </c>
      <c r="L264" s="5" t="s">
        <v>36</v>
      </c>
      <c r="M264" s="10" t="s">
        <v>21</v>
      </c>
      <c r="N264" s="10" t="s">
        <v>22</v>
      </c>
      <c r="O264" s="11" t="s">
        <v>877</v>
      </c>
      <c r="P264" s="5"/>
      <c r="Q264" s="5"/>
      <c r="R264" s="5"/>
      <c r="S264" s="5"/>
      <c r="T264" s="5"/>
    </row>
    <row r="265" ht="15.75" customHeight="1">
      <c r="A265" s="6" t="str">
        <f t="shared" si="1"/>
        <v>personalized gifts for women, 1102169549</v>
      </c>
      <c r="B265" s="7" t="s">
        <v>15</v>
      </c>
      <c r="C265" s="5"/>
      <c r="D265" s="5" t="s">
        <v>950</v>
      </c>
      <c r="E265" s="5"/>
      <c r="F265" s="8">
        <v>1.102169549E9</v>
      </c>
      <c r="G265" s="9" t="str">
        <f>HYPERLINK("https://www.etsy.com/listing/1102169549", "link")</f>
        <v>link</v>
      </c>
      <c r="H265" s="9" t="str">
        <f>HYPERLINK("https://atlas.etsycorp.com/listing/1102169549/lookup", "link")</f>
        <v>link</v>
      </c>
      <c r="I265" s="5" t="s">
        <v>951</v>
      </c>
      <c r="J265" s="5" t="s">
        <v>952</v>
      </c>
      <c r="K265" s="5" t="s">
        <v>19</v>
      </c>
      <c r="L265" s="5" t="s">
        <v>100</v>
      </c>
      <c r="M265" s="10" t="s">
        <v>21</v>
      </c>
      <c r="N265" s="10" t="s">
        <v>22</v>
      </c>
      <c r="O265" s="11" t="s">
        <v>877</v>
      </c>
      <c r="P265" s="5"/>
      <c r="Q265" s="5"/>
      <c r="R265" s="5"/>
      <c r="S265" s="5"/>
      <c r="T265" s="5"/>
    </row>
    <row r="266" ht="15.75" customHeight="1">
      <c r="A266" s="6" t="str">
        <f t="shared" si="1"/>
        <v>fun facts 1974 belgie, 1739415828</v>
      </c>
      <c r="B266" s="7" t="s">
        <v>48</v>
      </c>
      <c r="C266" s="5"/>
      <c r="D266" s="5" t="s">
        <v>953</v>
      </c>
      <c r="E266" s="5" t="s">
        <v>954</v>
      </c>
      <c r="F266" s="8">
        <v>1.739415828E9</v>
      </c>
      <c r="G266" s="9" t="str">
        <f>HYPERLINK("https://www.etsy.com/listing/1739415828", "link")</f>
        <v>link</v>
      </c>
      <c r="H266" s="9" t="str">
        <f>HYPERLINK("https://atlas.etsycorp.com/listing/1739415828/lookup", "link")</f>
        <v>link</v>
      </c>
      <c r="I266" s="5" t="s">
        <v>955</v>
      </c>
      <c r="J266" s="5" t="s">
        <v>956</v>
      </c>
      <c r="K266" s="5" t="s">
        <v>35</v>
      </c>
      <c r="L266" s="5" t="s">
        <v>36</v>
      </c>
      <c r="M266" s="10" t="s">
        <v>21</v>
      </c>
      <c r="N266" s="10" t="s">
        <v>22</v>
      </c>
      <c r="O266" s="11" t="s">
        <v>877</v>
      </c>
      <c r="P266" s="5"/>
      <c r="Q266" s="5"/>
      <c r="R266" s="5"/>
      <c r="S266" s="5"/>
      <c r="T266" s="5"/>
    </row>
    <row r="267" ht="15.75" customHeight="1">
      <c r="A267" s="6" t="str">
        <f t="shared" si="1"/>
        <v>beast ring, 683232414</v>
      </c>
      <c r="B267" s="7" t="s">
        <v>48</v>
      </c>
      <c r="C267" s="7" t="s">
        <v>957</v>
      </c>
      <c r="D267" s="5" t="s">
        <v>43</v>
      </c>
      <c r="E267" s="5" t="s">
        <v>43</v>
      </c>
      <c r="F267" s="8">
        <v>6.83232414E8</v>
      </c>
      <c r="G267" s="9" t="str">
        <f>HYPERLINK("https://www.etsy.com/listing/683232414", "link")</f>
        <v>link</v>
      </c>
      <c r="H267" s="9" t="str">
        <f>HYPERLINK("https://atlas.etsycorp.com/listing/683232414/lookup", "link")</f>
        <v>link</v>
      </c>
      <c r="I267" s="5" t="s">
        <v>958</v>
      </c>
      <c r="J267" s="5" t="s">
        <v>45</v>
      </c>
      <c r="K267" s="5" t="s">
        <v>46</v>
      </c>
      <c r="L267" s="5" t="s">
        <v>47</v>
      </c>
      <c r="M267" s="10" t="s">
        <v>21</v>
      </c>
      <c r="N267" s="10" t="s">
        <v>22</v>
      </c>
      <c r="O267" s="11" t="s">
        <v>877</v>
      </c>
      <c r="P267" s="5"/>
      <c r="Q267" s="5"/>
      <c r="R267" s="5"/>
      <c r="S267" s="5"/>
      <c r="T267" s="5"/>
    </row>
    <row r="268" ht="15.75" customHeight="1">
      <c r="A268" s="6" t="str">
        <f t="shared" si="1"/>
        <v>wife hubby shirt, 1209186189</v>
      </c>
      <c r="B268" s="7" t="s">
        <v>15</v>
      </c>
      <c r="C268" s="5"/>
      <c r="D268" s="5" t="s">
        <v>959</v>
      </c>
      <c r="E268" s="5"/>
      <c r="F268" s="8">
        <v>1.209186189E9</v>
      </c>
      <c r="G268" s="9" t="str">
        <f>HYPERLINK("https://www.etsy.com/listing/1209186189", "link")</f>
        <v>link</v>
      </c>
      <c r="H268" s="9" t="str">
        <f>HYPERLINK("https://atlas.etsycorp.com/listing/1209186189/lookup", "link")</f>
        <v>link</v>
      </c>
      <c r="I268" s="5" t="s">
        <v>960</v>
      </c>
      <c r="J268" s="5" t="s">
        <v>961</v>
      </c>
      <c r="K268" s="5" t="s">
        <v>19</v>
      </c>
      <c r="L268" s="5" t="s">
        <v>73</v>
      </c>
      <c r="M268" s="10" t="s">
        <v>21</v>
      </c>
      <c r="N268" s="10" t="s">
        <v>22</v>
      </c>
      <c r="O268" s="11" t="s">
        <v>877</v>
      </c>
      <c r="P268" s="5"/>
      <c r="Q268" s="5"/>
      <c r="R268" s="5"/>
      <c r="S268" s="5"/>
      <c r="T268" s="5"/>
    </row>
    <row r="269" ht="15.75" customHeight="1">
      <c r="A269" s="6" t="str">
        <f t="shared" si="1"/>
        <v>minnie urn, 770939782</v>
      </c>
      <c r="B269" s="7" t="s">
        <v>15</v>
      </c>
      <c r="C269" s="5"/>
      <c r="D269" s="5" t="s">
        <v>962</v>
      </c>
      <c r="E269" s="5"/>
      <c r="F269" s="8">
        <v>7.70939782E8</v>
      </c>
      <c r="G269" s="9" t="str">
        <f>HYPERLINK("https://www.etsy.com/listing/770939782", "link")</f>
        <v>link</v>
      </c>
      <c r="H269" s="9" t="str">
        <f>HYPERLINK("https://atlas.etsycorp.com/listing/770939782/lookup", "link")</f>
        <v>link</v>
      </c>
      <c r="I269" s="5" t="s">
        <v>963</v>
      </c>
      <c r="J269" s="5" t="s">
        <v>964</v>
      </c>
      <c r="K269" s="5" t="s">
        <v>19</v>
      </c>
      <c r="L269" s="5" t="s">
        <v>73</v>
      </c>
      <c r="M269" s="10" t="s">
        <v>21</v>
      </c>
      <c r="N269" s="10" t="s">
        <v>22</v>
      </c>
      <c r="O269" s="11" t="s">
        <v>877</v>
      </c>
      <c r="P269" s="5"/>
      <c r="Q269" s="5"/>
      <c r="R269" s="5"/>
      <c r="S269" s="5"/>
      <c r="T269" s="5"/>
    </row>
    <row r="270" ht="15.75" customHeight="1">
      <c r="A270" s="6" t="str">
        <f t="shared" si="1"/>
        <v>handmade gift, 713812978</v>
      </c>
      <c r="B270" s="7" t="s">
        <v>15</v>
      </c>
      <c r="C270" s="5"/>
      <c r="D270" s="5" t="s">
        <v>965</v>
      </c>
      <c r="E270" s="5"/>
      <c r="F270" s="8">
        <v>7.13812978E8</v>
      </c>
      <c r="G270" s="9" t="str">
        <f>HYPERLINK("https://www.etsy.com/listing/713812978", "link")</f>
        <v>link</v>
      </c>
      <c r="H270" s="9" t="str">
        <f>HYPERLINK("https://atlas.etsycorp.com/listing/713812978/lookup", "link")</f>
        <v>link</v>
      </c>
      <c r="I270" s="5" t="s">
        <v>966</v>
      </c>
      <c r="J270" s="5" t="s">
        <v>967</v>
      </c>
      <c r="K270" s="5" t="s">
        <v>19</v>
      </c>
      <c r="L270" s="5" t="s">
        <v>100</v>
      </c>
      <c r="M270" s="10" t="s">
        <v>21</v>
      </c>
      <c r="N270" s="10" t="s">
        <v>22</v>
      </c>
      <c r="O270" s="11" t="s">
        <v>877</v>
      </c>
      <c r="P270" s="5"/>
      <c r="Q270" s="5"/>
      <c r="R270" s="5"/>
      <c r="S270" s="5"/>
      <c r="T270" s="5"/>
    </row>
    <row r="271" ht="15.75" customHeight="1">
      <c r="A271" s="6" t="str">
        <f t="shared" si="1"/>
        <v>malliot foot espagne, 1745602860</v>
      </c>
      <c r="B271" s="7" t="s">
        <v>24</v>
      </c>
      <c r="C271" s="7" t="s">
        <v>968</v>
      </c>
      <c r="D271" s="5" t="s">
        <v>515</v>
      </c>
      <c r="E271" s="5" t="s">
        <v>516</v>
      </c>
      <c r="F271" s="8">
        <v>1.74560286E9</v>
      </c>
      <c r="G271" s="9" t="str">
        <f>HYPERLINK("https://www.etsy.com/listing/1745602860", "link")</f>
        <v>link</v>
      </c>
      <c r="H271" s="9" t="str">
        <f>HYPERLINK("https://atlas.etsycorp.com/listing/1745602860/lookup", "link")</f>
        <v>link</v>
      </c>
      <c r="I271" s="5" t="s">
        <v>969</v>
      </c>
      <c r="J271" s="5" t="s">
        <v>518</v>
      </c>
      <c r="K271" s="5" t="s">
        <v>54</v>
      </c>
      <c r="L271" s="5" t="s">
        <v>55</v>
      </c>
      <c r="M271" s="10" t="s">
        <v>21</v>
      </c>
      <c r="N271" s="10" t="s">
        <v>22</v>
      </c>
      <c r="O271" s="11" t="s">
        <v>877</v>
      </c>
      <c r="P271" s="5"/>
      <c r="Q271" s="5"/>
      <c r="R271" s="5"/>
      <c r="S271" s="5"/>
      <c r="T271" s="5"/>
    </row>
    <row r="272" ht="15.75" customHeight="1">
      <c r="A272" s="6" t="str">
        <f t="shared" si="1"/>
        <v>piercing ear, 1395718071</v>
      </c>
      <c r="B272" s="7" t="s">
        <v>15</v>
      </c>
      <c r="C272" s="5"/>
      <c r="D272" s="5" t="s">
        <v>646</v>
      </c>
      <c r="E272" s="5" t="s">
        <v>647</v>
      </c>
      <c r="F272" s="8">
        <v>1.395718071E9</v>
      </c>
      <c r="G272" s="9" t="str">
        <f>HYPERLINK("https://www.etsy.com/listing/1395718071", "link")</f>
        <v>link</v>
      </c>
      <c r="H272" s="9" t="str">
        <f>HYPERLINK("https://atlas.etsycorp.com/listing/1395718071/lookup", "link")</f>
        <v>link</v>
      </c>
      <c r="I272" s="5" t="s">
        <v>970</v>
      </c>
      <c r="J272" s="5" t="s">
        <v>649</v>
      </c>
      <c r="K272" s="5" t="s">
        <v>29</v>
      </c>
      <c r="L272" s="5" t="s">
        <v>30</v>
      </c>
      <c r="M272" s="10" t="s">
        <v>21</v>
      </c>
      <c r="N272" s="10" t="s">
        <v>22</v>
      </c>
      <c r="O272" s="11" t="s">
        <v>877</v>
      </c>
      <c r="P272" s="5"/>
      <c r="Q272" s="5"/>
      <c r="R272" s="5"/>
      <c r="S272" s="5"/>
      <c r="T272" s="5"/>
    </row>
    <row r="273" ht="15.75" customHeight="1">
      <c r="A273" s="6" t="str">
        <f t="shared" si="1"/>
        <v>studio ghibli mug jiji, 1616344431</v>
      </c>
      <c r="B273" s="7" t="s">
        <v>24</v>
      </c>
      <c r="C273" s="7" t="s">
        <v>971</v>
      </c>
      <c r="D273" s="5" t="s">
        <v>972</v>
      </c>
      <c r="E273" s="5"/>
      <c r="F273" s="8">
        <v>1.616344431E9</v>
      </c>
      <c r="G273" s="9" t="str">
        <f>HYPERLINK("https://www.etsy.com/listing/1616344431", "link")</f>
        <v>link</v>
      </c>
      <c r="H273" s="9" t="str">
        <f>HYPERLINK("https://atlas.etsycorp.com/listing/1616344431/lookup", "link")</f>
        <v>link</v>
      </c>
      <c r="I273" s="5" t="s">
        <v>973</v>
      </c>
      <c r="J273" s="5" t="s">
        <v>974</v>
      </c>
      <c r="K273" s="5" t="s">
        <v>19</v>
      </c>
      <c r="L273" s="5" t="s">
        <v>73</v>
      </c>
      <c r="M273" s="10" t="s">
        <v>21</v>
      </c>
      <c r="N273" s="10" t="s">
        <v>22</v>
      </c>
      <c r="O273" s="11" t="s">
        <v>877</v>
      </c>
      <c r="P273" s="5"/>
      <c r="Q273" s="5"/>
      <c r="R273" s="5"/>
      <c r="S273" s="5"/>
      <c r="T273" s="5"/>
    </row>
    <row r="274" ht="15.75" customHeight="1">
      <c r="A274" s="6" t="str">
        <f t="shared" si="1"/>
        <v>kajol, 1676377992</v>
      </c>
      <c r="B274" s="7" t="s">
        <v>15</v>
      </c>
      <c r="C274" s="7" t="s">
        <v>975</v>
      </c>
      <c r="D274" s="5" t="s">
        <v>976</v>
      </c>
      <c r="E274" s="5" t="s">
        <v>976</v>
      </c>
      <c r="F274" s="8">
        <v>1.676377992E9</v>
      </c>
      <c r="G274" s="9" t="str">
        <f>HYPERLINK("https://www.etsy.com/listing/1676377992", "link")</f>
        <v>link</v>
      </c>
      <c r="H274" s="9" t="str">
        <f>HYPERLINK("https://atlas.etsycorp.com/listing/1676377992/lookup", "link")</f>
        <v>link</v>
      </c>
      <c r="I274" s="5" t="s">
        <v>977</v>
      </c>
      <c r="J274" s="5" t="s">
        <v>978</v>
      </c>
      <c r="K274" s="5" t="s">
        <v>54</v>
      </c>
      <c r="L274" s="5" t="s">
        <v>55</v>
      </c>
      <c r="M274" s="10" t="s">
        <v>21</v>
      </c>
      <c r="N274" s="10" t="s">
        <v>22</v>
      </c>
      <c r="O274" s="11" t="s">
        <v>877</v>
      </c>
      <c r="P274" s="5"/>
      <c r="Q274" s="5"/>
      <c r="R274" s="5"/>
      <c r="S274" s="5"/>
      <c r="T274" s="5"/>
    </row>
    <row r="275" ht="15.75" customHeight="1">
      <c r="A275" s="6" t="str">
        <f t="shared" si="1"/>
        <v>Find shirts, 1486855709</v>
      </c>
      <c r="B275" s="7" t="s">
        <v>15</v>
      </c>
      <c r="C275" s="5"/>
      <c r="D275" s="5" t="s">
        <v>89</v>
      </c>
      <c r="E275" s="5" t="s">
        <v>89</v>
      </c>
      <c r="F275" s="8">
        <v>1.486855709E9</v>
      </c>
      <c r="G275" s="9" t="str">
        <f>HYPERLINK("https://www.etsy.com/listing/1486855709", "link")</f>
        <v>link</v>
      </c>
      <c r="H275" s="9" t="str">
        <f>HYPERLINK("https://atlas.etsycorp.com/listing/1486855709/lookup", "link")</f>
        <v>link</v>
      </c>
      <c r="I275" s="5" t="s">
        <v>979</v>
      </c>
      <c r="J275" s="5" t="s">
        <v>980</v>
      </c>
      <c r="K275" s="5" t="s">
        <v>29</v>
      </c>
      <c r="L275" s="5" t="s">
        <v>30</v>
      </c>
      <c r="M275" s="10" t="s">
        <v>21</v>
      </c>
      <c r="N275" s="10" t="s">
        <v>22</v>
      </c>
      <c r="O275" s="11" t="s">
        <v>877</v>
      </c>
      <c r="P275" s="5"/>
      <c r="Q275" s="5"/>
      <c r="R275" s="5"/>
      <c r="S275" s="5"/>
      <c r="T275" s="5"/>
    </row>
    <row r="276" ht="15.75" customHeight="1">
      <c r="A276" s="6" t="str">
        <f t="shared" si="1"/>
        <v>Find shirts, 1755712147</v>
      </c>
      <c r="B276" s="7" t="s">
        <v>446</v>
      </c>
      <c r="C276" s="5"/>
      <c r="D276" s="5" t="s">
        <v>89</v>
      </c>
      <c r="E276" s="5" t="s">
        <v>89</v>
      </c>
      <c r="F276" s="8">
        <v>1.755712147E9</v>
      </c>
      <c r="G276" s="9" t="str">
        <f>HYPERLINK("https://www.etsy.com/listing/1755712147", "link")</f>
        <v>link</v>
      </c>
      <c r="H276" s="9" t="str">
        <f>HYPERLINK("https://atlas.etsycorp.com/listing/1755712147/lookup", "link")</f>
        <v>link</v>
      </c>
      <c r="I276" s="5" t="s">
        <v>981</v>
      </c>
      <c r="J276" s="5" t="s">
        <v>982</v>
      </c>
      <c r="K276" s="5" t="s">
        <v>29</v>
      </c>
      <c r="L276" s="5" t="s">
        <v>30</v>
      </c>
      <c r="M276" s="10" t="s">
        <v>21</v>
      </c>
      <c r="N276" s="10" t="s">
        <v>22</v>
      </c>
      <c r="O276" s="11" t="s">
        <v>877</v>
      </c>
      <c r="P276" s="5"/>
      <c r="Q276" s="5"/>
      <c r="R276" s="5"/>
      <c r="S276" s="5"/>
      <c r="T276" s="5"/>
    </row>
    <row r="277" ht="15.75" customHeight="1">
      <c r="A277" s="6" t="str">
        <f t="shared" si="1"/>
        <v>outdoor hosting, 1090396432</v>
      </c>
      <c r="B277" s="7" t="s">
        <v>15</v>
      </c>
      <c r="C277" s="5"/>
      <c r="D277" s="5" t="s">
        <v>547</v>
      </c>
      <c r="E277" s="5" t="s">
        <v>548</v>
      </c>
      <c r="F277" s="8">
        <v>1.090396432E9</v>
      </c>
      <c r="G277" s="9" t="str">
        <f>HYPERLINK("https://www.etsy.com/listing/1090396432", "link")</f>
        <v>link</v>
      </c>
      <c r="H277" s="9" t="str">
        <f>HYPERLINK("https://atlas.etsycorp.com/listing/1090396432/lookup", "link")</f>
        <v>link</v>
      </c>
      <c r="I277" s="5" t="s">
        <v>983</v>
      </c>
      <c r="J277" s="5" t="s">
        <v>550</v>
      </c>
      <c r="K277" s="5" t="s">
        <v>46</v>
      </c>
      <c r="L277" s="5" t="s">
        <v>47</v>
      </c>
      <c r="M277" s="10" t="s">
        <v>21</v>
      </c>
      <c r="N277" s="10" t="s">
        <v>22</v>
      </c>
      <c r="O277" s="11" t="s">
        <v>877</v>
      </c>
      <c r="P277" s="5"/>
      <c r="Q277" s="5"/>
      <c r="R277" s="5"/>
      <c r="S277" s="5"/>
      <c r="T277" s="5"/>
    </row>
    <row r="278" ht="15.75" customHeight="1">
      <c r="A278" s="6" t="str">
        <f t="shared" si="1"/>
        <v>travel accessories, 1728695666</v>
      </c>
      <c r="B278" s="7" t="s">
        <v>15</v>
      </c>
      <c r="C278" s="5"/>
      <c r="D278" s="5" t="s">
        <v>506</v>
      </c>
      <c r="E278" s="5" t="s">
        <v>756</v>
      </c>
      <c r="F278" s="8">
        <v>1.728695666E9</v>
      </c>
      <c r="G278" s="9" t="str">
        <f>HYPERLINK("https://www.etsy.com/listing/1728695666", "link")</f>
        <v>link</v>
      </c>
      <c r="H278" s="9" t="str">
        <f>HYPERLINK("https://atlas.etsycorp.com/listing/1728695666/lookup", "link")</f>
        <v>link</v>
      </c>
      <c r="I278" s="5" t="s">
        <v>984</v>
      </c>
      <c r="J278" s="5" t="s">
        <v>758</v>
      </c>
      <c r="K278" s="5" t="s">
        <v>759</v>
      </c>
      <c r="L278" s="5" t="s">
        <v>760</v>
      </c>
      <c r="M278" s="10" t="s">
        <v>21</v>
      </c>
      <c r="N278" s="10" t="s">
        <v>22</v>
      </c>
      <c r="O278" s="11" t="s">
        <v>877</v>
      </c>
      <c r="P278" s="5"/>
      <c r="Q278" s="5"/>
      <c r="R278" s="5"/>
      <c r="S278" s="5"/>
      <c r="T278" s="5"/>
    </row>
    <row r="279" ht="15.75" customHeight="1">
      <c r="A279" s="6" t="str">
        <f t="shared" si="1"/>
        <v>PISTOLE ORO DEADPOOL, 1769094993</v>
      </c>
      <c r="B279" s="7" t="s">
        <v>24</v>
      </c>
      <c r="C279" s="7" t="s">
        <v>985</v>
      </c>
      <c r="D279" s="5" t="s">
        <v>986</v>
      </c>
      <c r="E279" s="5" t="s">
        <v>987</v>
      </c>
      <c r="F279" s="8">
        <v>1.769094993E9</v>
      </c>
      <c r="G279" s="9" t="str">
        <f>HYPERLINK("https://www.etsy.com/listing/1769094993", "link")</f>
        <v>link</v>
      </c>
      <c r="H279" s="9" t="str">
        <f>HYPERLINK("https://atlas.etsycorp.com/listing/1769094993/lookup", "link")</f>
        <v>link</v>
      </c>
      <c r="I279" s="5" t="s">
        <v>988</v>
      </c>
      <c r="J279" s="5" t="s">
        <v>989</v>
      </c>
      <c r="K279" s="5" t="s">
        <v>80</v>
      </c>
      <c r="L279" s="5" t="s">
        <v>81</v>
      </c>
      <c r="M279" s="10" t="s">
        <v>21</v>
      </c>
      <c r="N279" s="10" t="s">
        <v>22</v>
      </c>
      <c r="O279" s="11" t="s">
        <v>877</v>
      </c>
      <c r="P279" s="5"/>
      <c r="Q279" s="5"/>
      <c r="R279" s="5"/>
      <c r="S279" s="5"/>
      <c r="T279" s="5"/>
    </row>
    <row r="280" ht="15.75" customHeight="1">
      <c r="A280" s="6" t="str">
        <f t="shared" si="1"/>
        <v>nudit, 1709920639</v>
      </c>
      <c r="B280" s="7" t="s">
        <v>446</v>
      </c>
      <c r="C280" s="5"/>
      <c r="D280" s="5" t="s">
        <v>990</v>
      </c>
      <c r="E280" s="5" t="s">
        <v>990</v>
      </c>
      <c r="F280" s="8">
        <v>1.709920639E9</v>
      </c>
      <c r="G280" s="9" t="str">
        <f>HYPERLINK("https://www.etsy.com/listing/1709920639", "link")</f>
        <v>link</v>
      </c>
      <c r="H280" s="9" t="str">
        <f>HYPERLINK("https://atlas.etsycorp.com/listing/1709920639/lookup", "link")</f>
        <v>link</v>
      </c>
      <c r="I280" s="5" t="s">
        <v>991</v>
      </c>
      <c r="J280" s="5" t="s">
        <v>992</v>
      </c>
      <c r="K280" s="5" t="s">
        <v>29</v>
      </c>
      <c r="L280" s="5" t="s">
        <v>30</v>
      </c>
      <c r="M280" s="10" t="s">
        <v>21</v>
      </c>
      <c r="N280" s="10" t="s">
        <v>22</v>
      </c>
      <c r="O280" s="11" t="s">
        <v>877</v>
      </c>
      <c r="P280" s="5"/>
      <c r="Q280" s="5"/>
      <c r="R280" s="5"/>
      <c r="S280" s="5"/>
      <c r="T280" s="5"/>
    </row>
    <row r="281" ht="15.75" customHeight="1">
      <c r="A281" s="6" t="str">
        <f t="shared" si="1"/>
        <v>ventaglio bambu uomo, 936778277</v>
      </c>
      <c r="B281" s="7" t="s">
        <v>48</v>
      </c>
      <c r="C281" s="5"/>
      <c r="D281" s="5" t="s">
        <v>993</v>
      </c>
      <c r="E281" s="5" t="s">
        <v>994</v>
      </c>
      <c r="F281" s="8">
        <v>9.36778277E8</v>
      </c>
      <c r="G281" s="9" t="str">
        <f>HYPERLINK("https://www.etsy.com/listing/936778277", "link")</f>
        <v>link</v>
      </c>
      <c r="H281" s="9" t="str">
        <f>HYPERLINK("https://atlas.etsycorp.com/listing/936778277/lookup", "link")</f>
        <v>link</v>
      </c>
      <c r="I281" s="5" t="s">
        <v>995</v>
      </c>
      <c r="J281" s="5" t="s">
        <v>996</v>
      </c>
      <c r="K281" s="5" t="s">
        <v>80</v>
      </c>
      <c r="L281" s="5" t="s">
        <v>81</v>
      </c>
      <c r="M281" s="10" t="s">
        <v>21</v>
      </c>
      <c r="N281" s="10" t="s">
        <v>22</v>
      </c>
      <c r="O281" s="11" t="s">
        <v>877</v>
      </c>
      <c r="P281" s="5"/>
      <c r="Q281" s="5"/>
      <c r="R281" s="5"/>
      <c r="S281" s="5"/>
      <c r="T281" s="5"/>
    </row>
    <row r="282" ht="15.75" customHeight="1">
      <c r="A282" s="6" t="str">
        <f t="shared" si="1"/>
        <v>valentines day shirt assistant principal, 1390496729</v>
      </c>
      <c r="B282" s="7" t="s">
        <v>24</v>
      </c>
      <c r="C282" s="7" t="s">
        <v>997</v>
      </c>
      <c r="D282" s="5" t="s">
        <v>998</v>
      </c>
      <c r="E282" s="5"/>
      <c r="F282" s="8">
        <v>1.390496729E9</v>
      </c>
      <c r="G282" s="9" t="str">
        <f>HYPERLINK("https://www.etsy.com/listing/1390496729", "link")</f>
        <v>link</v>
      </c>
      <c r="H282" s="9" t="str">
        <f>HYPERLINK("https://atlas.etsycorp.com/listing/1390496729/lookup", "link")</f>
        <v>link</v>
      </c>
      <c r="I282" s="5" t="s">
        <v>999</v>
      </c>
      <c r="J282" s="5" t="s">
        <v>1000</v>
      </c>
      <c r="K282" s="5" t="s">
        <v>19</v>
      </c>
      <c r="L282" s="5" t="s">
        <v>41</v>
      </c>
      <c r="M282" s="10" t="s">
        <v>21</v>
      </c>
      <c r="N282" s="10" t="s">
        <v>22</v>
      </c>
      <c r="O282" s="11" t="s">
        <v>877</v>
      </c>
      <c r="P282" s="5"/>
      <c r="Q282" s="5"/>
      <c r="R282" s="5"/>
      <c r="S282" s="5"/>
      <c r="T282" s="5"/>
    </row>
    <row r="283" ht="15.75" customHeight="1">
      <c r="A283" s="6" t="str">
        <f t="shared" si="1"/>
        <v>trakers budget, 1269685550</v>
      </c>
      <c r="B283" s="7" t="s">
        <v>15</v>
      </c>
      <c r="C283" s="5"/>
      <c r="D283" s="5" t="s">
        <v>1001</v>
      </c>
      <c r="E283" s="5" t="s">
        <v>1002</v>
      </c>
      <c r="F283" s="8">
        <v>1.26968555E9</v>
      </c>
      <c r="G283" s="9" t="str">
        <f>HYPERLINK("https://www.etsy.com/listing/1269685550", "link")</f>
        <v>link</v>
      </c>
      <c r="H283" s="9" t="str">
        <f>HYPERLINK("https://atlas.etsycorp.com/listing/1269685550/lookup", "link")</f>
        <v>link</v>
      </c>
      <c r="I283" s="5" t="s">
        <v>1003</v>
      </c>
      <c r="J283" s="5" t="s">
        <v>1004</v>
      </c>
      <c r="K283" s="5" t="s">
        <v>54</v>
      </c>
      <c r="L283" s="5" t="s">
        <v>55</v>
      </c>
      <c r="M283" s="10" t="s">
        <v>21</v>
      </c>
      <c r="N283" s="10" t="s">
        <v>22</v>
      </c>
      <c r="O283" s="11" t="s">
        <v>877</v>
      </c>
      <c r="P283" s="5"/>
      <c r="Q283" s="5"/>
      <c r="R283" s="5"/>
      <c r="S283" s="5"/>
      <c r="T283" s="5"/>
    </row>
    <row r="284" ht="15.75" customHeight="1">
      <c r="A284" s="6" t="str">
        <f t="shared" si="1"/>
        <v>wickeltisch, 1716408123</v>
      </c>
      <c r="B284" s="7" t="s">
        <v>24</v>
      </c>
      <c r="C284" s="7" t="s">
        <v>1005</v>
      </c>
      <c r="D284" s="5" t="s">
        <v>1006</v>
      </c>
      <c r="E284" s="5" t="s">
        <v>1007</v>
      </c>
      <c r="F284" s="8">
        <v>1.716408123E9</v>
      </c>
      <c r="G284" s="9" t="str">
        <f>HYPERLINK("https://www.etsy.com/listing/1716408123", "link")</f>
        <v>link</v>
      </c>
      <c r="H284" s="9" t="str">
        <f>HYPERLINK("https://atlas.etsycorp.com/listing/1716408123/lookup", "link")</f>
        <v>link</v>
      </c>
      <c r="I284" s="5" t="s">
        <v>1008</v>
      </c>
      <c r="J284" s="5" t="s">
        <v>1009</v>
      </c>
      <c r="K284" s="5" t="s">
        <v>46</v>
      </c>
      <c r="L284" s="5" t="s">
        <v>47</v>
      </c>
      <c r="M284" s="10" t="s">
        <v>21</v>
      </c>
      <c r="N284" s="10" t="s">
        <v>22</v>
      </c>
      <c r="O284" s="11" t="s">
        <v>877</v>
      </c>
      <c r="P284" s="5"/>
      <c r="Q284" s="5"/>
      <c r="R284" s="5"/>
      <c r="S284" s="5"/>
      <c r="T284" s="5"/>
    </row>
    <row r="285" ht="15.75" customHeight="1">
      <c r="A285" s="6" t="str">
        <f t="shared" si="1"/>
        <v>gifts for women, 1112997443</v>
      </c>
      <c r="B285" s="7" t="s">
        <v>15</v>
      </c>
      <c r="C285" s="5"/>
      <c r="D285" s="5" t="s">
        <v>641</v>
      </c>
      <c r="E285" s="5" t="s">
        <v>641</v>
      </c>
      <c r="F285" s="8">
        <v>1.112997443E9</v>
      </c>
      <c r="G285" s="9" t="str">
        <f>HYPERLINK("https://www.etsy.com/listing/1112997443", "link")</f>
        <v>link</v>
      </c>
      <c r="H285" s="9" t="str">
        <f>HYPERLINK("https://atlas.etsycorp.com/listing/1112997443/lookup", "link")</f>
        <v>link</v>
      </c>
      <c r="I285" s="5" t="s">
        <v>1010</v>
      </c>
      <c r="J285" s="5" t="s">
        <v>1011</v>
      </c>
      <c r="K285" s="5" t="s">
        <v>54</v>
      </c>
      <c r="L285" s="5" t="s">
        <v>55</v>
      </c>
      <c r="M285" s="10" t="s">
        <v>21</v>
      </c>
      <c r="N285" s="10" t="s">
        <v>22</v>
      </c>
      <c r="O285" s="11" t="s">
        <v>877</v>
      </c>
      <c r="P285" s="5"/>
      <c r="Q285" s="5"/>
      <c r="R285" s="5"/>
      <c r="S285" s="5"/>
      <c r="T285" s="5"/>
    </row>
    <row r="286" ht="15.75" customHeight="1">
      <c r="A286" s="6" t="str">
        <f t="shared" si="1"/>
        <v>pokemone japanese cards, 1452915632</v>
      </c>
      <c r="B286" s="7" t="s">
        <v>24</v>
      </c>
      <c r="C286" s="7" t="s">
        <v>1012</v>
      </c>
      <c r="D286" s="5" t="s">
        <v>1013</v>
      </c>
      <c r="E286" s="5"/>
      <c r="F286" s="8">
        <v>1.452915632E9</v>
      </c>
      <c r="G286" s="9" t="str">
        <f>HYPERLINK("https://www.etsy.com/listing/1452915632", "link")</f>
        <v>link</v>
      </c>
      <c r="H286" s="9" t="str">
        <f>HYPERLINK("https://atlas.etsycorp.com/listing/1452915632/lookup", "link")</f>
        <v>link</v>
      </c>
      <c r="I286" s="5" t="s">
        <v>1014</v>
      </c>
      <c r="J286" s="5" t="s">
        <v>1015</v>
      </c>
      <c r="K286" s="5" t="s">
        <v>19</v>
      </c>
      <c r="L286" s="5" t="s">
        <v>73</v>
      </c>
      <c r="M286" s="10" t="s">
        <v>21</v>
      </c>
      <c r="N286" s="10" t="s">
        <v>22</v>
      </c>
      <c r="O286" s="11" t="s">
        <v>877</v>
      </c>
      <c r="P286" s="5"/>
      <c r="Q286" s="5"/>
      <c r="R286" s="5"/>
      <c r="S286" s="5"/>
      <c r="T286" s="5"/>
    </row>
    <row r="287" ht="15.75" customHeight="1">
      <c r="A287" s="6" t="str">
        <f t="shared" si="1"/>
        <v>depop google sheets, 1573995450</v>
      </c>
      <c r="B287" s="7" t="s">
        <v>446</v>
      </c>
      <c r="C287" s="5"/>
      <c r="D287" s="5" t="s">
        <v>1016</v>
      </c>
      <c r="E287" s="5"/>
      <c r="F287" s="8">
        <v>1.57399545E9</v>
      </c>
      <c r="G287" s="9" t="str">
        <f>HYPERLINK("https://www.etsy.com/listing/1573995450", "link")</f>
        <v>link</v>
      </c>
      <c r="H287" s="9" t="str">
        <f>HYPERLINK("https://atlas.etsycorp.com/listing/1573995450/lookup", "link")</f>
        <v>link</v>
      </c>
      <c r="I287" s="5" t="s">
        <v>1017</v>
      </c>
      <c r="J287" s="5" t="s">
        <v>1018</v>
      </c>
      <c r="K287" s="5" t="s">
        <v>19</v>
      </c>
      <c r="L287" s="5" t="s">
        <v>73</v>
      </c>
      <c r="M287" s="10" t="s">
        <v>21</v>
      </c>
      <c r="N287" s="10" t="s">
        <v>22</v>
      </c>
      <c r="O287" s="11" t="s">
        <v>877</v>
      </c>
      <c r="P287" s="5"/>
      <c r="Q287" s="5"/>
      <c r="R287" s="5"/>
      <c r="S287" s="5"/>
      <c r="T287" s="5"/>
    </row>
    <row r="288" ht="15.75" customHeight="1">
      <c r="A288" s="6" t="str">
        <f t="shared" si="1"/>
        <v>william and mary antique furniture, 1450882618</v>
      </c>
      <c r="B288" s="7" t="s">
        <v>15</v>
      </c>
      <c r="C288" s="5"/>
      <c r="D288" s="5" t="s">
        <v>1019</v>
      </c>
      <c r="E288" s="5"/>
      <c r="F288" s="8">
        <v>1.450882618E9</v>
      </c>
      <c r="G288" s="9" t="str">
        <f>HYPERLINK("https://www.etsy.com/listing/1450882618", "link")</f>
        <v>link</v>
      </c>
      <c r="H288" s="9" t="str">
        <f>HYPERLINK("https://atlas.etsycorp.com/listing/1450882618/lookup", "link")</f>
        <v>link</v>
      </c>
      <c r="I288" s="5" t="s">
        <v>1020</v>
      </c>
      <c r="J288" s="5" t="s">
        <v>1021</v>
      </c>
      <c r="K288" s="5" t="s">
        <v>120</v>
      </c>
      <c r="L288" s="5" t="s">
        <v>73</v>
      </c>
      <c r="M288" s="10" t="s">
        <v>21</v>
      </c>
      <c r="N288" s="10" t="s">
        <v>22</v>
      </c>
      <c r="O288" s="11" t="s">
        <v>877</v>
      </c>
      <c r="P288" s="5"/>
      <c r="Q288" s="5"/>
      <c r="R288" s="5"/>
      <c r="S288" s="5"/>
      <c r="T288" s="5"/>
    </row>
    <row r="289" ht="15.75" customHeight="1">
      <c r="A289" s="6" t="str">
        <f t="shared" si="1"/>
        <v>vitage fischer, 1743683783</v>
      </c>
      <c r="B289" s="7" t="s">
        <v>48</v>
      </c>
      <c r="C289" s="5"/>
      <c r="D289" s="5" t="s">
        <v>221</v>
      </c>
      <c r="E289" s="5" t="s">
        <v>221</v>
      </c>
      <c r="F289" s="8">
        <v>1.743683783E9</v>
      </c>
      <c r="G289" s="9" t="str">
        <f>HYPERLINK("https://www.etsy.com/listing/1743683783", "link")</f>
        <v>link</v>
      </c>
      <c r="H289" s="9" t="str">
        <f>HYPERLINK("https://atlas.etsycorp.com/listing/1743683783/lookup", "link")</f>
        <v>link</v>
      </c>
      <c r="I289" s="5" t="s">
        <v>1022</v>
      </c>
      <c r="J289" s="5" t="s">
        <v>223</v>
      </c>
      <c r="K289" s="5" t="s">
        <v>46</v>
      </c>
      <c r="L289" s="5" t="s">
        <v>47</v>
      </c>
      <c r="M289" s="10" t="s">
        <v>21</v>
      </c>
      <c r="N289" s="10" t="s">
        <v>22</v>
      </c>
      <c r="O289" s="11" t="s">
        <v>877</v>
      </c>
      <c r="P289" s="5"/>
      <c r="Q289" s="5"/>
      <c r="R289" s="5"/>
      <c r="S289" s="5"/>
      <c r="T289" s="5"/>
    </row>
    <row r="290" ht="15.75" customHeight="1">
      <c r="A290" s="6" t="str">
        <f t="shared" si="1"/>
        <v>personalized romper women, 1665766922</v>
      </c>
      <c r="B290" s="7" t="s">
        <v>48</v>
      </c>
      <c r="C290" s="5"/>
      <c r="D290" s="5" t="s">
        <v>1023</v>
      </c>
      <c r="E290" s="5"/>
      <c r="F290" s="8">
        <v>1.665766922E9</v>
      </c>
      <c r="G290" s="9" t="str">
        <f>HYPERLINK("https://www.etsy.com/listing/1665766922", "link")</f>
        <v>link</v>
      </c>
      <c r="H290" s="9" t="str">
        <f>HYPERLINK("https://atlas.etsycorp.com/listing/1665766922/lookup", "link")</f>
        <v>link</v>
      </c>
      <c r="I290" s="5" t="s">
        <v>1024</v>
      </c>
      <c r="J290" s="5" t="s">
        <v>1025</v>
      </c>
      <c r="K290" s="5" t="s">
        <v>19</v>
      </c>
      <c r="L290" s="5" t="s">
        <v>41</v>
      </c>
      <c r="M290" s="10" t="s">
        <v>21</v>
      </c>
      <c r="N290" s="10" t="s">
        <v>22</v>
      </c>
      <c r="O290" s="11" t="s">
        <v>877</v>
      </c>
      <c r="P290" s="5"/>
      <c r="Q290" s="5"/>
      <c r="R290" s="5"/>
      <c r="S290" s="5"/>
      <c r="T290" s="5"/>
    </row>
    <row r="291" ht="15.75" customHeight="1">
      <c r="A291" s="6" t="str">
        <f t="shared" si="1"/>
        <v>wooden name puzzle, 1562161603</v>
      </c>
      <c r="B291" s="7" t="s">
        <v>15</v>
      </c>
      <c r="C291" s="5"/>
      <c r="D291" s="5" t="s">
        <v>1026</v>
      </c>
      <c r="E291" s="5"/>
      <c r="F291" s="8">
        <v>1.562161603E9</v>
      </c>
      <c r="G291" s="9" t="str">
        <f>HYPERLINK("https://www.etsy.com/listing/1562161603", "link")</f>
        <v>link</v>
      </c>
      <c r="H291" s="9" t="str">
        <f>HYPERLINK("https://atlas.etsycorp.com/listing/1562161603/lookup", "link")</f>
        <v>link</v>
      </c>
      <c r="I291" s="5" t="s">
        <v>1027</v>
      </c>
      <c r="J291" s="5" t="s">
        <v>1028</v>
      </c>
      <c r="K291" s="5" t="s">
        <v>19</v>
      </c>
      <c r="L291" s="5" t="s">
        <v>73</v>
      </c>
      <c r="M291" s="10" t="s">
        <v>21</v>
      </c>
      <c r="N291" s="10" t="s">
        <v>22</v>
      </c>
      <c r="O291" s="11" t="s">
        <v>877</v>
      </c>
      <c r="P291" s="5"/>
      <c r="Q291" s="5"/>
      <c r="R291" s="5"/>
      <c r="S291" s="5"/>
      <c r="T291" s="5"/>
    </row>
    <row r="292" ht="15.75" customHeight="1">
      <c r="A292" s="6" t="str">
        <f t="shared" si="1"/>
        <v>shell jewelry, 1486640206</v>
      </c>
      <c r="B292" s="7" t="s">
        <v>15</v>
      </c>
      <c r="C292" s="5"/>
      <c r="D292" s="5" t="s">
        <v>1029</v>
      </c>
      <c r="E292" s="5" t="s">
        <v>1029</v>
      </c>
      <c r="F292" s="8">
        <v>1.486640206E9</v>
      </c>
      <c r="G292" s="9" t="str">
        <f>HYPERLINK("https://www.etsy.com/listing/1486640206", "link")</f>
        <v>link</v>
      </c>
      <c r="H292" s="9" t="str">
        <f>HYPERLINK("https://atlas.etsycorp.com/listing/1486640206/lookup", "link")</f>
        <v>link</v>
      </c>
      <c r="I292" s="5" t="s">
        <v>1030</v>
      </c>
      <c r="J292" s="5" t="s">
        <v>1031</v>
      </c>
      <c r="K292" s="5" t="s">
        <v>229</v>
      </c>
      <c r="L292" s="5" t="s">
        <v>230</v>
      </c>
      <c r="M292" s="10" t="s">
        <v>21</v>
      </c>
      <c r="N292" s="10" t="s">
        <v>22</v>
      </c>
      <c r="O292" s="11" t="s">
        <v>877</v>
      </c>
      <c r="P292" s="5"/>
      <c r="Q292" s="5"/>
      <c r="R292" s="5"/>
      <c r="S292" s="5"/>
      <c r="T292" s="5"/>
    </row>
    <row r="293" ht="15.75" customHeight="1">
      <c r="A293" s="6" t="str">
        <f t="shared" si="1"/>
        <v>gamer gifts, 1377689472</v>
      </c>
      <c r="B293" s="7" t="s">
        <v>48</v>
      </c>
      <c r="C293" s="5"/>
      <c r="D293" s="5" t="s">
        <v>1032</v>
      </c>
      <c r="E293" s="5"/>
      <c r="F293" s="8">
        <v>1.377689472E9</v>
      </c>
      <c r="G293" s="9" t="str">
        <f>HYPERLINK("https://www.etsy.com/listing/1377689472", "link")</f>
        <v>link</v>
      </c>
      <c r="H293" s="9" t="str">
        <f>HYPERLINK("https://atlas.etsycorp.com/listing/1377689472/lookup", "link")</f>
        <v>link</v>
      </c>
      <c r="I293" s="5" t="s">
        <v>1033</v>
      </c>
      <c r="J293" s="5" t="s">
        <v>1034</v>
      </c>
      <c r="K293" s="5" t="s">
        <v>19</v>
      </c>
      <c r="L293" s="5" t="s">
        <v>100</v>
      </c>
      <c r="M293" s="10" t="s">
        <v>21</v>
      </c>
      <c r="N293" s="10" t="s">
        <v>22</v>
      </c>
      <c r="O293" s="11" t="s">
        <v>877</v>
      </c>
      <c r="P293" s="5"/>
      <c r="Q293" s="5"/>
      <c r="R293" s="5"/>
      <c r="S293" s="5"/>
      <c r="T293" s="5"/>
    </row>
    <row r="294" ht="15.75" customHeight="1">
      <c r="A294" s="6" t="str">
        <f t="shared" si="1"/>
        <v>spieltisch Outdoor, 1412829500</v>
      </c>
      <c r="B294" s="7" t="s">
        <v>48</v>
      </c>
      <c r="C294" s="5"/>
      <c r="D294" s="5" t="s">
        <v>1035</v>
      </c>
      <c r="E294" s="5" t="s">
        <v>1036</v>
      </c>
      <c r="F294" s="8">
        <v>1.4128295E9</v>
      </c>
      <c r="G294" s="9" t="str">
        <f>HYPERLINK("https://www.etsy.com/listing/1412829500", "link")</f>
        <v>link</v>
      </c>
      <c r="H294" s="9" t="str">
        <f>HYPERLINK("https://atlas.etsycorp.com/listing/1412829500/lookup", "link")</f>
        <v>link</v>
      </c>
      <c r="I294" s="5" t="s">
        <v>1037</v>
      </c>
      <c r="J294" s="5" t="s">
        <v>1038</v>
      </c>
      <c r="K294" s="5" t="s">
        <v>46</v>
      </c>
      <c r="L294" s="5" t="s">
        <v>47</v>
      </c>
      <c r="M294" s="10" t="s">
        <v>21</v>
      </c>
      <c r="N294" s="10" t="s">
        <v>22</v>
      </c>
      <c r="O294" s="11" t="s">
        <v>877</v>
      </c>
      <c r="P294" s="5"/>
      <c r="Q294" s="5"/>
      <c r="R294" s="5"/>
      <c r="S294" s="5"/>
      <c r="T294" s="5"/>
    </row>
    <row r="295" ht="15.75" customHeight="1">
      <c r="A295" s="6" t="str">
        <f t="shared" si="1"/>
        <v>sword, 1395677897</v>
      </c>
      <c r="B295" s="7" t="s">
        <v>15</v>
      </c>
      <c r="C295" s="5"/>
      <c r="D295" s="5" t="s">
        <v>1039</v>
      </c>
      <c r="E295" s="5"/>
      <c r="F295" s="8">
        <v>1.395677897E9</v>
      </c>
      <c r="G295" s="9" t="str">
        <f>HYPERLINK("https://www.etsy.com/listing/1395677897", "link")</f>
        <v>link</v>
      </c>
      <c r="H295" s="9" t="str">
        <f>HYPERLINK("https://atlas.etsycorp.com/listing/1395677897/lookup", "link")</f>
        <v>link</v>
      </c>
      <c r="I295" s="5" t="s">
        <v>1040</v>
      </c>
      <c r="J295" s="5" t="s">
        <v>1041</v>
      </c>
      <c r="K295" s="5" t="s">
        <v>19</v>
      </c>
      <c r="L295" s="5" t="s">
        <v>41</v>
      </c>
      <c r="M295" s="10" t="s">
        <v>21</v>
      </c>
      <c r="N295" s="10" t="s">
        <v>22</v>
      </c>
      <c r="O295" s="11" t="s">
        <v>877</v>
      </c>
      <c r="P295" s="5"/>
      <c r="Q295" s="5"/>
      <c r="R295" s="5"/>
      <c r="S295" s="5"/>
      <c r="T295" s="5"/>
    </row>
    <row r="296" ht="15.75" customHeight="1">
      <c r="A296" s="6" t="str">
        <f t="shared" si="1"/>
        <v>this is the doorbell, 995954561</v>
      </c>
      <c r="B296" s="7" t="s">
        <v>48</v>
      </c>
      <c r="C296" s="5"/>
      <c r="D296" s="5" t="s">
        <v>1042</v>
      </c>
      <c r="E296" s="5"/>
      <c r="F296" s="8">
        <v>9.95954561E8</v>
      </c>
      <c r="G296" s="9" t="str">
        <f>HYPERLINK("https://www.etsy.com/listing/995954561", "link")</f>
        <v>link</v>
      </c>
      <c r="H296" s="9" t="str">
        <f>HYPERLINK("https://atlas.etsycorp.com/listing/995954561/lookup", "link")</f>
        <v>link</v>
      </c>
      <c r="I296" s="5" t="s">
        <v>1043</v>
      </c>
      <c r="J296" s="5" t="s">
        <v>1044</v>
      </c>
      <c r="K296" s="5" t="s">
        <v>19</v>
      </c>
      <c r="L296" s="5" t="s">
        <v>20</v>
      </c>
      <c r="M296" s="10" t="s">
        <v>21</v>
      </c>
      <c r="N296" s="10" t="s">
        <v>22</v>
      </c>
      <c r="O296" s="11" t="s">
        <v>877</v>
      </c>
      <c r="P296" s="5"/>
      <c r="Q296" s="5"/>
      <c r="R296" s="5"/>
      <c r="S296" s="5"/>
      <c r="T296" s="5"/>
    </row>
    <row r="297" ht="15.75" customHeight="1">
      <c r="A297" s="6" t="str">
        <f t="shared" si="1"/>
        <v>candle warmer, 1600141105</v>
      </c>
      <c r="B297" s="7" t="s">
        <v>15</v>
      </c>
      <c r="C297" s="5"/>
      <c r="D297" s="5" t="s">
        <v>1045</v>
      </c>
      <c r="E297" s="5"/>
      <c r="F297" s="8">
        <v>1.600141105E9</v>
      </c>
      <c r="G297" s="9" t="str">
        <f>HYPERLINK("https://www.etsy.com/listing/1600141105", "link")</f>
        <v>link</v>
      </c>
      <c r="H297" s="9" t="str">
        <f>HYPERLINK("https://atlas.etsycorp.com/listing/1600141105/lookup", "link")</f>
        <v>link</v>
      </c>
      <c r="I297" s="5" t="s">
        <v>1046</v>
      </c>
      <c r="J297" s="5" t="s">
        <v>1047</v>
      </c>
      <c r="K297" s="5" t="s">
        <v>120</v>
      </c>
      <c r="L297" s="5" t="s">
        <v>41</v>
      </c>
      <c r="M297" s="10" t="s">
        <v>21</v>
      </c>
      <c r="N297" s="10" t="s">
        <v>22</v>
      </c>
      <c r="O297" s="11" t="s">
        <v>877</v>
      </c>
      <c r="P297" s="5"/>
      <c r="Q297" s="5"/>
      <c r="R297" s="5"/>
      <c r="S297" s="5"/>
      <c r="T297" s="5"/>
    </row>
    <row r="298" ht="15.75" customHeight="1">
      <c r="A298" s="6" t="str">
        <f t="shared" si="1"/>
        <v>fullcupwood works, 1489938405</v>
      </c>
      <c r="B298" s="7" t="s">
        <v>459</v>
      </c>
      <c r="C298" s="5"/>
      <c r="D298" s="5" t="s">
        <v>1048</v>
      </c>
      <c r="E298" s="5"/>
      <c r="F298" s="8">
        <v>1.489938405E9</v>
      </c>
      <c r="G298" s="9" t="str">
        <f>HYPERLINK("https://www.etsy.com/listing/1489938405", "link")</f>
        <v>link</v>
      </c>
      <c r="H298" s="9" t="str">
        <f>HYPERLINK("https://atlas.etsycorp.com/listing/1489938405/lookup", "link")</f>
        <v>link</v>
      </c>
      <c r="I298" s="5" t="s">
        <v>1049</v>
      </c>
      <c r="J298" s="5" t="s">
        <v>1050</v>
      </c>
      <c r="K298" s="5" t="s">
        <v>19</v>
      </c>
      <c r="L298" s="5" t="s">
        <v>20</v>
      </c>
      <c r="M298" s="10" t="s">
        <v>21</v>
      </c>
      <c r="N298" s="10" t="s">
        <v>22</v>
      </c>
      <c r="O298" s="11" t="s">
        <v>877</v>
      </c>
      <c r="P298" s="5"/>
      <c r="Q298" s="5"/>
      <c r="R298" s="5"/>
      <c r="S298" s="5"/>
      <c r="T298" s="5"/>
    </row>
    <row r="299" ht="15.75" customHeight="1">
      <c r="A299" s="6" t="str">
        <f t="shared" si="1"/>
        <v>kitten heels, 1540876182</v>
      </c>
      <c r="B299" s="7" t="s">
        <v>15</v>
      </c>
      <c r="C299" s="5"/>
      <c r="D299" s="5" t="s">
        <v>1051</v>
      </c>
      <c r="E299" s="5"/>
      <c r="F299" s="8">
        <v>1.540876182E9</v>
      </c>
      <c r="G299" s="9" t="str">
        <f>HYPERLINK("https://www.etsy.com/listing/1540876182", "link")</f>
        <v>link</v>
      </c>
      <c r="H299" s="9" t="str">
        <f>HYPERLINK("https://atlas.etsycorp.com/listing/1540876182/lookup", "link")</f>
        <v>link</v>
      </c>
      <c r="I299" s="5" t="s">
        <v>1052</v>
      </c>
      <c r="J299" s="5" t="s">
        <v>1053</v>
      </c>
      <c r="K299" s="5" t="s">
        <v>19</v>
      </c>
      <c r="L299" s="5" t="s">
        <v>41</v>
      </c>
      <c r="M299" s="10" t="s">
        <v>21</v>
      </c>
      <c r="N299" s="10" t="s">
        <v>22</v>
      </c>
      <c r="O299" s="11" t="s">
        <v>877</v>
      </c>
      <c r="P299" s="5"/>
      <c r="Q299" s="5"/>
      <c r="R299" s="5"/>
      <c r="S299" s="5"/>
      <c r="T299" s="5"/>
    </row>
    <row r="300" ht="15.75" customHeight="1">
      <c r="A300" s="6" t="str">
        <f t="shared" si="1"/>
        <v>umrah, 1527420502</v>
      </c>
      <c r="B300" s="7" t="s">
        <v>15</v>
      </c>
      <c r="C300" s="5"/>
      <c r="D300" s="5" t="s">
        <v>1054</v>
      </c>
      <c r="E300" s="5"/>
      <c r="F300" s="8">
        <v>1.527420502E9</v>
      </c>
      <c r="G300" s="9" t="str">
        <f>HYPERLINK("https://www.etsy.com/listing/1527420502", "link")</f>
        <v>link</v>
      </c>
      <c r="H300" s="9" t="str">
        <f>HYPERLINK("https://atlas.etsycorp.com/listing/1527420502/lookup", "link")</f>
        <v>link</v>
      </c>
      <c r="I300" s="5" t="s">
        <v>1055</v>
      </c>
      <c r="J300" s="5" t="s">
        <v>1056</v>
      </c>
      <c r="K300" s="5" t="s">
        <v>120</v>
      </c>
      <c r="L300" s="5" t="s">
        <v>20</v>
      </c>
      <c r="M300" s="10" t="s">
        <v>21</v>
      </c>
      <c r="N300" s="10" t="s">
        <v>22</v>
      </c>
      <c r="O300" s="11" t="s">
        <v>877</v>
      </c>
      <c r="P300" s="5"/>
      <c r="Q300" s="5"/>
      <c r="R300" s="5"/>
      <c r="S300" s="5"/>
      <c r="T300" s="5"/>
    </row>
    <row r="301" ht="15.75" customHeight="1">
      <c r="A301" s="6" t="str">
        <f t="shared" si="1"/>
        <v>labradorite bracelet, 1521202061</v>
      </c>
      <c r="B301" s="7" t="s">
        <v>15</v>
      </c>
      <c r="C301" s="5"/>
      <c r="D301" s="5" t="s">
        <v>1057</v>
      </c>
      <c r="E301" s="5"/>
      <c r="F301" s="8">
        <v>1.521202061E9</v>
      </c>
      <c r="G301" s="9" t="str">
        <f>HYPERLINK("https://www.etsy.com/listing/1521202061", "link")</f>
        <v>link</v>
      </c>
      <c r="H301" s="9" t="str">
        <f>HYPERLINK("https://atlas.etsycorp.com/listing/1521202061/lookup", "link")</f>
        <v>link</v>
      </c>
      <c r="I301" s="5" t="s">
        <v>1058</v>
      </c>
      <c r="J301" s="5" t="s">
        <v>1059</v>
      </c>
      <c r="K301" s="5" t="s">
        <v>19</v>
      </c>
      <c r="L301" s="5" t="s">
        <v>73</v>
      </c>
      <c r="M301" s="10" t="s">
        <v>21</v>
      </c>
      <c r="N301" s="10" t="s">
        <v>22</v>
      </c>
      <c r="O301" s="11" t="s">
        <v>877</v>
      </c>
      <c r="P301" s="5"/>
      <c r="Q301" s="5"/>
      <c r="R301" s="5"/>
      <c r="S301" s="5"/>
      <c r="T301" s="5"/>
    </row>
    <row r="302" ht="15.75" customHeight="1">
      <c r="A302" s="6" t="str">
        <f t="shared" si="1"/>
        <v>kersmik kugel wand, 797676465</v>
      </c>
      <c r="B302" s="7" t="s">
        <v>48</v>
      </c>
      <c r="C302" s="5"/>
      <c r="D302" s="5" t="s">
        <v>1060</v>
      </c>
      <c r="E302" s="5" t="s">
        <v>1061</v>
      </c>
      <c r="F302" s="8">
        <v>7.97676465E8</v>
      </c>
      <c r="G302" s="9" t="str">
        <f>HYPERLINK("https://www.etsy.com/listing/797676465", "link")</f>
        <v>link</v>
      </c>
      <c r="H302" s="9" t="str">
        <f>HYPERLINK("https://atlas.etsycorp.com/listing/797676465/lookup", "link")</f>
        <v>link</v>
      </c>
      <c r="I302" s="5" t="s">
        <v>1062</v>
      </c>
      <c r="J302" s="5" t="s">
        <v>1063</v>
      </c>
      <c r="K302" s="5" t="s">
        <v>46</v>
      </c>
      <c r="L302" s="5" t="s">
        <v>47</v>
      </c>
      <c r="M302" s="10" t="s">
        <v>21</v>
      </c>
      <c r="N302" s="10" t="s">
        <v>22</v>
      </c>
      <c r="O302" s="11" t="s">
        <v>877</v>
      </c>
      <c r="P302" s="5"/>
      <c r="Q302" s="5"/>
      <c r="R302" s="5"/>
      <c r="S302" s="5"/>
      <c r="T302" s="5"/>
    </row>
    <row r="303" ht="15.75" customHeight="1">
      <c r="A303" s="6" t="str">
        <f t="shared" si="1"/>
        <v>rowe bag, 1363377237</v>
      </c>
      <c r="B303" s="7" t="s">
        <v>15</v>
      </c>
      <c r="C303" s="5"/>
      <c r="D303" s="5" t="s">
        <v>1064</v>
      </c>
      <c r="E303" s="5"/>
      <c r="F303" s="8">
        <v>1.363377237E9</v>
      </c>
      <c r="G303" s="9" t="str">
        <f>HYPERLINK("https://www.etsy.com/listing/1363377237", "link")</f>
        <v>link</v>
      </c>
      <c r="H303" s="9" t="str">
        <f>HYPERLINK("https://atlas.etsycorp.com/listing/1363377237/lookup", "link")</f>
        <v>link</v>
      </c>
      <c r="I303" s="5" t="s">
        <v>1065</v>
      </c>
      <c r="J303" s="5" t="s">
        <v>1066</v>
      </c>
      <c r="K303" s="5" t="s">
        <v>120</v>
      </c>
      <c r="L303" s="5" t="s">
        <v>41</v>
      </c>
      <c r="M303" s="10" t="s">
        <v>21</v>
      </c>
      <c r="N303" s="10" t="s">
        <v>22</v>
      </c>
      <c r="O303" s="11" t="s">
        <v>877</v>
      </c>
      <c r="P303" s="5"/>
      <c r="Q303" s="5"/>
      <c r="R303" s="5"/>
      <c r="S303" s="5"/>
      <c r="T303" s="5"/>
    </row>
    <row r="304" ht="15.75" customHeight="1">
      <c r="A304" s="6" t="str">
        <f t="shared" si="1"/>
        <v>pink striped scarf, 1121974543</v>
      </c>
      <c r="B304" s="7" t="s">
        <v>15</v>
      </c>
      <c r="C304" s="5"/>
      <c r="D304" s="5" t="s">
        <v>1067</v>
      </c>
      <c r="E304" s="5"/>
      <c r="F304" s="8">
        <v>1.121974543E9</v>
      </c>
      <c r="G304" s="9" t="str">
        <f>HYPERLINK("https://www.etsy.com/listing/1121974543", "link")</f>
        <v>link</v>
      </c>
      <c r="H304" s="9" t="str">
        <f>HYPERLINK("https://atlas.etsycorp.com/listing/1121974543/lookup", "link")</f>
        <v>link</v>
      </c>
      <c r="I304" s="5" t="s">
        <v>1068</v>
      </c>
      <c r="J304" s="5" t="s">
        <v>1069</v>
      </c>
      <c r="K304" s="5" t="s">
        <v>19</v>
      </c>
      <c r="L304" s="5" t="s">
        <v>73</v>
      </c>
      <c r="M304" s="10" t="s">
        <v>21</v>
      </c>
      <c r="N304" s="10" t="s">
        <v>22</v>
      </c>
      <c r="O304" s="11" t="s">
        <v>877</v>
      </c>
      <c r="P304" s="5"/>
      <c r="Q304" s="5"/>
      <c r="R304" s="5"/>
      <c r="S304" s="5"/>
      <c r="T304" s="5"/>
    </row>
    <row r="305" ht="15.75" customHeight="1">
      <c r="A305" s="6" t="str">
        <f t="shared" si="1"/>
        <v>80s wood necklace, 628807416</v>
      </c>
      <c r="B305" s="7" t="s">
        <v>15</v>
      </c>
      <c r="C305" s="5"/>
      <c r="D305" s="5" t="s">
        <v>1070</v>
      </c>
      <c r="E305" s="5"/>
      <c r="F305" s="8">
        <v>6.28807416E8</v>
      </c>
      <c r="G305" s="9" t="str">
        <f>HYPERLINK("https://www.etsy.com/listing/628807416", "link")</f>
        <v>link</v>
      </c>
      <c r="H305" s="9" t="str">
        <f>HYPERLINK("https://atlas.etsycorp.com/listing/628807416/lookup", "link")</f>
        <v>link</v>
      </c>
      <c r="I305" s="5" t="s">
        <v>1071</v>
      </c>
      <c r="J305" s="5" t="s">
        <v>1072</v>
      </c>
      <c r="K305" s="5" t="s">
        <v>19</v>
      </c>
      <c r="L305" s="5" t="s">
        <v>73</v>
      </c>
      <c r="M305" s="10" t="s">
        <v>21</v>
      </c>
      <c r="N305" s="10" t="s">
        <v>22</v>
      </c>
      <c r="O305" s="11" t="s">
        <v>877</v>
      </c>
      <c r="P305" s="5"/>
      <c r="Q305" s="5"/>
      <c r="R305" s="5"/>
      <c r="S305" s="5"/>
      <c r="T305" s="5"/>
    </row>
    <row r="306" ht="15.75" customHeight="1">
      <c r="A306" s="6" t="str">
        <f t="shared" si="1"/>
        <v>schriftzug mit Minifeder, 1479905757</v>
      </c>
      <c r="B306" s="7" t="s">
        <v>48</v>
      </c>
      <c r="C306" s="5"/>
      <c r="D306" s="5" t="s">
        <v>481</v>
      </c>
      <c r="E306" s="5" t="s">
        <v>482</v>
      </c>
      <c r="F306" s="8">
        <v>1.479905757E9</v>
      </c>
      <c r="G306" s="9" t="str">
        <f>HYPERLINK("https://www.etsy.com/listing/1479905757", "link")</f>
        <v>link</v>
      </c>
      <c r="H306" s="9" t="str">
        <f>HYPERLINK("https://atlas.etsycorp.com/listing/1479905757/lookup", "link")</f>
        <v>link</v>
      </c>
      <c r="I306" s="5" t="s">
        <v>1073</v>
      </c>
      <c r="J306" s="5" t="s">
        <v>484</v>
      </c>
      <c r="K306" s="5" t="s">
        <v>46</v>
      </c>
      <c r="L306" s="5" t="s">
        <v>47</v>
      </c>
      <c r="M306" s="10" t="s">
        <v>21</v>
      </c>
      <c r="N306" s="10" t="s">
        <v>22</v>
      </c>
      <c r="O306" s="11" t="s">
        <v>877</v>
      </c>
      <c r="P306" s="5"/>
      <c r="Q306" s="5"/>
      <c r="R306" s="5"/>
      <c r="S306" s="5"/>
      <c r="T306" s="5"/>
    </row>
    <row r="307" ht="15.75" customHeight="1">
      <c r="A307" s="6" t="str">
        <f t="shared" si="1"/>
        <v>gifts for kids, 1297761172</v>
      </c>
      <c r="B307" s="7" t="s">
        <v>15</v>
      </c>
      <c r="C307" s="5"/>
      <c r="D307" s="5" t="s">
        <v>675</v>
      </c>
      <c r="E307" s="5"/>
      <c r="F307" s="8">
        <v>1.297761172E9</v>
      </c>
      <c r="G307" s="9" t="str">
        <f>HYPERLINK("https://www.etsy.com/listing/1297761172", "link")</f>
        <v>link</v>
      </c>
      <c r="H307" s="9" t="str">
        <f>HYPERLINK("https://atlas.etsycorp.com/listing/1297761172/lookup", "link")</f>
        <v>link</v>
      </c>
      <c r="I307" s="5" t="s">
        <v>1074</v>
      </c>
      <c r="J307" s="5" t="s">
        <v>1075</v>
      </c>
      <c r="K307" s="5" t="s">
        <v>19</v>
      </c>
      <c r="L307" s="5" t="s">
        <v>20</v>
      </c>
      <c r="M307" s="10" t="s">
        <v>21</v>
      </c>
      <c r="N307" s="10" t="s">
        <v>22</v>
      </c>
      <c r="O307" s="11" t="s">
        <v>877</v>
      </c>
      <c r="P307" s="5"/>
      <c r="Q307" s="5"/>
      <c r="R307" s="5"/>
      <c r="S307" s="5"/>
      <c r="T307" s="5"/>
    </row>
    <row r="308" ht="15.75" customHeight="1">
      <c r="A308" s="6" t="str">
        <f t="shared" si="1"/>
        <v>Custom womens clothing, 1311306531</v>
      </c>
      <c r="B308" s="7" t="s">
        <v>48</v>
      </c>
      <c r="C308" s="5"/>
      <c r="D308" s="5" t="s">
        <v>512</v>
      </c>
      <c r="E308" s="5" t="s">
        <v>512</v>
      </c>
      <c r="F308" s="8">
        <v>1.311306531E9</v>
      </c>
      <c r="G308" s="9" t="str">
        <f>HYPERLINK("https://www.etsy.com/listing/1311306531", "link")</f>
        <v>link</v>
      </c>
      <c r="H308" s="9" t="str">
        <f>HYPERLINK("https://atlas.etsycorp.com/listing/1311306531/lookup", "link")</f>
        <v>link</v>
      </c>
      <c r="I308" s="5" t="s">
        <v>1076</v>
      </c>
      <c r="J308" s="5" t="s">
        <v>514</v>
      </c>
      <c r="K308" s="5" t="s">
        <v>54</v>
      </c>
      <c r="L308" s="5" t="s">
        <v>55</v>
      </c>
      <c r="M308" s="10" t="s">
        <v>21</v>
      </c>
      <c r="N308" s="10" t="s">
        <v>22</v>
      </c>
      <c r="O308" s="11" t="s">
        <v>877</v>
      </c>
      <c r="P308" s="5"/>
      <c r="Q308" s="5"/>
      <c r="R308" s="5"/>
      <c r="S308" s="5"/>
      <c r="T308" s="5"/>
    </row>
    <row r="309" ht="15.75" customHeight="1">
      <c r="A309" s="6" t="str">
        <f t="shared" si="1"/>
        <v>60th birthday gifts for her, 1667573127</v>
      </c>
      <c r="B309" s="7" t="s">
        <v>15</v>
      </c>
      <c r="C309" s="5"/>
      <c r="D309" s="5" t="s">
        <v>1077</v>
      </c>
      <c r="E309" s="5"/>
      <c r="F309" s="8">
        <v>1.667573127E9</v>
      </c>
      <c r="G309" s="9" t="str">
        <f>HYPERLINK("https://www.etsy.com/listing/1667573127", "link")</f>
        <v>link</v>
      </c>
      <c r="H309" s="9" t="str">
        <f>HYPERLINK("https://atlas.etsycorp.com/listing/1667573127/lookup", "link")</f>
        <v>link</v>
      </c>
      <c r="I309" s="5" t="s">
        <v>1078</v>
      </c>
      <c r="J309" s="5" t="s">
        <v>1079</v>
      </c>
      <c r="K309" s="5" t="s">
        <v>19</v>
      </c>
      <c r="L309" s="5" t="s">
        <v>100</v>
      </c>
      <c r="M309" s="10" t="s">
        <v>21</v>
      </c>
      <c r="N309" s="10" t="s">
        <v>22</v>
      </c>
      <c r="O309" s="11" t="s">
        <v>877</v>
      </c>
      <c r="P309" s="5"/>
      <c r="Q309" s="5"/>
      <c r="R309" s="5"/>
      <c r="S309" s="5"/>
      <c r="T309" s="5"/>
    </row>
    <row r="310" ht="15.75" customHeight="1">
      <c r="A310" s="6" t="str">
        <f t="shared" si="1"/>
        <v>Custom womens clothing, 1347010175</v>
      </c>
      <c r="B310" s="7" t="s">
        <v>24</v>
      </c>
      <c r="C310" s="7" t="s">
        <v>1080</v>
      </c>
      <c r="D310" s="5" t="s">
        <v>512</v>
      </c>
      <c r="E310" s="5" t="s">
        <v>1081</v>
      </c>
      <c r="F310" s="8">
        <v>1.347010175E9</v>
      </c>
      <c r="G310" s="9" t="str">
        <f>HYPERLINK("https://www.etsy.com/listing/1347010175", "link")</f>
        <v>link</v>
      </c>
      <c r="H310" s="9" t="str">
        <f>HYPERLINK("https://atlas.etsycorp.com/listing/1347010175/lookup", "link")</f>
        <v>link</v>
      </c>
      <c r="I310" s="5" t="s">
        <v>1082</v>
      </c>
      <c r="J310" s="5" t="s">
        <v>1083</v>
      </c>
      <c r="K310" s="5" t="s">
        <v>29</v>
      </c>
      <c r="L310" s="5" t="s">
        <v>30</v>
      </c>
      <c r="M310" s="10" t="s">
        <v>21</v>
      </c>
      <c r="N310" s="10" t="s">
        <v>22</v>
      </c>
      <c r="O310" s="11" t="s">
        <v>877</v>
      </c>
      <c r="P310" s="5"/>
      <c r="Q310" s="5"/>
      <c r="R310" s="5"/>
      <c r="S310" s="5"/>
      <c r="T310" s="5"/>
    </row>
    <row r="311" ht="15.75" customHeight="1">
      <c r="A311" s="6" t="str">
        <f t="shared" si="1"/>
        <v>traumfänger, 915498333</v>
      </c>
      <c r="B311" s="7" t="s">
        <v>15</v>
      </c>
      <c r="C311" s="5"/>
      <c r="D311" s="5" t="s">
        <v>1084</v>
      </c>
      <c r="E311" s="5" t="s">
        <v>1085</v>
      </c>
      <c r="F311" s="8">
        <v>9.15498333E8</v>
      </c>
      <c r="G311" s="9" t="str">
        <f>HYPERLINK("https://www.etsy.com/listing/915498333", "link")</f>
        <v>link</v>
      </c>
      <c r="H311" s="9" t="str">
        <f>HYPERLINK("https://atlas.etsycorp.com/listing/915498333/lookup", "link")</f>
        <v>link</v>
      </c>
      <c r="I311" s="5" t="s">
        <v>1086</v>
      </c>
      <c r="J311" s="5" t="s">
        <v>1087</v>
      </c>
      <c r="K311" s="5" t="s">
        <v>46</v>
      </c>
      <c r="L311" s="5" t="s">
        <v>47</v>
      </c>
      <c r="M311" s="10" t="s">
        <v>21</v>
      </c>
      <c r="N311" s="10" t="s">
        <v>22</v>
      </c>
      <c r="O311" s="11" t="s">
        <v>877</v>
      </c>
      <c r="P311" s="5"/>
      <c r="Q311" s="5"/>
      <c r="R311" s="5"/>
      <c r="S311" s="5"/>
      <c r="T311" s="5"/>
    </row>
    <row r="312" ht="15.75" customHeight="1">
      <c r="A312" s="6" t="str">
        <f t="shared" si="1"/>
        <v>mango jewellery, 1076190801</v>
      </c>
      <c r="B312" s="7" t="s">
        <v>48</v>
      </c>
      <c r="C312" s="7" t="s">
        <v>1088</v>
      </c>
      <c r="D312" s="5" t="s">
        <v>1089</v>
      </c>
      <c r="E312" s="5"/>
      <c r="F312" s="8">
        <v>1.076190801E9</v>
      </c>
      <c r="G312" s="9" t="str">
        <f>HYPERLINK("https://www.etsy.com/listing/1076190801", "link")</f>
        <v>link</v>
      </c>
      <c r="H312" s="9" t="str">
        <f>HYPERLINK("https://atlas.etsycorp.com/listing/1076190801/lookup", "link")</f>
        <v>link</v>
      </c>
      <c r="I312" s="5" t="s">
        <v>1090</v>
      </c>
      <c r="J312" s="5" t="s">
        <v>1091</v>
      </c>
      <c r="K312" s="5" t="s">
        <v>120</v>
      </c>
      <c r="L312" s="5" t="s">
        <v>20</v>
      </c>
      <c r="M312" s="10" t="s">
        <v>21</v>
      </c>
      <c r="N312" s="10" t="s">
        <v>22</v>
      </c>
      <c r="O312" s="11" t="s">
        <v>877</v>
      </c>
      <c r="P312" s="5"/>
      <c r="Q312" s="5"/>
      <c r="R312" s="5"/>
      <c r="S312" s="5"/>
      <c r="T312" s="5"/>
    </row>
    <row r="313" ht="15.75" customHeight="1">
      <c r="A313" s="6" t="str">
        <f t="shared" si="1"/>
        <v>logo R300, 1748605929</v>
      </c>
      <c r="B313" s="7" t="s">
        <v>48</v>
      </c>
      <c r="C313" s="5"/>
      <c r="D313" s="5" t="s">
        <v>935</v>
      </c>
      <c r="E313" s="5" t="s">
        <v>936</v>
      </c>
      <c r="F313" s="8">
        <v>1.748605929E9</v>
      </c>
      <c r="G313" s="9" t="str">
        <f>HYPERLINK("https://www.etsy.com/listing/1748605929", "link")</f>
        <v>link</v>
      </c>
      <c r="H313" s="9" t="str">
        <f>HYPERLINK("https://atlas.etsycorp.com/listing/1748605929/lookup", "link")</f>
        <v>link</v>
      </c>
      <c r="I313" s="5" t="s">
        <v>1092</v>
      </c>
      <c r="J313" s="5" t="s">
        <v>938</v>
      </c>
      <c r="K313" s="5" t="s">
        <v>54</v>
      </c>
      <c r="L313" s="5" t="s">
        <v>55</v>
      </c>
      <c r="M313" s="10" t="s">
        <v>21</v>
      </c>
      <c r="N313" s="10" t="s">
        <v>22</v>
      </c>
      <c r="O313" s="11" t="s">
        <v>877</v>
      </c>
      <c r="P313" s="5"/>
      <c r="Q313" s="5"/>
      <c r="R313" s="5"/>
      <c r="S313" s="5"/>
      <c r="T313" s="5"/>
    </row>
    <row r="314" ht="15.75" customHeight="1">
      <c r="A314" s="6" t="str">
        <f t="shared" si="1"/>
        <v>polymer clay cutters, 1383655535</v>
      </c>
      <c r="B314" s="7" t="s">
        <v>15</v>
      </c>
      <c r="C314" s="5"/>
      <c r="D314" s="5" t="s">
        <v>1093</v>
      </c>
      <c r="E314" s="5"/>
      <c r="F314" s="8">
        <v>1.383655535E9</v>
      </c>
      <c r="G314" s="9" t="str">
        <f>HYPERLINK("https://www.etsy.com/listing/1383655535", "link")</f>
        <v>link</v>
      </c>
      <c r="H314" s="9" t="str">
        <f>HYPERLINK("https://atlas.etsycorp.com/listing/1383655535/lookup", "link")</f>
        <v>link</v>
      </c>
      <c r="I314" s="5" t="s">
        <v>1094</v>
      </c>
      <c r="J314" s="5" t="s">
        <v>1095</v>
      </c>
      <c r="K314" s="5" t="s">
        <v>19</v>
      </c>
      <c r="L314" s="5" t="s">
        <v>73</v>
      </c>
      <c r="M314" s="10" t="s">
        <v>21</v>
      </c>
      <c r="N314" s="10" t="s">
        <v>22</v>
      </c>
      <c r="O314" s="11" t="s">
        <v>877</v>
      </c>
      <c r="P314" s="5"/>
      <c r="Q314" s="5"/>
      <c r="R314" s="5"/>
      <c r="S314" s="5"/>
      <c r="T314" s="5"/>
    </row>
    <row r="315" ht="15.75" customHeight="1">
      <c r="A315" s="6" t="str">
        <f t="shared" si="1"/>
        <v>wickelauflage, 1524482478</v>
      </c>
      <c r="B315" s="7" t="s">
        <v>15</v>
      </c>
      <c r="C315" s="5"/>
      <c r="D315" s="5" t="s">
        <v>140</v>
      </c>
      <c r="E315" s="5" t="s">
        <v>141</v>
      </c>
      <c r="F315" s="8">
        <v>1.524482478E9</v>
      </c>
      <c r="G315" s="9" t="str">
        <f>HYPERLINK("https://www.etsy.com/listing/1524482478", "link")</f>
        <v>link</v>
      </c>
      <c r="H315" s="9" t="str">
        <f>HYPERLINK("https://atlas.etsycorp.com/listing/1524482478/lookup", "link")</f>
        <v>link</v>
      </c>
      <c r="I315" s="5" t="s">
        <v>1096</v>
      </c>
      <c r="J315" s="5" t="s">
        <v>1097</v>
      </c>
      <c r="K315" s="5" t="s">
        <v>46</v>
      </c>
      <c r="L315" s="5" t="s">
        <v>47</v>
      </c>
      <c r="M315" s="10" t="s">
        <v>21</v>
      </c>
      <c r="N315" s="10" t="s">
        <v>22</v>
      </c>
      <c r="O315" s="11" t="s">
        <v>877</v>
      </c>
      <c r="P315" s="5"/>
      <c r="Q315" s="5"/>
      <c r="R315" s="5"/>
      <c r="S315" s="5"/>
      <c r="T315" s="5"/>
    </row>
    <row r="316" ht="15.75" customHeight="1">
      <c r="A316" s="6" t="str">
        <f t="shared" si="1"/>
        <v>ae, 1713242494</v>
      </c>
      <c r="B316" s="7" t="s">
        <v>446</v>
      </c>
      <c r="C316" s="7"/>
      <c r="D316" s="5" t="s">
        <v>536</v>
      </c>
      <c r="E316" s="5" t="s">
        <v>536</v>
      </c>
      <c r="F316" s="8">
        <v>1.713242494E9</v>
      </c>
      <c r="G316" s="9" t="str">
        <f>HYPERLINK("https://www.etsy.com/listing/1713242494", "link")</f>
        <v>link</v>
      </c>
      <c r="H316" s="9" t="str">
        <f>HYPERLINK("https://atlas.etsycorp.com/listing/1713242494/lookup", "link")</f>
        <v>link</v>
      </c>
      <c r="I316" s="5" t="s">
        <v>1098</v>
      </c>
      <c r="J316" s="5" t="s">
        <v>538</v>
      </c>
      <c r="K316" s="5" t="s">
        <v>29</v>
      </c>
      <c r="L316" s="5" t="s">
        <v>30</v>
      </c>
      <c r="M316" s="10" t="s">
        <v>21</v>
      </c>
      <c r="N316" s="10" t="s">
        <v>22</v>
      </c>
      <c r="O316" s="11" t="s">
        <v>877</v>
      </c>
      <c r="P316" s="5"/>
      <c r="Q316" s="5"/>
      <c r="R316" s="5"/>
      <c r="S316" s="5"/>
      <c r="T316" s="5"/>
    </row>
    <row r="317" ht="15.75" customHeight="1">
      <c r="A317" s="6" t="str">
        <f t="shared" si="1"/>
        <v>sustainable bookcases, 1596509581</v>
      </c>
      <c r="B317" s="7" t="s">
        <v>24</v>
      </c>
      <c r="C317" s="7" t="s">
        <v>1099</v>
      </c>
      <c r="D317" s="5" t="s">
        <v>1100</v>
      </c>
      <c r="E317" s="5"/>
      <c r="F317" s="8">
        <v>1.596509581E9</v>
      </c>
      <c r="G317" s="9" t="str">
        <f>HYPERLINK("https://www.etsy.com/listing/1596509581", "link")</f>
        <v>link</v>
      </c>
      <c r="H317" s="9" t="str">
        <f>HYPERLINK("https://atlas.etsycorp.com/listing/1596509581/lookup", "link")</f>
        <v>link</v>
      </c>
      <c r="I317" s="5" t="s">
        <v>1101</v>
      </c>
      <c r="J317" s="5" t="s">
        <v>1102</v>
      </c>
      <c r="K317" s="5" t="s">
        <v>120</v>
      </c>
      <c r="L317" s="5" t="s">
        <v>41</v>
      </c>
      <c r="M317" s="10" t="s">
        <v>21</v>
      </c>
      <c r="N317" s="10" t="s">
        <v>22</v>
      </c>
      <c r="O317" s="11" t="s">
        <v>877</v>
      </c>
      <c r="P317" s="5"/>
      <c r="Q317" s="5"/>
      <c r="R317" s="5"/>
      <c r="S317" s="5"/>
      <c r="T317" s="5"/>
    </row>
    <row r="318" ht="15.75" customHeight="1">
      <c r="A318" s="6" t="str">
        <f t="shared" si="1"/>
        <v>poster xxl carte du monde animaux, 486542720</v>
      </c>
      <c r="B318" s="7" t="s">
        <v>15</v>
      </c>
      <c r="C318" s="5"/>
      <c r="D318" s="5" t="s">
        <v>1103</v>
      </c>
      <c r="E318" s="5" t="s">
        <v>1104</v>
      </c>
      <c r="F318" s="8">
        <v>4.8654272E8</v>
      </c>
      <c r="G318" s="9" t="str">
        <f>HYPERLINK("https://www.etsy.com/listing/486542720", "link")</f>
        <v>link</v>
      </c>
      <c r="H318" s="9" t="str">
        <f>HYPERLINK("https://atlas.etsycorp.com/listing/486542720/lookup", "link")</f>
        <v>link</v>
      </c>
      <c r="I318" s="5" t="s">
        <v>1105</v>
      </c>
      <c r="J318" s="5" t="s">
        <v>1106</v>
      </c>
      <c r="K318" s="5" t="s">
        <v>54</v>
      </c>
      <c r="L318" s="5" t="s">
        <v>55</v>
      </c>
      <c r="M318" s="10" t="s">
        <v>21</v>
      </c>
      <c r="N318" s="10" t="s">
        <v>22</v>
      </c>
      <c r="O318" s="11" t="s">
        <v>877</v>
      </c>
      <c r="P318" s="5"/>
      <c r="Q318" s="5"/>
      <c r="R318" s="5"/>
      <c r="S318" s="5"/>
      <c r="T318" s="5"/>
    </row>
    <row r="319" ht="15.75" customHeight="1">
      <c r="A319" s="6" t="str">
        <f t="shared" si="1"/>
        <v>vegeta, 1730820657</v>
      </c>
      <c r="B319" s="7" t="s">
        <v>15</v>
      </c>
      <c r="C319" s="5"/>
      <c r="D319" s="5" t="s">
        <v>471</v>
      </c>
      <c r="E319" s="5" t="s">
        <v>471</v>
      </c>
      <c r="F319" s="8">
        <v>1.730820657E9</v>
      </c>
      <c r="G319" s="9" t="str">
        <f>HYPERLINK("https://www.etsy.com/listing/1730820657", "link")</f>
        <v>link</v>
      </c>
      <c r="H319" s="9" t="str">
        <f>HYPERLINK("https://atlas.etsycorp.com/listing/1730820657/lookup", "link")</f>
        <v>link</v>
      </c>
      <c r="I319" s="5" t="s">
        <v>1107</v>
      </c>
      <c r="J319" s="5" t="s">
        <v>473</v>
      </c>
      <c r="K319" s="5" t="s">
        <v>46</v>
      </c>
      <c r="L319" s="5" t="s">
        <v>47</v>
      </c>
      <c r="M319" s="10" t="s">
        <v>21</v>
      </c>
      <c r="N319" s="10" t="s">
        <v>22</v>
      </c>
      <c r="O319" s="11" t="s">
        <v>877</v>
      </c>
      <c r="P319" s="5"/>
      <c r="Q319" s="5"/>
      <c r="R319" s="5"/>
      <c r="S319" s="5"/>
      <c r="T319" s="5"/>
    </row>
    <row r="320" ht="15.75" customHeight="1">
      <c r="A320" s="6" t="str">
        <f t="shared" si="1"/>
        <v>black madonna, 1077337878</v>
      </c>
      <c r="B320" s="7" t="s">
        <v>48</v>
      </c>
      <c r="C320" s="5"/>
      <c r="D320" s="5" t="s">
        <v>1108</v>
      </c>
      <c r="E320" s="5"/>
      <c r="F320" s="8">
        <v>1.077337878E9</v>
      </c>
      <c r="G320" s="9" t="str">
        <f>HYPERLINK("https://www.etsy.com/listing/1077337878", "link")</f>
        <v>link</v>
      </c>
      <c r="H320" s="9" t="str">
        <f>HYPERLINK("https://atlas.etsycorp.com/listing/1077337878/lookup", "link")</f>
        <v>link</v>
      </c>
      <c r="I320" s="5" t="s">
        <v>1109</v>
      </c>
      <c r="J320" s="5" t="s">
        <v>1110</v>
      </c>
      <c r="K320" s="5" t="s">
        <v>19</v>
      </c>
      <c r="L320" s="5" t="s">
        <v>20</v>
      </c>
      <c r="M320" s="10" t="s">
        <v>21</v>
      </c>
      <c r="N320" s="10" t="s">
        <v>22</v>
      </c>
      <c r="O320" s="11" t="s">
        <v>877</v>
      </c>
      <c r="P320" s="5"/>
      <c r="Q320" s="5"/>
      <c r="R320" s="5"/>
      <c r="S320" s="5"/>
      <c r="T320" s="5"/>
    </row>
    <row r="321" ht="15.75" customHeight="1">
      <c r="A321" s="6" t="str">
        <f t="shared" si="1"/>
        <v>blue thistle gift, 1654355159</v>
      </c>
      <c r="B321" s="7" t="s">
        <v>15</v>
      </c>
      <c r="C321" s="5"/>
      <c r="D321" s="5" t="s">
        <v>1111</v>
      </c>
      <c r="E321" s="5"/>
      <c r="F321" s="8">
        <v>1.654355159E9</v>
      </c>
      <c r="G321" s="9" t="str">
        <f>HYPERLINK("https://www.etsy.com/listing/1654355159", "link")</f>
        <v>link</v>
      </c>
      <c r="H321" s="9" t="str">
        <f>HYPERLINK("https://atlas.etsycorp.com/listing/1654355159/lookup", "link")</f>
        <v>link</v>
      </c>
      <c r="I321" s="5" t="s">
        <v>1112</v>
      </c>
      <c r="J321" s="5" t="s">
        <v>1113</v>
      </c>
      <c r="K321" s="5" t="s">
        <v>19</v>
      </c>
      <c r="L321" s="5" t="s">
        <v>100</v>
      </c>
      <c r="M321" s="10" t="s">
        <v>21</v>
      </c>
      <c r="N321" s="10" t="s">
        <v>22</v>
      </c>
      <c r="O321" s="11" t="s">
        <v>877</v>
      </c>
      <c r="P321" s="5"/>
      <c r="Q321" s="5"/>
      <c r="R321" s="5"/>
      <c r="S321" s="5"/>
      <c r="T321" s="5"/>
    </row>
    <row r="322" ht="15.75" customHeight="1">
      <c r="A322" s="6" t="str">
        <f t="shared" si="1"/>
        <v>ivanka studio, 1423462060</v>
      </c>
      <c r="B322" s="7" t="s">
        <v>459</v>
      </c>
      <c r="C322" s="5"/>
      <c r="D322" s="5" t="s">
        <v>1114</v>
      </c>
      <c r="E322" s="5"/>
      <c r="F322" s="8">
        <v>1.42346206E9</v>
      </c>
      <c r="G322" s="9" t="str">
        <f>HYPERLINK("https://www.etsy.com/listing/1423462060", "link")</f>
        <v>link</v>
      </c>
      <c r="H322" s="9" t="str">
        <f>HYPERLINK("https://atlas.etsycorp.com/listing/1423462060/lookup", "link")</f>
        <v>link</v>
      </c>
      <c r="I322" s="5" t="s">
        <v>1115</v>
      </c>
      <c r="J322" s="5" t="s">
        <v>1116</v>
      </c>
      <c r="K322" s="5" t="s">
        <v>120</v>
      </c>
      <c r="L322" s="5" t="s">
        <v>20</v>
      </c>
      <c r="M322" s="10" t="s">
        <v>21</v>
      </c>
      <c r="N322" s="10" t="s">
        <v>22</v>
      </c>
      <c r="O322" s="11" t="s">
        <v>877</v>
      </c>
      <c r="P322" s="5"/>
      <c r="Q322" s="5"/>
      <c r="R322" s="5"/>
      <c r="S322" s="5"/>
      <c r="T322" s="5"/>
    </row>
    <row r="323" ht="15.75" customHeight="1">
      <c r="A323" s="6" t="str">
        <f t="shared" si="1"/>
        <v>birdcages, 875489169</v>
      </c>
      <c r="B323" s="7" t="s">
        <v>48</v>
      </c>
      <c r="C323" s="7" t="s">
        <v>1117</v>
      </c>
      <c r="D323" s="5" t="s">
        <v>1118</v>
      </c>
      <c r="E323" s="5"/>
      <c r="F323" s="8">
        <v>8.75489169E8</v>
      </c>
      <c r="G323" s="9" t="str">
        <f>HYPERLINK("https://www.etsy.com/listing/875489169", "link")</f>
        <v>link</v>
      </c>
      <c r="H323" s="9" t="str">
        <f>HYPERLINK("https://atlas.etsycorp.com/listing/875489169/lookup", "link")</f>
        <v>link</v>
      </c>
      <c r="I323" s="5" t="s">
        <v>1119</v>
      </c>
      <c r="J323" s="5" t="s">
        <v>1120</v>
      </c>
      <c r="K323" s="5" t="s">
        <v>19</v>
      </c>
      <c r="L323" s="5" t="s">
        <v>41</v>
      </c>
      <c r="M323" s="10" t="s">
        <v>21</v>
      </c>
      <c r="N323" s="10" t="s">
        <v>22</v>
      </c>
      <c r="O323" s="11" t="s">
        <v>877</v>
      </c>
      <c r="P323" s="5"/>
      <c r="Q323" s="5"/>
      <c r="R323" s="5"/>
      <c r="S323" s="5"/>
      <c r="T323" s="5"/>
    </row>
    <row r="324" ht="15.75" customHeight="1">
      <c r="A324" s="6" t="str">
        <f t="shared" si="1"/>
        <v>sexy puzzles, 1386631775</v>
      </c>
      <c r="B324" s="7" t="s">
        <v>24</v>
      </c>
      <c r="C324" s="7" t="s">
        <v>1121</v>
      </c>
      <c r="D324" s="5" t="s">
        <v>1122</v>
      </c>
      <c r="E324" s="5"/>
      <c r="F324" s="8">
        <v>1.386631775E9</v>
      </c>
      <c r="G324" s="9" t="str">
        <f>HYPERLINK("https://www.etsy.com/listing/1386631775", "link")</f>
        <v>link</v>
      </c>
      <c r="H324" s="9" t="str">
        <f>HYPERLINK("https://atlas.etsycorp.com/listing/1386631775/lookup", "link")</f>
        <v>link</v>
      </c>
      <c r="I324" s="5" t="s">
        <v>1123</v>
      </c>
      <c r="J324" s="5" t="s">
        <v>1124</v>
      </c>
      <c r="K324" s="5" t="s">
        <v>19</v>
      </c>
      <c r="L324" s="5" t="s">
        <v>73</v>
      </c>
      <c r="M324" s="10" t="s">
        <v>21</v>
      </c>
      <c r="N324" s="10" t="s">
        <v>22</v>
      </c>
      <c r="O324" s="11" t="s">
        <v>877</v>
      </c>
      <c r="P324" s="5"/>
      <c r="Q324" s="5"/>
      <c r="R324" s="5"/>
      <c r="S324" s="5"/>
      <c r="T324" s="5"/>
    </row>
    <row r="325" ht="15.75" customHeight="1">
      <c r="A325" s="6" t="str">
        <f t="shared" si="1"/>
        <v>aquarium statue, 1533417990</v>
      </c>
      <c r="B325" s="7" t="s">
        <v>24</v>
      </c>
      <c r="C325" s="7" t="s">
        <v>1125</v>
      </c>
      <c r="D325" s="5" t="s">
        <v>1126</v>
      </c>
      <c r="E325" s="5" t="s">
        <v>1126</v>
      </c>
      <c r="F325" s="8">
        <v>1.53341799E9</v>
      </c>
      <c r="G325" s="9" t="str">
        <f>HYPERLINK("https://www.etsy.com/listing/1533417990", "link")</f>
        <v>link</v>
      </c>
      <c r="H325" s="9" t="str">
        <f>HYPERLINK("https://atlas.etsycorp.com/listing/1533417990/lookup", "link")</f>
        <v>link</v>
      </c>
      <c r="I325" s="5" t="s">
        <v>1127</v>
      </c>
      <c r="J325" s="5" t="s">
        <v>1128</v>
      </c>
      <c r="K325" s="5" t="s">
        <v>54</v>
      </c>
      <c r="L325" s="5" t="s">
        <v>55</v>
      </c>
      <c r="M325" s="10" t="s">
        <v>21</v>
      </c>
      <c r="N325" s="10" t="s">
        <v>22</v>
      </c>
      <c r="O325" s="11" t="s">
        <v>877</v>
      </c>
      <c r="P325" s="5"/>
      <c r="Q325" s="5"/>
      <c r="R325" s="5"/>
      <c r="S325" s="5"/>
      <c r="T325" s="5"/>
    </row>
    <row r="326" ht="15.75" customHeight="1">
      <c r="A326" s="6" t="str">
        <f t="shared" si="1"/>
        <v>different heart svg, 1472067118</v>
      </c>
      <c r="B326" s="7" t="s">
        <v>15</v>
      </c>
      <c r="C326" s="5"/>
      <c r="D326" s="5" t="s">
        <v>1129</v>
      </c>
      <c r="E326" s="5"/>
      <c r="F326" s="8">
        <v>1.472067118E9</v>
      </c>
      <c r="G326" s="9" t="str">
        <f>HYPERLINK("https://www.etsy.com/listing/1472067118", "link")</f>
        <v>link</v>
      </c>
      <c r="H326" s="9" t="str">
        <f>HYPERLINK("https://atlas.etsycorp.com/listing/1472067118/lookup", "link")</f>
        <v>link</v>
      </c>
      <c r="I326" s="5" t="s">
        <v>1130</v>
      </c>
      <c r="J326" s="5" t="s">
        <v>1131</v>
      </c>
      <c r="K326" s="5" t="s">
        <v>19</v>
      </c>
      <c r="L326" s="5" t="s">
        <v>73</v>
      </c>
      <c r="M326" s="10" t="s">
        <v>21</v>
      </c>
      <c r="N326" s="10" t="s">
        <v>22</v>
      </c>
      <c r="O326" s="11" t="s">
        <v>877</v>
      </c>
      <c r="P326" s="5"/>
      <c r="Q326" s="5"/>
      <c r="R326" s="5"/>
      <c r="S326" s="5"/>
      <c r="T326" s="5"/>
    </row>
    <row r="327" ht="15.75" customHeight="1">
      <c r="A327" s="6" t="str">
        <f t="shared" si="1"/>
        <v>iphone 12 pro max case, 1330147897</v>
      </c>
      <c r="B327" s="7" t="s">
        <v>15</v>
      </c>
      <c r="C327" s="5"/>
      <c r="D327" s="5" t="s">
        <v>1132</v>
      </c>
      <c r="E327" s="5"/>
      <c r="F327" s="8">
        <v>1.330147897E9</v>
      </c>
      <c r="G327" s="9" t="str">
        <f>HYPERLINK("https://www.etsy.com/listing/1330147897", "link")</f>
        <v>link</v>
      </c>
      <c r="H327" s="9" t="str">
        <f>HYPERLINK("https://atlas.etsycorp.com/listing/1330147897/lookup", "link")</f>
        <v>link</v>
      </c>
      <c r="I327" s="5" t="s">
        <v>1133</v>
      </c>
      <c r="J327" s="5" t="s">
        <v>1134</v>
      </c>
      <c r="K327" s="5" t="s">
        <v>120</v>
      </c>
      <c r="L327" s="5" t="s">
        <v>73</v>
      </c>
      <c r="M327" s="10" t="s">
        <v>21</v>
      </c>
      <c r="N327" s="10" t="s">
        <v>22</v>
      </c>
      <c r="O327" s="11" t="s">
        <v>877</v>
      </c>
      <c r="P327" s="5"/>
      <c r="Q327" s="5"/>
      <c r="R327" s="5"/>
      <c r="S327" s="5"/>
      <c r="T327" s="5"/>
    </row>
    <row r="328" ht="15.75" customHeight="1">
      <c r="A328" s="6" t="str">
        <f t="shared" si="1"/>
        <v>20 digital paper  mockup, 1463733798</v>
      </c>
      <c r="B328" s="7" t="s">
        <v>15</v>
      </c>
      <c r="C328" s="5"/>
      <c r="D328" s="5" t="s">
        <v>1135</v>
      </c>
      <c r="E328" s="5"/>
      <c r="F328" s="8">
        <v>1.463733798E9</v>
      </c>
      <c r="G328" s="9" t="str">
        <f>HYPERLINK("https://www.etsy.com/listing/1463733798", "link")</f>
        <v>link</v>
      </c>
      <c r="H328" s="9" t="str">
        <f>HYPERLINK("https://atlas.etsycorp.com/listing/1463733798/lookup", "link")</f>
        <v>link</v>
      </c>
      <c r="I328" s="5" t="s">
        <v>1136</v>
      </c>
      <c r="J328" s="5" t="s">
        <v>1137</v>
      </c>
      <c r="K328" s="5" t="s">
        <v>19</v>
      </c>
      <c r="L328" s="5" t="s">
        <v>73</v>
      </c>
      <c r="M328" s="10" t="s">
        <v>21</v>
      </c>
      <c r="N328" s="10" t="s">
        <v>22</v>
      </c>
      <c r="O328" s="11" t="s">
        <v>877</v>
      </c>
      <c r="P328" s="5"/>
      <c r="Q328" s="5"/>
      <c r="R328" s="5"/>
      <c r="S328" s="5"/>
      <c r="T328" s="5"/>
    </row>
    <row r="329" ht="15.75" customHeight="1">
      <c r="A329" s="6" t="str">
        <f t="shared" si="1"/>
        <v>i solemnly swear that i am up to no good svg, 1404139050</v>
      </c>
      <c r="B329" s="7" t="s">
        <v>48</v>
      </c>
      <c r="C329" s="7" t="s">
        <v>1138</v>
      </c>
      <c r="D329" s="5" t="s">
        <v>1139</v>
      </c>
      <c r="E329" s="5" t="s">
        <v>1139</v>
      </c>
      <c r="F329" s="8">
        <v>1.40413905E9</v>
      </c>
      <c r="G329" s="9" t="str">
        <f>HYPERLINK("https://www.etsy.com/listing/1404139050", "link")</f>
        <v>link</v>
      </c>
      <c r="H329" s="9" t="str">
        <f>HYPERLINK("https://atlas.etsycorp.com/listing/1404139050/lookup", "link")</f>
        <v>link</v>
      </c>
      <c r="I329" s="5" t="s">
        <v>1140</v>
      </c>
      <c r="J329" s="5" t="s">
        <v>1141</v>
      </c>
      <c r="K329" s="5" t="s">
        <v>46</v>
      </c>
      <c r="L329" s="5" t="s">
        <v>47</v>
      </c>
      <c r="M329" s="10" t="s">
        <v>21</v>
      </c>
      <c r="N329" s="10" t="s">
        <v>22</v>
      </c>
      <c r="O329" s="11" t="s">
        <v>877</v>
      </c>
      <c r="P329" s="5"/>
      <c r="Q329" s="5"/>
      <c r="R329" s="5"/>
      <c r="S329" s="5"/>
      <c r="T329" s="5"/>
    </row>
    <row r="330" ht="15.75" customHeight="1">
      <c r="A330" s="6" t="str">
        <f t="shared" si="1"/>
        <v>gift for dog, 584449079</v>
      </c>
      <c r="B330" s="7" t="s">
        <v>48</v>
      </c>
      <c r="C330" s="5"/>
      <c r="D330" s="5" t="s">
        <v>456</v>
      </c>
      <c r="E330" s="5"/>
      <c r="F330" s="8">
        <v>5.84449079E8</v>
      </c>
      <c r="G330" s="9" t="str">
        <f>HYPERLINK("https://www.etsy.com/listing/584449079", "link")</f>
        <v>link</v>
      </c>
      <c r="H330" s="9" t="str">
        <f>HYPERLINK("https://atlas.etsycorp.com/listing/584449079/lookup", "link")</f>
        <v>link</v>
      </c>
      <c r="I330" s="5" t="s">
        <v>1142</v>
      </c>
      <c r="J330" s="5" t="s">
        <v>1143</v>
      </c>
      <c r="K330" s="5" t="s">
        <v>19</v>
      </c>
      <c r="L330" s="5" t="s">
        <v>100</v>
      </c>
      <c r="M330" s="10" t="s">
        <v>21</v>
      </c>
      <c r="N330" s="10" t="s">
        <v>22</v>
      </c>
      <c r="O330" s="11" t="s">
        <v>877</v>
      </c>
      <c r="P330" s="5"/>
      <c r="Q330" s="5"/>
      <c r="R330" s="5"/>
      <c r="S330" s="5"/>
      <c r="T330" s="5"/>
    </row>
    <row r="331" ht="15.75" customHeight="1">
      <c r="A331" s="6" t="str">
        <f t="shared" si="1"/>
        <v>1967 gto blanket, 852935254</v>
      </c>
      <c r="B331" s="7" t="s">
        <v>48</v>
      </c>
      <c r="C331" s="7" t="s">
        <v>1144</v>
      </c>
      <c r="D331" s="5" t="s">
        <v>1145</v>
      </c>
      <c r="E331" s="5"/>
      <c r="F331" s="8">
        <v>8.52935254E8</v>
      </c>
      <c r="G331" s="9" t="str">
        <f>HYPERLINK("https://www.etsy.com/listing/852935254", "link")</f>
        <v>link</v>
      </c>
      <c r="H331" s="9" t="str">
        <f>HYPERLINK("https://atlas.etsycorp.com/listing/852935254/lookup", "link")</f>
        <v>link</v>
      </c>
      <c r="I331" s="5" t="s">
        <v>1146</v>
      </c>
      <c r="J331" s="5" t="s">
        <v>1147</v>
      </c>
      <c r="K331" s="5" t="s">
        <v>19</v>
      </c>
      <c r="L331" s="5" t="s">
        <v>73</v>
      </c>
      <c r="M331" s="10" t="s">
        <v>21</v>
      </c>
      <c r="N331" s="10" t="s">
        <v>22</v>
      </c>
      <c r="O331" s="11" t="s">
        <v>877</v>
      </c>
      <c r="P331" s="5"/>
      <c r="Q331" s="5"/>
      <c r="R331" s="5"/>
      <c r="S331" s="5"/>
      <c r="T331" s="5"/>
    </row>
    <row r="332" ht="15.75" customHeight="1">
      <c r="A332" s="6" t="str">
        <f t="shared" si="1"/>
        <v>dungeons and dragons, 1690080849</v>
      </c>
      <c r="B332" s="7" t="s">
        <v>15</v>
      </c>
      <c r="C332" s="5"/>
      <c r="D332" s="5" t="s">
        <v>1148</v>
      </c>
      <c r="E332" s="5" t="s">
        <v>1148</v>
      </c>
      <c r="F332" s="8">
        <v>1.690080849E9</v>
      </c>
      <c r="G332" s="9" t="str">
        <f>HYPERLINK("https://www.etsy.com/listing/1690080849", "link")</f>
        <v>link</v>
      </c>
      <c r="H332" s="9" t="str">
        <f>HYPERLINK("https://atlas.etsycorp.com/listing/1690080849/lookup", "link")</f>
        <v>link</v>
      </c>
      <c r="I332" s="5" t="s">
        <v>1149</v>
      </c>
      <c r="J332" s="5" t="s">
        <v>1150</v>
      </c>
      <c r="K332" s="5" t="s">
        <v>29</v>
      </c>
      <c r="L332" s="5" t="s">
        <v>30</v>
      </c>
      <c r="M332" s="10" t="s">
        <v>21</v>
      </c>
      <c r="N332" s="10" t="s">
        <v>22</v>
      </c>
      <c r="O332" s="11" t="s">
        <v>877</v>
      </c>
      <c r="P332" s="5"/>
      <c r="Q332" s="5"/>
      <c r="R332" s="5"/>
      <c r="S332" s="5"/>
      <c r="T332" s="5"/>
    </row>
    <row r="333" ht="15.75" customHeight="1">
      <c r="A333" s="6" t="str">
        <f t="shared" si="1"/>
        <v>bluey, 1721876082</v>
      </c>
      <c r="B333" s="7" t="s">
        <v>15</v>
      </c>
      <c r="C333" s="5"/>
      <c r="D333" s="5" t="s">
        <v>1151</v>
      </c>
      <c r="E333" s="5" t="s">
        <v>1151</v>
      </c>
      <c r="F333" s="8">
        <v>1.721876082E9</v>
      </c>
      <c r="G333" s="9" t="str">
        <f>HYPERLINK("https://www.etsy.com/listing/1721876082", "link")</f>
        <v>link</v>
      </c>
      <c r="H333" s="9" t="str">
        <f>HYPERLINK("https://atlas.etsycorp.com/listing/1721876082/lookup", "link")</f>
        <v>link</v>
      </c>
      <c r="I333" s="5" t="s">
        <v>1152</v>
      </c>
      <c r="J333" s="5" t="s">
        <v>1153</v>
      </c>
      <c r="K333" s="5" t="s">
        <v>29</v>
      </c>
      <c r="L333" s="5" t="s">
        <v>30</v>
      </c>
      <c r="M333" s="10" t="s">
        <v>21</v>
      </c>
      <c r="N333" s="10" t="s">
        <v>22</v>
      </c>
      <c r="O333" s="11" t="s">
        <v>877</v>
      </c>
      <c r="P333" s="5"/>
      <c r="Q333" s="5"/>
      <c r="R333" s="5"/>
      <c r="S333" s="5"/>
      <c r="T333" s="5"/>
    </row>
    <row r="334" ht="15.75" customHeight="1">
      <c r="A334" s="6" t="str">
        <f t="shared" si="1"/>
        <v>mtg yu gi oh, 1707542416</v>
      </c>
      <c r="B334" s="7" t="s">
        <v>15</v>
      </c>
      <c r="C334" s="5"/>
      <c r="D334" s="5" t="s">
        <v>264</v>
      </c>
      <c r="E334" s="5" t="s">
        <v>264</v>
      </c>
      <c r="F334" s="8">
        <v>1.707542416E9</v>
      </c>
      <c r="G334" s="9" t="str">
        <f>HYPERLINK("https://www.etsy.com/listing/1707542416", "link")</f>
        <v>link</v>
      </c>
      <c r="H334" s="9" t="str">
        <f>HYPERLINK("https://atlas.etsycorp.com/listing/1707542416/lookup", "link")</f>
        <v>link</v>
      </c>
      <c r="I334" s="5" t="s">
        <v>1154</v>
      </c>
      <c r="J334" s="5" t="s">
        <v>266</v>
      </c>
      <c r="K334" s="5" t="s">
        <v>54</v>
      </c>
      <c r="L334" s="5" t="s">
        <v>55</v>
      </c>
      <c r="M334" s="10" t="s">
        <v>21</v>
      </c>
      <c r="N334" s="10" t="s">
        <v>22</v>
      </c>
      <c r="O334" s="11" t="s">
        <v>877</v>
      </c>
      <c r="P334" s="5"/>
      <c r="Q334" s="5"/>
      <c r="R334" s="5"/>
      <c r="S334" s="5"/>
      <c r="T334" s="5"/>
    </row>
    <row r="335" ht="15.75" customHeight="1">
      <c r="A335" s="6" t="str">
        <f t="shared" si="1"/>
        <v>broek, 719306038</v>
      </c>
      <c r="B335" s="7" t="s">
        <v>15</v>
      </c>
      <c r="C335" s="5"/>
      <c r="D335" s="5" t="s">
        <v>379</v>
      </c>
      <c r="E335" s="5" t="s">
        <v>380</v>
      </c>
      <c r="F335" s="8">
        <v>7.19306038E8</v>
      </c>
      <c r="G335" s="9" t="str">
        <f>HYPERLINK("https://www.etsy.com/listing/719306038", "link")</f>
        <v>link</v>
      </c>
      <c r="H335" s="9" t="str">
        <f>HYPERLINK("https://atlas.etsycorp.com/listing/719306038/lookup", "link")</f>
        <v>link</v>
      </c>
      <c r="I335" s="5" t="s">
        <v>1155</v>
      </c>
      <c r="J335" s="5" t="s">
        <v>382</v>
      </c>
      <c r="K335" s="5" t="s">
        <v>35</v>
      </c>
      <c r="L335" s="5" t="s">
        <v>36</v>
      </c>
      <c r="M335" s="10" t="s">
        <v>21</v>
      </c>
      <c r="N335" s="10" t="s">
        <v>22</v>
      </c>
      <c r="O335" s="11" t="s">
        <v>877</v>
      </c>
      <c r="P335" s="5"/>
      <c r="Q335" s="5"/>
      <c r="R335" s="5"/>
      <c r="S335" s="5"/>
      <c r="T335" s="5"/>
    </row>
    <row r="336" ht="15.75" customHeight="1">
      <c r="A336" s="6" t="str">
        <f t="shared" si="1"/>
        <v>orecchini in titanio, 1310431849</v>
      </c>
      <c r="B336" s="7" t="s">
        <v>15</v>
      </c>
      <c r="C336" s="5"/>
      <c r="D336" s="5" t="s">
        <v>1156</v>
      </c>
      <c r="E336" s="5" t="s">
        <v>1157</v>
      </c>
      <c r="F336" s="8">
        <v>1.310431849E9</v>
      </c>
      <c r="G336" s="9" t="str">
        <f>HYPERLINK("https://www.etsy.com/listing/1310431849", "link")</f>
        <v>link</v>
      </c>
      <c r="H336" s="9" t="str">
        <f>HYPERLINK("https://atlas.etsycorp.com/listing/1310431849/lookup", "link")</f>
        <v>link</v>
      </c>
      <c r="I336" s="5" t="s">
        <v>1158</v>
      </c>
      <c r="J336" s="5" t="s">
        <v>1159</v>
      </c>
      <c r="K336" s="5" t="s">
        <v>80</v>
      </c>
      <c r="L336" s="5" t="s">
        <v>81</v>
      </c>
      <c r="M336" s="10" t="s">
        <v>21</v>
      </c>
      <c r="N336" s="10" t="s">
        <v>22</v>
      </c>
      <c r="O336" s="11" t="s">
        <v>877</v>
      </c>
      <c r="P336" s="5"/>
      <c r="Q336" s="5"/>
      <c r="R336" s="5"/>
      <c r="S336" s="5"/>
      <c r="T336" s="5"/>
    </row>
    <row r="337" ht="15.75" customHeight="1">
      <c r="A337" s="6" t="str">
        <f t="shared" si="1"/>
        <v>pampas grasses, 1592089124</v>
      </c>
      <c r="B337" s="7" t="s">
        <v>48</v>
      </c>
      <c r="C337" s="7" t="s">
        <v>1160</v>
      </c>
      <c r="D337" s="5" t="s">
        <v>1161</v>
      </c>
      <c r="E337" s="5"/>
      <c r="F337" s="8">
        <v>1.592089124E9</v>
      </c>
      <c r="G337" s="9" t="str">
        <f>HYPERLINK("https://www.etsy.com/listing/1592089124", "link")</f>
        <v>link</v>
      </c>
      <c r="H337" s="9" t="str">
        <f>HYPERLINK("https://atlas.etsycorp.com/listing/1592089124/lookup", "link")</f>
        <v>link</v>
      </c>
      <c r="I337" s="5" t="s">
        <v>1162</v>
      </c>
      <c r="J337" s="5" t="s">
        <v>1163</v>
      </c>
      <c r="K337" s="5" t="s">
        <v>19</v>
      </c>
      <c r="L337" s="5" t="s">
        <v>41</v>
      </c>
      <c r="M337" s="10" t="s">
        <v>21</v>
      </c>
      <c r="N337" s="10" t="s">
        <v>22</v>
      </c>
      <c r="O337" s="11" t="s">
        <v>877</v>
      </c>
      <c r="P337" s="5"/>
      <c r="Q337" s="5"/>
      <c r="R337" s="5"/>
      <c r="S337" s="5"/>
      <c r="T337" s="5"/>
    </row>
    <row r="338" ht="15.75" customHeight="1">
      <c r="A338" s="6" t="str">
        <f t="shared" si="1"/>
        <v>wedding bra, 1608427770</v>
      </c>
      <c r="B338" s="7" t="s">
        <v>48</v>
      </c>
      <c r="C338" s="5"/>
      <c r="D338" s="5" t="s">
        <v>1164</v>
      </c>
      <c r="E338" s="5"/>
      <c r="F338" s="8">
        <v>1.60842777E9</v>
      </c>
      <c r="G338" s="9" t="str">
        <f>HYPERLINK("https://www.etsy.com/listing/1608427770", "link")</f>
        <v>link</v>
      </c>
      <c r="H338" s="9" t="str">
        <f>HYPERLINK("https://atlas.etsycorp.com/listing/1608427770/lookup", "link")</f>
        <v>link</v>
      </c>
      <c r="I338" s="5" t="s">
        <v>1165</v>
      </c>
      <c r="J338" s="5" t="s">
        <v>1166</v>
      </c>
      <c r="K338" s="5" t="s">
        <v>19</v>
      </c>
      <c r="L338" s="5" t="s">
        <v>41</v>
      </c>
      <c r="M338" s="10" t="s">
        <v>21</v>
      </c>
      <c r="N338" s="10" t="s">
        <v>22</v>
      </c>
      <c r="O338" s="11" t="s">
        <v>877</v>
      </c>
      <c r="P338" s="5"/>
      <c r="Q338" s="5"/>
      <c r="R338" s="5"/>
      <c r="S338" s="5"/>
      <c r="T338" s="5"/>
    </row>
    <row r="339" ht="15.75" customHeight="1">
      <c r="A339" s="6" t="str">
        <f t="shared" si="1"/>
        <v>gold filled lira, 1656470545</v>
      </c>
      <c r="B339" s="7" t="s">
        <v>48</v>
      </c>
      <c r="C339" s="5"/>
      <c r="D339" s="5" t="s">
        <v>1167</v>
      </c>
      <c r="E339" s="5"/>
      <c r="F339" s="8">
        <v>1.656470545E9</v>
      </c>
      <c r="G339" s="9" t="str">
        <f>HYPERLINK("https://www.etsy.com/listing/1656470545", "link")</f>
        <v>link</v>
      </c>
      <c r="H339" s="9" t="str">
        <f>HYPERLINK("https://atlas.etsycorp.com/listing/1656470545/lookup", "link")</f>
        <v>link</v>
      </c>
      <c r="I339" s="5" t="s">
        <v>1168</v>
      </c>
      <c r="J339" s="5" t="s">
        <v>1169</v>
      </c>
      <c r="K339" s="5" t="s">
        <v>19</v>
      </c>
      <c r="L339" s="5" t="s">
        <v>20</v>
      </c>
      <c r="M339" s="10" t="s">
        <v>21</v>
      </c>
      <c r="N339" s="10" t="s">
        <v>22</v>
      </c>
      <c r="O339" s="11" t="s">
        <v>877</v>
      </c>
      <c r="P339" s="5"/>
      <c r="Q339" s="5"/>
      <c r="R339" s="5"/>
      <c r="S339" s="5"/>
      <c r="T339" s="5"/>
    </row>
    <row r="340" ht="15.75" customHeight="1">
      <c r="A340" s="6" t="str">
        <f t="shared" si="1"/>
        <v>personalized party decor, 1170699070</v>
      </c>
      <c r="B340" s="7" t="s">
        <v>48</v>
      </c>
      <c r="C340" s="5"/>
      <c r="D340" s="5" t="s">
        <v>298</v>
      </c>
      <c r="E340" s="5" t="s">
        <v>298</v>
      </c>
      <c r="F340" s="8">
        <v>1.17069907E9</v>
      </c>
      <c r="G340" s="9" t="str">
        <f>HYPERLINK("https://www.etsy.com/listing/1170699070", "link")</f>
        <v>link</v>
      </c>
      <c r="H340" s="9" t="str">
        <f>HYPERLINK("https://atlas.etsycorp.com/listing/1170699070/lookup", "link")</f>
        <v>link</v>
      </c>
      <c r="I340" s="5" t="s">
        <v>1170</v>
      </c>
      <c r="J340" s="5" t="s">
        <v>1171</v>
      </c>
      <c r="K340" s="5" t="s">
        <v>35</v>
      </c>
      <c r="L340" s="5" t="s">
        <v>36</v>
      </c>
      <c r="M340" s="10" t="s">
        <v>21</v>
      </c>
      <c r="N340" s="10" t="s">
        <v>22</v>
      </c>
      <c r="O340" s="11" t="s">
        <v>877</v>
      </c>
      <c r="P340" s="5"/>
      <c r="Q340" s="5"/>
      <c r="R340" s="5"/>
      <c r="S340" s="5"/>
      <c r="T340" s="5"/>
    </row>
    <row r="341" ht="15.75" customHeight="1">
      <c r="A341" s="6" t="str">
        <f t="shared" si="1"/>
        <v>be curious not judgemental print, 1422872844</v>
      </c>
      <c r="B341" s="7" t="s">
        <v>48</v>
      </c>
      <c r="C341" s="5"/>
      <c r="D341" s="5" t="s">
        <v>1172</v>
      </c>
      <c r="E341" s="5"/>
      <c r="F341" s="8">
        <v>1.422872844E9</v>
      </c>
      <c r="G341" s="9" t="str">
        <f>HYPERLINK("https://www.etsy.com/listing/1422872844", "link")</f>
        <v>link</v>
      </c>
      <c r="H341" s="9" t="str">
        <f>HYPERLINK("https://atlas.etsycorp.com/listing/1422872844/lookup", "link")</f>
        <v>link</v>
      </c>
      <c r="I341" s="5" t="s">
        <v>1173</v>
      </c>
      <c r="J341" s="5" t="s">
        <v>1174</v>
      </c>
      <c r="K341" s="5" t="s">
        <v>19</v>
      </c>
      <c r="L341" s="5" t="s">
        <v>73</v>
      </c>
      <c r="M341" s="10" t="s">
        <v>21</v>
      </c>
      <c r="N341" s="10" t="s">
        <v>22</v>
      </c>
      <c r="O341" s="11" t="s">
        <v>877</v>
      </c>
      <c r="P341" s="5"/>
      <c r="Q341" s="5"/>
      <c r="R341" s="5"/>
      <c r="S341" s="5"/>
      <c r="T341" s="5"/>
    </row>
    <row r="342" ht="15.75" customHeight="1">
      <c r="A342" s="6" t="str">
        <f t="shared" si="1"/>
        <v>lisboa rosarios 4, 1653009130</v>
      </c>
      <c r="B342" s="7" t="s">
        <v>48</v>
      </c>
      <c r="C342" s="7" t="s">
        <v>1175</v>
      </c>
      <c r="D342" s="5" t="s">
        <v>1176</v>
      </c>
      <c r="E342" s="5" t="s">
        <v>1176</v>
      </c>
      <c r="F342" s="8">
        <v>1.65300913E9</v>
      </c>
      <c r="G342" s="9" t="str">
        <f>HYPERLINK("https://www.etsy.com/listing/1653009130", "link")</f>
        <v>link</v>
      </c>
      <c r="H342" s="9" t="str">
        <f>HYPERLINK("https://atlas.etsycorp.com/listing/1653009130/lookup", "link")</f>
        <v>link</v>
      </c>
      <c r="I342" s="5" t="s">
        <v>1177</v>
      </c>
      <c r="J342" s="5" t="s">
        <v>1178</v>
      </c>
      <c r="K342" s="5" t="s">
        <v>35</v>
      </c>
      <c r="L342" s="5" t="s">
        <v>36</v>
      </c>
      <c r="M342" s="10" t="s">
        <v>21</v>
      </c>
      <c r="N342" s="10" t="s">
        <v>22</v>
      </c>
      <c r="O342" s="11" t="s">
        <v>877</v>
      </c>
      <c r="P342" s="5"/>
      <c r="Q342" s="5"/>
      <c r="R342" s="5"/>
      <c r="S342" s="5"/>
      <c r="T342" s="5"/>
    </row>
    <row r="343" ht="15.75" customHeight="1">
      <c r="A343" s="6" t="str">
        <f t="shared" si="1"/>
        <v>cat scratcher uk, 1545005368</v>
      </c>
      <c r="B343" s="7" t="s">
        <v>48</v>
      </c>
      <c r="C343" s="5"/>
      <c r="D343" s="5" t="s">
        <v>1179</v>
      </c>
      <c r="E343" s="5"/>
      <c r="F343" s="8">
        <v>1.545005368E9</v>
      </c>
      <c r="G343" s="9" t="str">
        <f>HYPERLINK("https://www.etsy.com/listing/1545005368", "link")</f>
        <v>link</v>
      </c>
      <c r="H343" s="9" t="str">
        <f>HYPERLINK("https://atlas.etsycorp.com/listing/1545005368/lookup", "link")</f>
        <v>link</v>
      </c>
      <c r="I343" s="5" t="s">
        <v>1180</v>
      </c>
      <c r="J343" s="5" t="s">
        <v>1181</v>
      </c>
      <c r="K343" s="5" t="s">
        <v>120</v>
      </c>
      <c r="L343" s="5" t="s">
        <v>41</v>
      </c>
      <c r="M343" s="10" t="s">
        <v>21</v>
      </c>
      <c r="N343" s="10" t="s">
        <v>22</v>
      </c>
      <c r="O343" s="11" t="s">
        <v>877</v>
      </c>
      <c r="P343" s="5"/>
      <c r="Q343" s="5"/>
      <c r="R343" s="5"/>
      <c r="S343" s="5"/>
      <c r="T343" s="5"/>
    </row>
    <row r="344" ht="15.75" customHeight="1">
      <c r="A344" s="6" t="str">
        <f t="shared" si="1"/>
        <v>stray kids album, 1434737575</v>
      </c>
      <c r="B344" s="7" t="s">
        <v>24</v>
      </c>
      <c r="C344" s="7" t="s">
        <v>1182</v>
      </c>
      <c r="D344" s="5" t="s">
        <v>1183</v>
      </c>
      <c r="E344" s="5"/>
      <c r="F344" s="8">
        <v>1.434737575E9</v>
      </c>
      <c r="G344" s="9" t="str">
        <f>HYPERLINK("https://www.etsy.com/listing/1434737575", "link")</f>
        <v>link</v>
      </c>
      <c r="H344" s="9" t="str">
        <f>HYPERLINK("https://atlas.etsycorp.com/listing/1434737575/lookup", "link")</f>
        <v>link</v>
      </c>
      <c r="I344" s="5" t="s">
        <v>1184</v>
      </c>
      <c r="J344" s="5" t="s">
        <v>1185</v>
      </c>
      <c r="K344" s="5" t="s">
        <v>19</v>
      </c>
      <c r="L344" s="5" t="s">
        <v>41</v>
      </c>
      <c r="M344" s="10" t="s">
        <v>21</v>
      </c>
      <c r="N344" s="10" t="s">
        <v>22</v>
      </c>
      <c r="O344" s="11" t="s">
        <v>877</v>
      </c>
      <c r="P344" s="5"/>
      <c r="Q344" s="5"/>
      <c r="R344" s="5"/>
      <c r="S344" s="5"/>
      <c r="T344" s="5"/>
    </row>
    <row r="345" ht="15.75" customHeight="1">
      <c r="A345" s="6" t="str">
        <f t="shared" si="1"/>
        <v>dänemark, 1516482296</v>
      </c>
      <c r="B345" s="7" t="s">
        <v>15</v>
      </c>
      <c r="C345" s="5"/>
      <c r="D345" s="5" t="s">
        <v>1186</v>
      </c>
      <c r="E345" s="5" t="s">
        <v>1187</v>
      </c>
      <c r="F345" s="8">
        <v>1.516482296E9</v>
      </c>
      <c r="G345" s="9" t="str">
        <f>HYPERLINK("https://www.etsy.com/listing/1516482296", "link")</f>
        <v>link</v>
      </c>
      <c r="H345" s="9" t="str">
        <f>HYPERLINK("https://atlas.etsycorp.com/listing/1516482296/lookup", "link")</f>
        <v>link</v>
      </c>
      <c r="I345" s="5" t="s">
        <v>1188</v>
      </c>
      <c r="J345" s="5" t="s">
        <v>1189</v>
      </c>
      <c r="K345" s="5" t="s">
        <v>46</v>
      </c>
      <c r="L345" s="5" t="s">
        <v>47</v>
      </c>
      <c r="M345" s="10" t="s">
        <v>21</v>
      </c>
      <c r="N345" s="10" t="s">
        <v>22</v>
      </c>
      <c r="O345" s="11" t="s">
        <v>877</v>
      </c>
      <c r="P345" s="5"/>
      <c r="Q345" s="5"/>
      <c r="R345" s="5"/>
      <c r="S345" s="5"/>
      <c r="T345" s="5"/>
    </row>
    <row r="346" ht="15.75" customHeight="1">
      <c r="A346" s="6" t="str">
        <f t="shared" si="1"/>
        <v>ventaglio bambu uomo, 1424145121</v>
      </c>
      <c r="B346" s="7" t="s">
        <v>48</v>
      </c>
      <c r="C346" s="5"/>
      <c r="D346" s="5" t="s">
        <v>993</v>
      </c>
      <c r="E346" s="5" t="s">
        <v>994</v>
      </c>
      <c r="F346" s="8">
        <v>1.424145121E9</v>
      </c>
      <c r="G346" s="9" t="str">
        <f>HYPERLINK("https://www.etsy.com/listing/1424145121", "link")</f>
        <v>link</v>
      </c>
      <c r="H346" s="9" t="str">
        <f>HYPERLINK("https://atlas.etsycorp.com/listing/1424145121/lookup", "link")</f>
        <v>link</v>
      </c>
      <c r="I346" s="5" t="s">
        <v>1190</v>
      </c>
      <c r="J346" s="5" t="s">
        <v>996</v>
      </c>
      <c r="K346" s="5" t="s">
        <v>80</v>
      </c>
      <c r="L346" s="5" t="s">
        <v>81</v>
      </c>
      <c r="M346" s="10" t="s">
        <v>21</v>
      </c>
      <c r="N346" s="10" t="s">
        <v>22</v>
      </c>
      <c r="O346" s="11" t="s">
        <v>877</v>
      </c>
      <c r="P346" s="5"/>
      <c r="Q346" s="5"/>
      <c r="R346" s="5"/>
      <c r="S346" s="5"/>
      <c r="T346" s="5"/>
    </row>
    <row r="347" ht="15.75" customHeight="1">
      <c r="A347" s="6" t="str">
        <f t="shared" si="1"/>
        <v>sugar amethyst, 1508017097</v>
      </c>
      <c r="B347" s="7" t="s">
        <v>15</v>
      </c>
      <c r="C347" s="5"/>
      <c r="D347" s="5" t="s">
        <v>1191</v>
      </c>
      <c r="E347" s="5"/>
      <c r="F347" s="8">
        <v>1.508017097E9</v>
      </c>
      <c r="G347" s="9" t="str">
        <f>HYPERLINK("https://www.etsy.com/listing/1508017097", "link")</f>
        <v>link</v>
      </c>
      <c r="H347" s="9" t="str">
        <f>HYPERLINK("https://atlas.etsycorp.com/listing/1508017097/lookup", "link")</f>
        <v>link</v>
      </c>
      <c r="I347" s="5" t="s">
        <v>1192</v>
      </c>
      <c r="J347" s="5" t="s">
        <v>1193</v>
      </c>
      <c r="K347" s="5" t="s">
        <v>120</v>
      </c>
      <c r="L347" s="5" t="s">
        <v>20</v>
      </c>
      <c r="M347" s="10" t="s">
        <v>21</v>
      </c>
      <c r="N347" s="10" t="s">
        <v>22</v>
      </c>
      <c r="O347" s="11" t="s">
        <v>877</v>
      </c>
      <c r="P347" s="5"/>
      <c r="Q347" s="5"/>
      <c r="R347" s="5"/>
      <c r="S347" s="5"/>
      <c r="T347" s="5"/>
    </row>
    <row r="348" ht="15.75" customHeight="1">
      <c r="A348" s="6" t="str">
        <f t="shared" si="1"/>
        <v>botão de volume de teclado, 1675127029</v>
      </c>
      <c r="B348" s="7" t="s">
        <v>48</v>
      </c>
      <c r="C348" s="5"/>
      <c r="D348" s="5" t="s">
        <v>1194</v>
      </c>
      <c r="E348" s="5" t="s">
        <v>1195</v>
      </c>
      <c r="F348" s="8">
        <v>1.675127029E9</v>
      </c>
      <c r="G348" s="9" t="str">
        <f>HYPERLINK("https://www.etsy.com/listing/1675127029", "link")</f>
        <v>link</v>
      </c>
      <c r="H348" s="9" t="str">
        <f>HYPERLINK("https://atlas.etsycorp.com/listing/1675127029/lookup", "link")</f>
        <v>link</v>
      </c>
      <c r="I348" s="5" t="s">
        <v>1196</v>
      </c>
      <c r="J348" s="5" t="s">
        <v>1197</v>
      </c>
      <c r="K348" s="5" t="s">
        <v>229</v>
      </c>
      <c r="L348" s="5" t="s">
        <v>230</v>
      </c>
      <c r="M348" s="10" t="s">
        <v>21</v>
      </c>
      <c r="N348" s="10" t="s">
        <v>22</v>
      </c>
      <c r="O348" s="11" t="s">
        <v>877</v>
      </c>
      <c r="P348" s="5"/>
      <c r="Q348" s="5"/>
      <c r="R348" s="5"/>
      <c r="S348" s="5"/>
      <c r="T348" s="5"/>
    </row>
    <row r="349" ht="15.75" customHeight="1">
      <c r="A349" s="6" t="str">
        <f t="shared" si="1"/>
        <v>wall art living room, 1577547978</v>
      </c>
      <c r="B349" s="7" t="s">
        <v>15</v>
      </c>
      <c r="C349" s="5"/>
      <c r="D349" s="5" t="s">
        <v>1198</v>
      </c>
      <c r="E349" s="5"/>
      <c r="F349" s="8">
        <v>1.577547978E9</v>
      </c>
      <c r="G349" s="9" t="str">
        <f>HYPERLINK("https://www.etsy.com/listing/1577547978", "link")</f>
        <v>link</v>
      </c>
      <c r="H349" s="9" t="str">
        <f>HYPERLINK("https://atlas.etsycorp.com/listing/1577547978/lookup", "link")</f>
        <v>link</v>
      </c>
      <c r="I349" s="5" t="s">
        <v>1199</v>
      </c>
      <c r="J349" s="5" t="s">
        <v>1200</v>
      </c>
      <c r="K349" s="5" t="s">
        <v>19</v>
      </c>
      <c r="L349" s="5" t="s">
        <v>41</v>
      </c>
      <c r="M349" s="10" t="s">
        <v>21</v>
      </c>
      <c r="N349" s="10" t="s">
        <v>22</v>
      </c>
      <c r="O349" s="11" t="s">
        <v>877</v>
      </c>
      <c r="P349" s="5"/>
      <c r="Q349" s="5"/>
      <c r="R349" s="5"/>
      <c r="S349" s="5"/>
      <c r="T349" s="5"/>
    </row>
    <row r="350" ht="15.75" customHeight="1">
      <c r="A350" s="6" t="str">
        <f t="shared" si="1"/>
        <v>flipper zero, 753339823</v>
      </c>
      <c r="B350" s="7" t="s">
        <v>48</v>
      </c>
      <c r="C350" s="7" t="s">
        <v>1201</v>
      </c>
      <c r="D350" s="5" t="s">
        <v>1202</v>
      </c>
      <c r="E350" s="5"/>
      <c r="F350" s="8">
        <v>7.53339823E8</v>
      </c>
      <c r="G350" s="9" t="str">
        <f>HYPERLINK("https://www.etsy.com/listing/753339823", "link")</f>
        <v>link</v>
      </c>
      <c r="H350" s="9" t="str">
        <f>HYPERLINK("https://atlas.etsycorp.com/listing/753339823/lookup", "link")</f>
        <v>link</v>
      </c>
      <c r="I350" s="5" t="s">
        <v>1203</v>
      </c>
      <c r="J350" s="5" t="s">
        <v>1204</v>
      </c>
      <c r="K350" s="5" t="s">
        <v>19</v>
      </c>
      <c r="L350" s="5" t="s">
        <v>20</v>
      </c>
      <c r="M350" s="10" t="s">
        <v>21</v>
      </c>
      <c r="N350" s="10" t="s">
        <v>22</v>
      </c>
      <c r="O350" s="11" t="s">
        <v>877</v>
      </c>
      <c r="P350" s="5"/>
      <c r="Q350" s="5"/>
      <c r="R350" s="5"/>
      <c r="S350" s="5"/>
      <c r="T350" s="5"/>
    </row>
    <row r="351" ht="15.75" customHeight="1">
      <c r="A351" s="6" t="str">
        <f t="shared" si="1"/>
        <v>cotton satin pajamas bridesmaid, 1087411274</v>
      </c>
      <c r="B351" s="7" t="s">
        <v>15</v>
      </c>
      <c r="C351" s="5"/>
      <c r="D351" s="5" t="s">
        <v>1205</v>
      </c>
      <c r="E351" s="5"/>
      <c r="F351" s="8">
        <v>1.087411274E9</v>
      </c>
      <c r="G351" s="9" t="str">
        <f>HYPERLINK("https://www.etsy.com/listing/1087411274", "link")</f>
        <v>link</v>
      </c>
      <c r="H351" s="9" t="str">
        <f>HYPERLINK("https://atlas.etsycorp.com/listing/1087411274/lookup", "link")</f>
        <v>link</v>
      </c>
      <c r="I351" s="5" t="s">
        <v>1206</v>
      </c>
      <c r="J351" s="5" t="s">
        <v>1207</v>
      </c>
      <c r="K351" s="5" t="s">
        <v>19</v>
      </c>
      <c r="L351" s="5" t="s">
        <v>73</v>
      </c>
      <c r="M351" s="10" t="s">
        <v>21</v>
      </c>
      <c r="N351" s="10" t="s">
        <v>22</v>
      </c>
      <c r="O351" s="11" t="s">
        <v>877</v>
      </c>
      <c r="P351" s="5"/>
      <c r="Q351" s="5"/>
      <c r="R351" s="5"/>
      <c r="S351" s="5"/>
      <c r="T351" s="5"/>
    </row>
    <row r="352" ht="15.75" customHeight="1">
      <c r="A352" s="6" t="str">
        <f t="shared" si="1"/>
        <v>scp, 1566619414</v>
      </c>
      <c r="B352" s="7" t="s">
        <v>15</v>
      </c>
      <c r="C352" s="5"/>
      <c r="D352" s="5" t="s">
        <v>1208</v>
      </c>
      <c r="E352" s="5"/>
      <c r="F352" s="8">
        <v>1.566619414E9</v>
      </c>
      <c r="G352" s="9" t="str">
        <f>HYPERLINK("https://www.etsy.com/listing/1566619414", "link")</f>
        <v>link</v>
      </c>
      <c r="H352" s="9" t="str">
        <f>HYPERLINK("https://atlas.etsycorp.com/listing/1566619414/lookup", "link")</f>
        <v>link</v>
      </c>
      <c r="I352" s="5" t="s">
        <v>1209</v>
      </c>
      <c r="J352" s="5" t="s">
        <v>1210</v>
      </c>
      <c r="K352" s="5" t="s">
        <v>120</v>
      </c>
      <c r="L352" s="5" t="s">
        <v>20</v>
      </c>
      <c r="M352" s="10" t="s">
        <v>21</v>
      </c>
      <c r="N352" s="10" t="s">
        <v>22</v>
      </c>
      <c r="O352" s="11" t="s">
        <v>877</v>
      </c>
      <c r="P352" s="5"/>
      <c r="Q352" s="5"/>
      <c r="R352" s="5"/>
      <c r="S352" s="5"/>
      <c r="T352" s="5"/>
    </row>
    <row r="353" ht="15.75" customHeight="1">
      <c r="A353" s="6" t="str">
        <f t="shared" si="1"/>
        <v>boar school, 1172547339</v>
      </c>
      <c r="B353" s="7" t="s">
        <v>24</v>
      </c>
      <c r="C353" s="7" t="s">
        <v>1211</v>
      </c>
      <c r="D353" s="5" t="s">
        <v>210</v>
      </c>
      <c r="E353" s="5" t="s">
        <v>210</v>
      </c>
      <c r="F353" s="8">
        <v>1.172547339E9</v>
      </c>
      <c r="G353" s="9" t="str">
        <f>HYPERLINK("https://www.etsy.com/listing/1172547339", "link")</f>
        <v>link</v>
      </c>
      <c r="H353" s="9" t="str">
        <f>HYPERLINK("https://atlas.etsycorp.com/listing/1172547339/lookup", "link")</f>
        <v>link</v>
      </c>
      <c r="I353" s="5" t="s">
        <v>1212</v>
      </c>
      <c r="J353" s="5" t="s">
        <v>212</v>
      </c>
      <c r="K353" s="5" t="s">
        <v>213</v>
      </c>
      <c r="L353" s="5" t="s">
        <v>214</v>
      </c>
      <c r="M353" s="10" t="s">
        <v>21</v>
      </c>
      <c r="N353" s="10" t="s">
        <v>22</v>
      </c>
      <c r="O353" s="11" t="s">
        <v>877</v>
      </c>
      <c r="P353" s="5"/>
      <c r="Q353" s="5"/>
      <c r="R353" s="5"/>
      <c r="S353" s="5"/>
      <c r="T353" s="5"/>
    </row>
    <row r="354" ht="15.75" customHeight="1">
      <c r="A354" s="6" t="str">
        <f t="shared" si="1"/>
        <v>pennsylvania railroad locomotive sticker, 211764299</v>
      </c>
      <c r="B354" s="7" t="s">
        <v>15</v>
      </c>
      <c r="C354" s="5"/>
      <c r="D354" s="5" t="s">
        <v>1213</v>
      </c>
      <c r="E354" s="5"/>
      <c r="F354" s="8">
        <v>2.11764299E8</v>
      </c>
      <c r="G354" s="9" t="str">
        <f>HYPERLINK("https://www.etsy.com/listing/211764299", "link")</f>
        <v>link</v>
      </c>
      <c r="H354" s="9" t="str">
        <f>HYPERLINK("https://atlas.etsycorp.com/listing/211764299/lookup", "link")</f>
        <v>link</v>
      </c>
      <c r="I354" s="5" t="s">
        <v>1214</v>
      </c>
      <c r="J354" s="5" t="s">
        <v>1215</v>
      </c>
      <c r="K354" s="5" t="s">
        <v>19</v>
      </c>
      <c r="L354" s="5" t="s">
        <v>73</v>
      </c>
      <c r="M354" s="10" t="s">
        <v>21</v>
      </c>
      <c r="N354" s="10" t="s">
        <v>22</v>
      </c>
      <c r="O354" s="11" t="s">
        <v>877</v>
      </c>
      <c r="P354" s="5"/>
      <c r="Q354" s="5"/>
      <c r="R354" s="5"/>
      <c r="S354" s="5"/>
      <c r="T354" s="5"/>
    </row>
    <row r="355" ht="15.75" customHeight="1">
      <c r="A355" s="6" t="str">
        <f t="shared" si="1"/>
        <v>herramientas carpinteria, 1067936030</v>
      </c>
      <c r="B355" s="7" t="s">
        <v>15</v>
      </c>
      <c r="C355" s="5"/>
      <c r="D355" s="5" t="s">
        <v>1216</v>
      </c>
      <c r="E355" s="5" t="s">
        <v>1217</v>
      </c>
      <c r="F355" s="8">
        <v>1.06793603E9</v>
      </c>
      <c r="G355" s="9" t="str">
        <f>HYPERLINK("https://www.etsy.com/listing/1067936030", "link")</f>
        <v>link</v>
      </c>
      <c r="H355" s="9" t="str">
        <f>HYPERLINK("https://atlas.etsycorp.com/listing/1067936030/lookup", "link")</f>
        <v>link</v>
      </c>
      <c r="I355" s="5" t="s">
        <v>1218</v>
      </c>
      <c r="J355" s="5" t="s">
        <v>1219</v>
      </c>
      <c r="K355" s="5" t="s">
        <v>29</v>
      </c>
      <c r="L355" s="5" t="s">
        <v>30</v>
      </c>
      <c r="M355" s="10" t="s">
        <v>21</v>
      </c>
      <c r="N355" s="10" t="s">
        <v>22</v>
      </c>
      <c r="O355" s="11" t="s">
        <v>877</v>
      </c>
      <c r="P355" s="5"/>
      <c r="Q355" s="5"/>
      <c r="R355" s="5"/>
      <c r="S355" s="5"/>
      <c r="T355" s="5"/>
    </row>
    <row r="356" ht="15.75" customHeight="1">
      <c r="A356" s="6" t="str">
        <f t="shared" si="1"/>
        <v>abendtasche blau glitzer, 1739810335</v>
      </c>
      <c r="B356" s="7" t="s">
        <v>24</v>
      </c>
      <c r="C356" s="7" t="s">
        <v>1220</v>
      </c>
      <c r="D356" s="5" t="s">
        <v>1221</v>
      </c>
      <c r="E356" s="5" t="s">
        <v>1222</v>
      </c>
      <c r="F356" s="8">
        <v>1.739810335E9</v>
      </c>
      <c r="G356" s="9" t="str">
        <f>HYPERLINK("https://www.etsy.com/listing/1739810335", "link")</f>
        <v>link</v>
      </c>
      <c r="H356" s="9" t="str">
        <f>HYPERLINK("https://atlas.etsycorp.com/listing/1739810335/lookup", "link")</f>
        <v>link</v>
      </c>
      <c r="I356" s="5" t="s">
        <v>1223</v>
      </c>
      <c r="J356" s="5" t="s">
        <v>1224</v>
      </c>
      <c r="K356" s="5" t="s">
        <v>46</v>
      </c>
      <c r="L356" s="5" t="s">
        <v>47</v>
      </c>
      <c r="M356" s="10" t="s">
        <v>21</v>
      </c>
      <c r="N356" s="10" t="s">
        <v>22</v>
      </c>
      <c r="O356" s="11" t="s">
        <v>877</v>
      </c>
      <c r="P356" s="5"/>
      <c r="Q356" s="5"/>
      <c r="R356" s="5"/>
      <c r="S356" s="5"/>
      <c r="T356" s="5"/>
    </row>
    <row r="357" ht="15.75" customHeight="1">
      <c r="A357" s="6" t="str">
        <f t="shared" si="1"/>
        <v>college school supplies, 1623536505</v>
      </c>
      <c r="B357" s="7" t="s">
        <v>48</v>
      </c>
      <c r="C357" s="5"/>
      <c r="D357" s="5" t="s">
        <v>1225</v>
      </c>
      <c r="E357" s="5" t="s">
        <v>1225</v>
      </c>
      <c r="F357" s="8">
        <v>1.623536505E9</v>
      </c>
      <c r="G357" s="9" t="str">
        <f>HYPERLINK("https://www.etsy.com/listing/1623536505", "link")</f>
        <v>link</v>
      </c>
      <c r="H357" s="9" t="str">
        <f>HYPERLINK("https://atlas.etsycorp.com/listing/1623536505/lookup", "link")</f>
        <v>link</v>
      </c>
      <c r="I357" s="5" t="s">
        <v>1226</v>
      </c>
      <c r="J357" s="5" t="s">
        <v>1227</v>
      </c>
      <c r="K357" s="5" t="s">
        <v>54</v>
      </c>
      <c r="L357" s="5" t="s">
        <v>55</v>
      </c>
      <c r="M357" s="10" t="s">
        <v>21</v>
      </c>
      <c r="N357" s="10" t="s">
        <v>22</v>
      </c>
      <c r="O357" s="11" t="s">
        <v>877</v>
      </c>
      <c r="P357" s="5"/>
      <c r="Q357" s="5"/>
      <c r="R357" s="5"/>
      <c r="S357" s="5"/>
      <c r="T357" s="5"/>
    </row>
    <row r="358" ht="15.75" customHeight="1">
      <c r="A358" s="6" t="str">
        <f t="shared" si="1"/>
        <v>bonburtonsupply, 1274382512</v>
      </c>
      <c r="B358" s="7" t="s">
        <v>446</v>
      </c>
      <c r="C358" s="5"/>
      <c r="D358" s="5" t="s">
        <v>1228</v>
      </c>
      <c r="E358" s="5"/>
      <c r="F358" s="8">
        <v>1.274382512E9</v>
      </c>
      <c r="G358" s="9" t="str">
        <f>HYPERLINK("https://www.etsy.com/listing/1274382512", "link")</f>
        <v>link</v>
      </c>
      <c r="H358" s="9" t="str">
        <f>HYPERLINK("https://atlas.etsycorp.com/listing/1274382512/lookup", "link")</f>
        <v>link</v>
      </c>
      <c r="I358" s="5" t="s">
        <v>1229</v>
      </c>
      <c r="J358" s="5" t="s">
        <v>1230</v>
      </c>
      <c r="K358" s="5" t="s">
        <v>19</v>
      </c>
      <c r="L358" s="5" t="s">
        <v>20</v>
      </c>
      <c r="M358" s="10" t="s">
        <v>21</v>
      </c>
      <c r="N358" s="10" t="s">
        <v>22</v>
      </c>
      <c r="O358" s="11" t="s">
        <v>877</v>
      </c>
      <c r="P358" s="5"/>
      <c r="Q358" s="5"/>
      <c r="R358" s="5"/>
      <c r="S358" s="5"/>
      <c r="T358" s="5"/>
    </row>
    <row r="359" ht="15.75" customHeight="1">
      <c r="A359" s="6" t="str">
        <f t="shared" si="1"/>
        <v>bridesmaid engraved robe, 450543992</v>
      </c>
      <c r="B359" s="7" t="s">
        <v>24</v>
      </c>
      <c r="C359" s="7" t="s">
        <v>1231</v>
      </c>
      <c r="D359" s="5" t="s">
        <v>1232</v>
      </c>
      <c r="E359" s="5" t="s">
        <v>1233</v>
      </c>
      <c r="F359" s="8">
        <v>4.50543992E8</v>
      </c>
      <c r="G359" s="9" t="str">
        <f>HYPERLINK("https://www.etsy.com/listing/450543992", "link")</f>
        <v>link</v>
      </c>
      <c r="H359" s="9" t="str">
        <f>HYPERLINK("https://atlas.etsycorp.com/listing/450543992/lookup", "link")</f>
        <v>link</v>
      </c>
      <c r="I359" s="5" t="s">
        <v>1234</v>
      </c>
      <c r="J359" s="5" t="s">
        <v>1235</v>
      </c>
      <c r="K359" s="5" t="s">
        <v>54</v>
      </c>
      <c r="L359" s="5" t="s">
        <v>55</v>
      </c>
      <c r="M359" s="10" t="s">
        <v>21</v>
      </c>
      <c r="N359" s="10" t="s">
        <v>22</v>
      </c>
      <c r="O359" s="11" t="s">
        <v>877</v>
      </c>
      <c r="P359" s="5"/>
      <c r="Q359" s="5"/>
      <c r="R359" s="5"/>
      <c r="S359" s="5"/>
      <c r="T359" s="5"/>
    </row>
    <row r="360" ht="15.75" customHeight="1">
      <c r="A360" s="6" t="str">
        <f t="shared" si="1"/>
        <v>damiana seeds, 1534320180</v>
      </c>
      <c r="B360" s="7" t="s">
        <v>24</v>
      </c>
      <c r="C360" s="7" t="s">
        <v>1236</v>
      </c>
      <c r="D360" s="5" t="s">
        <v>1237</v>
      </c>
      <c r="E360" s="5"/>
      <c r="F360" s="8">
        <v>1.53432018E9</v>
      </c>
      <c r="G360" s="9" t="str">
        <f>HYPERLINK("https://www.etsy.com/listing/1534320180", "link")</f>
        <v>link</v>
      </c>
      <c r="H360" s="9" t="str">
        <f>HYPERLINK("https://atlas.etsycorp.com/listing/1534320180/lookup", "link")</f>
        <v>link</v>
      </c>
      <c r="I360" s="5" t="s">
        <v>1238</v>
      </c>
      <c r="J360" s="5" t="s">
        <v>1239</v>
      </c>
      <c r="K360" s="5" t="s">
        <v>120</v>
      </c>
      <c r="L360" s="5" t="s">
        <v>20</v>
      </c>
      <c r="M360" s="10" t="s">
        <v>21</v>
      </c>
      <c r="N360" s="10" t="s">
        <v>22</v>
      </c>
      <c r="O360" s="11" t="s">
        <v>877</v>
      </c>
      <c r="P360" s="5"/>
      <c r="Q360" s="5"/>
      <c r="R360" s="5"/>
      <c r="S360" s="5"/>
      <c r="T360" s="5"/>
    </row>
    <row r="361" ht="15.75" customHeight="1">
      <c r="A361" s="6" t="str">
        <f t="shared" si="1"/>
        <v>inkmakers, 1472853453</v>
      </c>
      <c r="B361" s="7" t="s">
        <v>459</v>
      </c>
      <c r="C361" s="5"/>
      <c r="D361" s="5" t="s">
        <v>1240</v>
      </c>
      <c r="E361" s="5"/>
      <c r="F361" s="8">
        <v>1.472853453E9</v>
      </c>
      <c r="G361" s="9" t="str">
        <f>HYPERLINK("https://www.etsy.com/listing/1472853453", "link")</f>
        <v>link</v>
      </c>
      <c r="H361" s="9" t="str">
        <f>HYPERLINK("https://atlas.etsycorp.com/listing/1472853453/lookup", "link")</f>
        <v>link</v>
      </c>
      <c r="I361" s="5" t="s">
        <v>1241</v>
      </c>
      <c r="J361" s="5" t="s">
        <v>1242</v>
      </c>
      <c r="K361" s="5" t="s">
        <v>19</v>
      </c>
      <c r="L361" s="5" t="s">
        <v>41</v>
      </c>
      <c r="M361" s="10" t="s">
        <v>21</v>
      </c>
      <c r="N361" s="10" t="s">
        <v>22</v>
      </c>
      <c r="O361" s="11" t="s">
        <v>877</v>
      </c>
      <c r="P361" s="5"/>
      <c r="Q361" s="5"/>
      <c r="R361" s="5"/>
      <c r="S361" s="5"/>
      <c r="T361" s="5"/>
    </row>
    <row r="362" ht="15.75" customHeight="1">
      <c r="A362" s="6" t="str">
        <f t="shared" si="1"/>
        <v>royal box, 1529103284</v>
      </c>
      <c r="B362" s="7" t="s">
        <v>48</v>
      </c>
      <c r="C362" s="5"/>
      <c r="D362" s="5" t="s">
        <v>1243</v>
      </c>
      <c r="E362" s="5"/>
      <c r="F362" s="8">
        <v>1.529103284E9</v>
      </c>
      <c r="G362" s="9" t="str">
        <f>HYPERLINK("https://www.etsy.com/listing/1529103284", "link")</f>
        <v>link</v>
      </c>
      <c r="H362" s="9" t="str">
        <f>HYPERLINK("https://atlas.etsycorp.com/listing/1529103284/lookup", "link")</f>
        <v>link</v>
      </c>
      <c r="I362" s="5" t="s">
        <v>1244</v>
      </c>
      <c r="J362" s="5" t="s">
        <v>1245</v>
      </c>
      <c r="K362" s="5" t="s">
        <v>19</v>
      </c>
      <c r="L362" s="5" t="s">
        <v>41</v>
      </c>
      <c r="M362" s="10" t="s">
        <v>21</v>
      </c>
      <c r="N362" s="10" t="s">
        <v>23</v>
      </c>
      <c r="O362" s="11" t="s">
        <v>877</v>
      </c>
      <c r="P362" s="5"/>
      <c r="Q362" s="5"/>
      <c r="R362" s="5"/>
      <c r="S362" s="5"/>
      <c r="T362" s="5"/>
    </row>
    <row r="363" ht="15.75" customHeight="1">
      <c r="A363" s="6" t="str">
        <f t="shared" si="1"/>
        <v>dogpool marvel, 1654866233</v>
      </c>
      <c r="B363" s="7" t="s">
        <v>24</v>
      </c>
      <c r="C363" s="7" t="s">
        <v>1246</v>
      </c>
      <c r="D363" s="5" t="s">
        <v>1247</v>
      </c>
      <c r="E363" s="5" t="s">
        <v>1247</v>
      </c>
      <c r="F363" s="8">
        <v>1.654866233E9</v>
      </c>
      <c r="G363" s="9" t="str">
        <f>HYPERLINK("https://www.etsy.com/listing/1654866233", "link")</f>
        <v>link</v>
      </c>
      <c r="H363" s="9" t="str">
        <f>HYPERLINK("https://atlas.etsycorp.com/listing/1654866233/lookup", "link")</f>
        <v>link</v>
      </c>
      <c r="I363" s="5" t="s">
        <v>1248</v>
      </c>
      <c r="J363" s="5" t="s">
        <v>1249</v>
      </c>
      <c r="K363" s="5" t="s">
        <v>54</v>
      </c>
      <c r="L363" s="5" t="s">
        <v>55</v>
      </c>
      <c r="M363" s="10" t="s">
        <v>21</v>
      </c>
      <c r="N363" s="10" t="s">
        <v>23</v>
      </c>
      <c r="O363" s="11" t="s">
        <v>877</v>
      </c>
      <c r="P363" s="5"/>
      <c r="Q363" s="5"/>
      <c r="R363" s="5"/>
      <c r="S363" s="5"/>
      <c r="T363" s="5"/>
    </row>
    <row r="364" ht="15.75" customHeight="1">
      <c r="A364" s="6" t="str">
        <f t="shared" si="1"/>
        <v>art deco opal wall lights, 1316084844</v>
      </c>
      <c r="B364" s="7" t="s">
        <v>24</v>
      </c>
      <c r="C364" s="7" t="s">
        <v>1250</v>
      </c>
      <c r="D364" s="5" t="s">
        <v>1251</v>
      </c>
      <c r="E364" s="5"/>
      <c r="F364" s="8">
        <v>1.316084844E9</v>
      </c>
      <c r="G364" s="9" t="str">
        <f>HYPERLINK("https://www.etsy.com/listing/1316084844", "link")</f>
        <v>link</v>
      </c>
      <c r="H364" s="9" t="str">
        <f>HYPERLINK("https://atlas.etsycorp.com/listing/1316084844/lookup", "link")</f>
        <v>link</v>
      </c>
      <c r="I364" s="5" t="s">
        <v>1252</v>
      </c>
      <c r="J364" s="5" t="s">
        <v>1253</v>
      </c>
      <c r="K364" s="5" t="s">
        <v>120</v>
      </c>
      <c r="L364" s="5" t="s">
        <v>73</v>
      </c>
      <c r="M364" s="10" t="s">
        <v>21</v>
      </c>
      <c r="N364" s="10" t="s">
        <v>23</v>
      </c>
      <c r="O364" s="11" t="s">
        <v>877</v>
      </c>
      <c r="P364" s="5"/>
      <c r="Q364" s="5"/>
      <c r="R364" s="5"/>
      <c r="S364" s="5"/>
      <c r="T364" s="5"/>
    </row>
    <row r="365" ht="15.75" customHeight="1">
      <c r="A365" s="6" t="str">
        <f t="shared" si="1"/>
        <v>Nail care tools, 1204654949</v>
      </c>
      <c r="B365" s="7" t="s">
        <v>15</v>
      </c>
      <c r="C365" s="5"/>
      <c r="D365" s="5" t="s">
        <v>1254</v>
      </c>
      <c r="E365" s="5"/>
      <c r="F365" s="8">
        <v>1.204654949E9</v>
      </c>
      <c r="G365" s="9" t="str">
        <f>HYPERLINK("https://www.etsy.com/listing/1204654949", "link")</f>
        <v>link</v>
      </c>
      <c r="H365" s="9" t="str">
        <f>HYPERLINK("https://atlas.etsycorp.com/listing/1204654949/lookup", "link")</f>
        <v>link</v>
      </c>
      <c r="I365" s="5" t="s">
        <v>1255</v>
      </c>
      <c r="J365" s="5" t="s">
        <v>1256</v>
      </c>
      <c r="K365" s="5" t="s">
        <v>19</v>
      </c>
      <c r="L365" s="5" t="s">
        <v>41</v>
      </c>
      <c r="M365" s="10" t="s">
        <v>21</v>
      </c>
      <c r="N365" s="10" t="s">
        <v>23</v>
      </c>
      <c r="O365" s="11" t="s">
        <v>877</v>
      </c>
      <c r="P365" s="5"/>
      <c r="Q365" s="5"/>
      <c r="R365" s="5"/>
      <c r="S365" s="5"/>
      <c r="T365" s="5"/>
    </row>
    <row r="366" ht="15.75" customHeight="1">
      <c r="A366" s="6" t="str">
        <f t="shared" si="1"/>
        <v>wall decor office, 886169890</v>
      </c>
      <c r="B366" s="7" t="s">
        <v>15</v>
      </c>
      <c r="C366" s="5"/>
      <c r="D366" s="5" t="s">
        <v>1257</v>
      </c>
      <c r="E366" s="5"/>
      <c r="F366" s="8">
        <v>8.8616989E8</v>
      </c>
      <c r="G366" s="9" t="str">
        <f>HYPERLINK("https://www.etsy.com/listing/886169890", "link")</f>
        <v>link</v>
      </c>
      <c r="H366" s="9" t="str">
        <f>HYPERLINK("https://atlas.etsycorp.com/listing/886169890/lookup", "link")</f>
        <v>link</v>
      </c>
      <c r="I366" s="5" t="s">
        <v>1258</v>
      </c>
      <c r="J366" s="5" t="s">
        <v>1259</v>
      </c>
      <c r="K366" s="5" t="s">
        <v>19</v>
      </c>
      <c r="L366" s="5" t="s">
        <v>41</v>
      </c>
      <c r="M366" s="10" t="s">
        <v>21</v>
      </c>
      <c r="N366" s="10" t="s">
        <v>23</v>
      </c>
      <c r="O366" s="11" t="s">
        <v>877</v>
      </c>
      <c r="P366" s="5"/>
      <c r="Q366" s="5"/>
      <c r="R366" s="5"/>
      <c r="S366" s="5"/>
      <c r="T366" s="5"/>
    </row>
    <row r="367" ht="15.75" customHeight="1">
      <c r="A367" s="6" t="str">
        <f t="shared" si="1"/>
        <v>bioli, 1467940554</v>
      </c>
      <c r="B367" s="7" t="s">
        <v>446</v>
      </c>
      <c r="C367" s="5"/>
      <c r="D367" s="5" t="s">
        <v>1260</v>
      </c>
      <c r="E367" s="5" t="s">
        <v>1260</v>
      </c>
      <c r="F367" s="8">
        <v>1.467940554E9</v>
      </c>
      <c r="G367" s="9" t="str">
        <f>HYPERLINK("https://www.etsy.com/listing/1467940554", "link")</f>
        <v>link</v>
      </c>
      <c r="H367" s="9" t="str">
        <f>HYPERLINK("https://atlas.etsycorp.com/listing/1467940554/lookup", "link")</f>
        <v>link</v>
      </c>
      <c r="I367" s="5" t="s">
        <v>1261</v>
      </c>
      <c r="J367" s="5" t="s">
        <v>1262</v>
      </c>
      <c r="K367" s="5" t="s">
        <v>80</v>
      </c>
      <c r="L367" s="5" t="s">
        <v>81</v>
      </c>
      <c r="M367" s="10" t="s">
        <v>21</v>
      </c>
      <c r="N367" s="10" t="s">
        <v>23</v>
      </c>
      <c r="O367" s="11" t="s">
        <v>877</v>
      </c>
      <c r="P367" s="5"/>
      <c r="Q367" s="5"/>
      <c r="R367" s="5"/>
      <c r="S367" s="5"/>
      <c r="T367" s="5"/>
    </row>
    <row r="368" ht="15.75" customHeight="1">
      <c r="A368" s="6" t="str">
        <f t="shared" si="1"/>
        <v>basketball mousepad nome, 487217357</v>
      </c>
      <c r="B368" s="7" t="s">
        <v>15</v>
      </c>
      <c r="C368" s="5"/>
      <c r="D368" s="5" t="s">
        <v>1263</v>
      </c>
      <c r="E368" s="5" t="s">
        <v>1264</v>
      </c>
      <c r="F368" s="8">
        <v>4.87217357E8</v>
      </c>
      <c r="G368" s="9" t="str">
        <f>HYPERLINK("https://www.etsy.com/listing/487217357", "link")</f>
        <v>link</v>
      </c>
      <c r="H368" s="9" t="str">
        <f>HYPERLINK("https://atlas.etsycorp.com/listing/487217357/lookup", "link")</f>
        <v>link</v>
      </c>
      <c r="I368" s="5" t="s">
        <v>1265</v>
      </c>
      <c r="J368" s="5" t="s">
        <v>1266</v>
      </c>
      <c r="K368" s="5" t="s">
        <v>80</v>
      </c>
      <c r="L368" s="5" t="s">
        <v>81</v>
      </c>
      <c r="M368" s="10" t="s">
        <v>21</v>
      </c>
      <c r="N368" s="10" t="s">
        <v>23</v>
      </c>
      <c r="O368" s="11" t="s">
        <v>877</v>
      </c>
      <c r="P368" s="5"/>
      <c r="Q368" s="5"/>
      <c r="R368" s="5"/>
      <c r="S368" s="5"/>
      <c r="T368" s="5"/>
    </row>
    <row r="369" ht="15.75" customHeight="1">
      <c r="A369" s="6" t="str">
        <f t="shared" si="1"/>
        <v>orecchini in titanio, 1293044175</v>
      </c>
      <c r="B369" s="7" t="s">
        <v>15</v>
      </c>
      <c r="C369" s="5"/>
      <c r="D369" s="5" t="s">
        <v>1156</v>
      </c>
      <c r="E369" s="5" t="s">
        <v>1157</v>
      </c>
      <c r="F369" s="8">
        <v>1.293044175E9</v>
      </c>
      <c r="G369" s="9" t="str">
        <f>HYPERLINK("https://www.etsy.com/listing/1293044175", "link")</f>
        <v>link</v>
      </c>
      <c r="H369" s="9" t="str">
        <f>HYPERLINK("https://atlas.etsycorp.com/listing/1293044175/lookup", "link")</f>
        <v>link</v>
      </c>
      <c r="I369" s="5" t="s">
        <v>1267</v>
      </c>
      <c r="J369" s="5" t="s">
        <v>1159</v>
      </c>
      <c r="K369" s="5" t="s">
        <v>80</v>
      </c>
      <c r="L369" s="5" t="s">
        <v>81</v>
      </c>
      <c r="M369" s="10" t="s">
        <v>21</v>
      </c>
      <c r="N369" s="10" t="s">
        <v>23</v>
      </c>
      <c r="O369" s="11" t="s">
        <v>877</v>
      </c>
      <c r="P369" s="5"/>
      <c r="Q369" s="5"/>
      <c r="R369" s="5"/>
      <c r="S369" s="5"/>
      <c r="T369" s="5"/>
    </row>
    <row r="370" ht="15.75" customHeight="1">
      <c r="A370" s="6" t="str">
        <f t="shared" si="1"/>
        <v>womens beanie montana, 1349182413</v>
      </c>
      <c r="B370" s="7" t="s">
        <v>24</v>
      </c>
      <c r="C370" s="7" t="s">
        <v>1268</v>
      </c>
      <c r="D370" s="5" t="s">
        <v>1269</v>
      </c>
      <c r="E370" s="5"/>
      <c r="F370" s="8">
        <v>1.349182413E9</v>
      </c>
      <c r="G370" s="9" t="str">
        <f>HYPERLINK("https://www.etsy.com/listing/1349182413", "link")</f>
        <v>link</v>
      </c>
      <c r="H370" s="9" t="str">
        <f>HYPERLINK("https://atlas.etsycorp.com/listing/1349182413/lookup", "link")</f>
        <v>link</v>
      </c>
      <c r="I370" s="5" t="s">
        <v>1270</v>
      </c>
      <c r="J370" s="5" t="s">
        <v>1271</v>
      </c>
      <c r="K370" s="5" t="s">
        <v>19</v>
      </c>
      <c r="L370" s="5" t="s">
        <v>73</v>
      </c>
      <c r="M370" s="10" t="s">
        <v>21</v>
      </c>
      <c r="N370" s="10" t="s">
        <v>23</v>
      </c>
      <c r="O370" s="11" t="s">
        <v>877</v>
      </c>
      <c r="P370" s="5"/>
      <c r="Q370" s="5"/>
      <c r="R370" s="5"/>
      <c r="S370" s="5"/>
      <c r="T370" s="5"/>
    </row>
    <row r="371" ht="15.75" customHeight="1">
      <c r="A371" s="6" t="str">
        <f t="shared" si="1"/>
        <v>personalized school supplies, 1697800640</v>
      </c>
      <c r="B371" s="7" t="s">
        <v>48</v>
      </c>
      <c r="C371" s="5"/>
      <c r="D371" s="5" t="s">
        <v>485</v>
      </c>
      <c r="E371" s="5" t="s">
        <v>485</v>
      </c>
      <c r="F371" s="8">
        <v>1.69780064E9</v>
      </c>
      <c r="G371" s="9" t="str">
        <f>HYPERLINK("https://www.etsy.com/listing/1697800640", "link")</f>
        <v>link</v>
      </c>
      <c r="H371" s="9" t="str">
        <f>HYPERLINK("https://atlas.etsycorp.com/listing/1697800640/lookup", "link")</f>
        <v>link</v>
      </c>
      <c r="I371" s="5" t="s">
        <v>1272</v>
      </c>
      <c r="J371" s="5" t="s">
        <v>1273</v>
      </c>
      <c r="K371" s="5" t="s">
        <v>29</v>
      </c>
      <c r="L371" s="5" t="s">
        <v>30</v>
      </c>
      <c r="M371" s="10" t="s">
        <v>21</v>
      </c>
      <c r="N371" s="10" t="s">
        <v>23</v>
      </c>
      <c r="O371" s="11" t="s">
        <v>877</v>
      </c>
      <c r="P371" s="5"/>
      <c r="Q371" s="5"/>
      <c r="R371" s="5"/>
      <c r="S371" s="5"/>
      <c r="T371" s="5"/>
    </row>
    <row r="372" ht="15.75" customHeight="1">
      <c r="A372" s="6" t="str">
        <f t="shared" si="1"/>
        <v>rowan knitting pattern, 1115893606</v>
      </c>
      <c r="B372" s="7" t="s">
        <v>48</v>
      </c>
      <c r="C372" s="5"/>
      <c r="D372" s="5" t="s">
        <v>1274</v>
      </c>
      <c r="E372" s="5"/>
      <c r="F372" s="8">
        <v>1.115893606E9</v>
      </c>
      <c r="G372" s="9" t="str">
        <f>HYPERLINK("https://www.etsy.com/listing/1115893606", "link")</f>
        <v>link</v>
      </c>
      <c r="H372" s="9" t="str">
        <f>HYPERLINK("https://atlas.etsycorp.com/listing/1115893606/lookup", "link")</f>
        <v>link</v>
      </c>
      <c r="I372" s="5" t="s">
        <v>1275</v>
      </c>
      <c r="J372" s="5" t="s">
        <v>1276</v>
      </c>
      <c r="K372" s="5" t="s">
        <v>120</v>
      </c>
      <c r="L372" s="5" t="s">
        <v>73</v>
      </c>
      <c r="M372" s="10" t="s">
        <v>21</v>
      </c>
      <c r="N372" s="10" t="s">
        <v>23</v>
      </c>
      <c r="O372" s="11" t="s">
        <v>877</v>
      </c>
      <c r="P372" s="5"/>
      <c r="Q372" s="5"/>
      <c r="R372" s="5"/>
      <c r="S372" s="5"/>
      <c r="T372" s="5"/>
    </row>
    <row r="373" ht="15.75" customHeight="1">
      <c r="A373" s="6" t="str">
        <f t="shared" si="1"/>
        <v>vintage style, 1690804640</v>
      </c>
      <c r="B373" s="7" t="s">
        <v>15</v>
      </c>
      <c r="C373" s="5"/>
      <c r="D373" s="5" t="s">
        <v>1277</v>
      </c>
      <c r="E373" s="5" t="s">
        <v>1278</v>
      </c>
      <c r="F373" s="8">
        <v>1.69080464E9</v>
      </c>
      <c r="G373" s="9" t="str">
        <f>HYPERLINK("https://www.etsy.com/listing/1690804640", "link")</f>
        <v>link</v>
      </c>
      <c r="H373" s="9" t="str">
        <f>HYPERLINK("https://atlas.etsycorp.com/listing/1690804640/lookup", "link")</f>
        <v>link</v>
      </c>
      <c r="I373" s="5" t="s">
        <v>1279</v>
      </c>
      <c r="J373" s="5" t="s">
        <v>1280</v>
      </c>
      <c r="K373" s="5" t="s">
        <v>46</v>
      </c>
      <c r="L373" s="5" t="s">
        <v>47</v>
      </c>
      <c r="M373" s="10" t="s">
        <v>21</v>
      </c>
      <c r="N373" s="10" t="s">
        <v>23</v>
      </c>
      <c r="O373" s="11" t="s">
        <v>877</v>
      </c>
      <c r="P373" s="5"/>
      <c r="Q373" s="5"/>
      <c r="R373" s="5"/>
      <c r="S373" s="5"/>
      <c r="T373" s="5"/>
    </row>
    <row r="374" ht="15.75" customHeight="1">
      <c r="A374" s="6" t="str">
        <f t="shared" si="1"/>
        <v>Custom womens clothing, 1601633065</v>
      </c>
      <c r="B374" s="7" t="s">
        <v>48</v>
      </c>
      <c r="C374" s="5"/>
      <c r="D374" s="5" t="s">
        <v>512</v>
      </c>
      <c r="E374" s="5" t="s">
        <v>512</v>
      </c>
      <c r="F374" s="8">
        <v>1.601633065E9</v>
      </c>
      <c r="G374" s="9" t="str">
        <f>HYPERLINK("https://www.etsy.com/listing/1601633065", "link")</f>
        <v>link</v>
      </c>
      <c r="H374" s="9" t="str">
        <f>HYPERLINK("https://atlas.etsycorp.com/listing/1601633065/lookup", "link")</f>
        <v>link</v>
      </c>
      <c r="I374" s="5" t="s">
        <v>1281</v>
      </c>
      <c r="J374" s="5" t="s">
        <v>514</v>
      </c>
      <c r="K374" s="5" t="s">
        <v>54</v>
      </c>
      <c r="L374" s="5" t="s">
        <v>55</v>
      </c>
      <c r="M374" s="10" t="s">
        <v>21</v>
      </c>
      <c r="N374" s="10" t="s">
        <v>23</v>
      </c>
      <c r="O374" s="11" t="s">
        <v>877</v>
      </c>
      <c r="P374" s="5"/>
      <c r="Q374" s="5"/>
      <c r="R374" s="5"/>
      <c r="S374" s="5"/>
      <c r="T374" s="5"/>
    </row>
    <row r="375" ht="15.75" customHeight="1">
      <c r="A375" s="6" t="str">
        <f t="shared" si="1"/>
        <v>frame clay cutter, 1544892236</v>
      </c>
      <c r="B375" s="7" t="s">
        <v>48</v>
      </c>
      <c r="C375" s="5"/>
      <c r="D375" s="5" t="s">
        <v>1282</v>
      </c>
      <c r="E375" s="5"/>
      <c r="F375" s="8">
        <v>1.544892236E9</v>
      </c>
      <c r="G375" s="9" t="str">
        <f>HYPERLINK("https://www.etsy.com/listing/1544892236", "link")</f>
        <v>link</v>
      </c>
      <c r="H375" s="9" t="str">
        <f>HYPERLINK("https://atlas.etsycorp.com/listing/1544892236/lookup", "link")</f>
        <v>link</v>
      </c>
      <c r="I375" s="5" t="s">
        <v>1283</v>
      </c>
      <c r="J375" s="5" t="s">
        <v>1284</v>
      </c>
      <c r="K375" s="5" t="s">
        <v>19</v>
      </c>
      <c r="L375" s="5" t="s">
        <v>41</v>
      </c>
      <c r="M375" s="10" t="s">
        <v>21</v>
      </c>
      <c r="N375" s="10" t="s">
        <v>23</v>
      </c>
      <c r="O375" s="11" t="s">
        <v>877</v>
      </c>
      <c r="P375" s="5"/>
      <c r="Q375" s="5"/>
      <c r="R375" s="5"/>
      <c r="S375" s="5"/>
      <c r="T375" s="5"/>
    </row>
    <row r="376" ht="15.75" customHeight="1">
      <c r="A376" s="6" t="str">
        <f t="shared" si="1"/>
        <v>coffee table base, 787371049</v>
      </c>
      <c r="B376" s="7" t="s">
        <v>15</v>
      </c>
      <c r="C376" s="5"/>
      <c r="D376" s="5" t="s">
        <v>1285</v>
      </c>
      <c r="E376" s="5"/>
      <c r="F376" s="8">
        <v>7.87371049E8</v>
      </c>
      <c r="G376" s="9" t="str">
        <f>HYPERLINK("https://www.etsy.com/listing/787371049", "link")</f>
        <v>link</v>
      </c>
      <c r="H376" s="9" t="str">
        <f>HYPERLINK("https://atlas.etsycorp.com/listing/787371049/lookup", "link")</f>
        <v>link</v>
      </c>
      <c r="I376" s="5" t="s">
        <v>1286</v>
      </c>
      <c r="J376" s="5" t="s">
        <v>1287</v>
      </c>
      <c r="K376" s="5" t="s">
        <v>120</v>
      </c>
      <c r="L376" s="5" t="s">
        <v>41</v>
      </c>
      <c r="M376" s="10" t="s">
        <v>21</v>
      </c>
      <c r="N376" s="10" t="s">
        <v>23</v>
      </c>
      <c r="O376" s="11" t="s">
        <v>877</v>
      </c>
      <c r="P376" s="5"/>
      <c r="Q376" s="5"/>
      <c r="R376" s="5"/>
      <c r="S376" s="5"/>
      <c r="T376" s="5"/>
    </row>
    <row r="377" ht="15.75" customHeight="1">
      <c r="A377" s="6" t="str">
        <f t="shared" si="1"/>
        <v>people one star, 1507822206</v>
      </c>
      <c r="B377" s="7" t="s">
        <v>48</v>
      </c>
      <c r="C377" s="5"/>
      <c r="D377" s="5" t="s">
        <v>1288</v>
      </c>
      <c r="E377" s="5"/>
      <c r="F377" s="8">
        <v>1.507822206E9</v>
      </c>
      <c r="G377" s="9" t="str">
        <f>HYPERLINK("https://www.etsy.com/listing/1507822206", "link")</f>
        <v>link</v>
      </c>
      <c r="H377" s="9" t="str">
        <f>HYPERLINK("https://atlas.etsycorp.com/listing/1507822206/lookup", "link")</f>
        <v>link</v>
      </c>
      <c r="I377" s="5" t="s">
        <v>1289</v>
      </c>
      <c r="J377" s="5" t="s">
        <v>1290</v>
      </c>
      <c r="K377" s="5" t="s">
        <v>19</v>
      </c>
      <c r="L377" s="5" t="s">
        <v>20</v>
      </c>
      <c r="M377" s="10" t="s">
        <v>21</v>
      </c>
      <c r="N377" s="10" t="s">
        <v>23</v>
      </c>
      <c r="O377" s="11" t="s">
        <v>877</v>
      </c>
      <c r="P377" s="5"/>
      <c r="Q377" s="5"/>
      <c r="R377" s="5"/>
      <c r="S377" s="5"/>
      <c r="T377" s="5"/>
    </row>
    <row r="378" ht="15.75" customHeight="1">
      <c r="A378" s="6" t="str">
        <f t="shared" si="1"/>
        <v>Find shirts, 1321944671</v>
      </c>
      <c r="B378" s="7" t="s">
        <v>24</v>
      </c>
      <c r="C378" s="7" t="s">
        <v>1291</v>
      </c>
      <c r="D378" s="5" t="s">
        <v>89</v>
      </c>
      <c r="E378" s="5" t="s">
        <v>89</v>
      </c>
      <c r="F378" s="8">
        <v>1.321944671E9</v>
      </c>
      <c r="G378" s="9" t="str">
        <f>HYPERLINK("https://www.etsy.com/listing/1321944671", "link")</f>
        <v>link</v>
      </c>
      <c r="H378" s="9" t="str">
        <f>HYPERLINK("https://atlas.etsycorp.com/listing/1321944671/lookup", "link")</f>
        <v>link</v>
      </c>
      <c r="I378" s="5" t="s">
        <v>1292</v>
      </c>
      <c r="J378" s="5" t="s">
        <v>1293</v>
      </c>
      <c r="K378" s="5" t="s">
        <v>29</v>
      </c>
      <c r="L378" s="5" t="s">
        <v>30</v>
      </c>
      <c r="M378" s="10" t="s">
        <v>21</v>
      </c>
      <c r="N378" s="10" t="s">
        <v>23</v>
      </c>
      <c r="O378" s="11" t="s">
        <v>877</v>
      </c>
      <c r="P378" s="5"/>
      <c r="Q378" s="5"/>
      <c r="R378" s="5"/>
      <c r="S378" s="5"/>
      <c r="T378" s="5"/>
    </row>
    <row r="379" ht="15.75" customHeight="1">
      <c r="A379" s="6" t="str">
        <f t="shared" si="1"/>
        <v>Custom womens clothing, 1643771466</v>
      </c>
      <c r="B379" s="7" t="s">
        <v>48</v>
      </c>
      <c r="C379" s="5"/>
      <c r="D379" s="5" t="s">
        <v>512</v>
      </c>
      <c r="E379" s="5" t="s">
        <v>512</v>
      </c>
      <c r="F379" s="8">
        <v>1.643771466E9</v>
      </c>
      <c r="G379" s="9" t="str">
        <f>HYPERLINK("https://www.etsy.com/listing/1643771466", "link")</f>
        <v>link</v>
      </c>
      <c r="H379" s="9" t="str">
        <f>HYPERLINK("https://atlas.etsycorp.com/listing/1643771466/lookup", "link")</f>
        <v>link</v>
      </c>
      <c r="I379" s="5" t="s">
        <v>1294</v>
      </c>
      <c r="J379" s="5" t="s">
        <v>1295</v>
      </c>
      <c r="K379" s="5" t="s">
        <v>229</v>
      </c>
      <c r="L379" s="5" t="s">
        <v>230</v>
      </c>
      <c r="M379" s="10" t="s">
        <v>21</v>
      </c>
      <c r="N379" s="10" t="s">
        <v>23</v>
      </c>
      <c r="O379" s="11" t="s">
        <v>877</v>
      </c>
      <c r="P379" s="5"/>
      <c r="Q379" s="5"/>
      <c r="R379" s="5"/>
      <c r="S379" s="5"/>
      <c r="T379" s="5"/>
    </row>
    <row r="380" ht="15.75" customHeight="1">
      <c r="A380" s="6" t="str">
        <f t="shared" si="1"/>
        <v>easter cookies, 1171488216</v>
      </c>
      <c r="B380" s="7" t="s">
        <v>15</v>
      </c>
      <c r="C380" s="5"/>
      <c r="D380" s="5" t="s">
        <v>1296</v>
      </c>
      <c r="E380" s="5"/>
      <c r="F380" s="8">
        <v>1.171488216E9</v>
      </c>
      <c r="G380" s="9" t="str">
        <f>HYPERLINK("https://www.etsy.com/listing/1171488216", "link")</f>
        <v>link</v>
      </c>
      <c r="H380" s="9" t="str">
        <f>HYPERLINK("https://atlas.etsycorp.com/listing/1171488216/lookup", "link")</f>
        <v>link</v>
      </c>
      <c r="I380" s="5" t="s">
        <v>1297</v>
      </c>
      <c r="J380" s="5" t="s">
        <v>1298</v>
      </c>
      <c r="K380" s="5" t="s">
        <v>19</v>
      </c>
      <c r="L380" s="5" t="s">
        <v>41</v>
      </c>
      <c r="M380" s="10" t="s">
        <v>21</v>
      </c>
      <c r="N380" s="10" t="s">
        <v>23</v>
      </c>
      <c r="O380" s="11" t="s">
        <v>877</v>
      </c>
      <c r="P380" s="5"/>
      <c r="Q380" s="5"/>
      <c r="R380" s="5"/>
      <c r="S380" s="5"/>
      <c r="T380" s="5"/>
    </row>
    <row r="381" ht="15.75" customHeight="1">
      <c r="A381" s="6" t="str">
        <f t="shared" si="1"/>
        <v>hanging driftwood succulents, 964723545</v>
      </c>
      <c r="B381" s="7" t="s">
        <v>15</v>
      </c>
      <c r="C381" s="5"/>
      <c r="D381" s="5" t="s">
        <v>1299</v>
      </c>
      <c r="E381" s="5"/>
      <c r="F381" s="8">
        <v>9.64723545E8</v>
      </c>
      <c r="G381" s="9" t="str">
        <f>HYPERLINK("https://www.etsy.com/listing/964723545", "link")</f>
        <v>link</v>
      </c>
      <c r="H381" s="9" t="str">
        <f>HYPERLINK("https://atlas.etsycorp.com/listing/964723545/lookup", "link")</f>
        <v>link</v>
      </c>
      <c r="I381" s="5" t="s">
        <v>1300</v>
      </c>
      <c r="J381" s="5" t="s">
        <v>1301</v>
      </c>
      <c r="K381" s="5" t="s">
        <v>19</v>
      </c>
      <c r="L381" s="5" t="s">
        <v>20</v>
      </c>
      <c r="M381" s="10" t="s">
        <v>21</v>
      </c>
      <c r="N381" s="10" t="s">
        <v>23</v>
      </c>
      <c r="O381" s="11" t="s">
        <v>877</v>
      </c>
      <c r="P381" s="5"/>
      <c r="Q381" s="5"/>
      <c r="R381" s="5"/>
      <c r="S381" s="5"/>
      <c r="T381" s="5"/>
    </row>
    <row r="382" ht="15.75" customHeight="1">
      <c r="A382" s="6" t="str">
        <f t="shared" si="1"/>
        <v>cadre bijoux enfant, 1482590187</v>
      </c>
      <c r="B382" s="7" t="s">
        <v>48</v>
      </c>
      <c r="C382" s="5"/>
      <c r="D382" s="5" t="s">
        <v>50</v>
      </c>
      <c r="E382" s="5" t="s">
        <v>51</v>
      </c>
      <c r="F382" s="8">
        <v>1.482590187E9</v>
      </c>
      <c r="G382" s="9" t="str">
        <f>HYPERLINK("https://www.etsy.com/listing/1482590187", "link")</f>
        <v>link</v>
      </c>
      <c r="H382" s="9" t="str">
        <f>HYPERLINK("https://atlas.etsycorp.com/listing/1482590187/lookup", "link")</f>
        <v>link</v>
      </c>
      <c r="I382" s="5" t="s">
        <v>1302</v>
      </c>
      <c r="J382" s="5" t="s">
        <v>53</v>
      </c>
      <c r="K382" s="5" t="s">
        <v>54</v>
      </c>
      <c r="L382" s="5" t="s">
        <v>55</v>
      </c>
      <c r="M382" s="10" t="s">
        <v>21</v>
      </c>
      <c r="N382" s="10" t="s">
        <v>23</v>
      </c>
      <c r="O382" s="11" t="s">
        <v>877</v>
      </c>
      <c r="P382" s="5"/>
      <c r="Q382" s="5"/>
      <c r="R382" s="5"/>
      <c r="S382" s="5"/>
      <c r="T382" s="5"/>
    </row>
    <row r="383" ht="15.75" customHeight="1">
      <c r="A383" s="6" t="str">
        <f t="shared" si="1"/>
        <v>car air freshener, 1473279445</v>
      </c>
      <c r="B383" s="7" t="s">
        <v>48</v>
      </c>
      <c r="C383" s="5"/>
      <c r="D383" s="5" t="s">
        <v>1303</v>
      </c>
      <c r="E383" s="5"/>
      <c r="F383" s="8">
        <v>1.473279445E9</v>
      </c>
      <c r="G383" s="9" t="str">
        <f>HYPERLINK("https://www.etsy.com/listing/1473279445", "link")</f>
        <v>link</v>
      </c>
      <c r="H383" s="9" t="str">
        <f>HYPERLINK("https://atlas.etsycorp.com/listing/1473279445/lookup", "link")</f>
        <v>link</v>
      </c>
      <c r="I383" s="5" t="s">
        <v>1304</v>
      </c>
      <c r="J383" s="5" t="s">
        <v>1305</v>
      </c>
      <c r="K383" s="5" t="s">
        <v>120</v>
      </c>
      <c r="L383" s="5" t="s">
        <v>41</v>
      </c>
      <c r="M383" s="10" t="s">
        <v>21</v>
      </c>
      <c r="N383" s="10" t="s">
        <v>23</v>
      </c>
      <c r="O383" s="11" t="s">
        <v>877</v>
      </c>
      <c r="P383" s="5"/>
      <c r="Q383" s="5"/>
      <c r="R383" s="5"/>
      <c r="S383" s="5"/>
      <c r="T383" s="5"/>
    </row>
    <row r="384" ht="15.75" customHeight="1">
      <c r="A384" s="6" t="str">
        <f t="shared" si="1"/>
        <v>Pendientes de aro, 1489546190</v>
      </c>
      <c r="B384" s="7" t="s">
        <v>15</v>
      </c>
      <c r="C384" s="5"/>
      <c r="D384" s="5" t="s">
        <v>1306</v>
      </c>
      <c r="E384" s="5" t="s">
        <v>1307</v>
      </c>
      <c r="F384" s="8">
        <v>1.48954619E9</v>
      </c>
      <c r="G384" s="9" t="str">
        <f>HYPERLINK("https://www.etsy.com/listing/1489546190", "link")</f>
        <v>link</v>
      </c>
      <c r="H384" s="9" t="str">
        <f>HYPERLINK("https://atlas.etsycorp.com/listing/1489546190/lookup", "link")</f>
        <v>link</v>
      </c>
      <c r="I384" s="5" t="s">
        <v>1308</v>
      </c>
      <c r="J384" s="5" t="s">
        <v>1309</v>
      </c>
      <c r="K384" s="5" t="s">
        <v>29</v>
      </c>
      <c r="L384" s="5" t="s">
        <v>30</v>
      </c>
      <c r="M384" s="10" t="s">
        <v>21</v>
      </c>
      <c r="N384" s="10" t="s">
        <v>23</v>
      </c>
      <c r="O384" s="11" t="s">
        <v>877</v>
      </c>
      <c r="P384" s="5"/>
      <c r="Q384" s="5"/>
      <c r="R384" s="5"/>
      <c r="S384" s="5"/>
      <c r="T384" s="5"/>
    </row>
    <row r="385" ht="15.75" customHeight="1">
      <c r="A385" s="6" t="str">
        <f t="shared" si="1"/>
        <v>ww1, 1624874477</v>
      </c>
      <c r="B385" s="7" t="s">
        <v>15</v>
      </c>
      <c r="C385" s="5"/>
      <c r="D385" s="5" t="s">
        <v>1310</v>
      </c>
      <c r="E385" s="5" t="s">
        <v>1310</v>
      </c>
      <c r="F385" s="8">
        <v>1.624874477E9</v>
      </c>
      <c r="G385" s="9" t="str">
        <f>HYPERLINK("https://www.etsy.com/listing/1624874477", "link")</f>
        <v>link</v>
      </c>
      <c r="H385" s="9" t="str">
        <f>HYPERLINK("https://atlas.etsycorp.com/listing/1624874477/lookup", "link")</f>
        <v>link</v>
      </c>
      <c r="I385" s="5" t="s">
        <v>1311</v>
      </c>
      <c r="J385" s="5" t="s">
        <v>1312</v>
      </c>
      <c r="K385" s="5" t="s">
        <v>29</v>
      </c>
      <c r="L385" s="5" t="s">
        <v>30</v>
      </c>
      <c r="M385" s="10" t="s">
        <v>21</v>
      </c>
      <c r="N385" s="10" t="s">
        <v>23</v>
      </c>
      <c r="O385" s="11" t="s">
        <v>877</v>
      </c>
      <c r="P385" s="5"/>
      <c r="Q385" s="5"/>
      <c r="R385" s="5"/>
      <c r="S385" s="5"/>
      <c r="T385" s="5"/>
    </row>
    <row r="386" ht="15.75" customHeight="1">
      <c r="A386" s="6" t="str">
        <f t="shared" si="1"/>
        <v>acuity revamp, 1536563277</v>
      </c>
      <c r="B386" s="7" t="s">
        <v>15</v>
      </c>
      <c r="C386" s="5"/>
      <c r="D386" s="5" t="s">
        <v>635</v>
      </c>
      <c r="E386" s="5" t="s">
        <v>636</v>
      </c>
      <c r="F386" s="8">
        <v>1.536563277E9</v>
      </c>
      <c r="G386" s="9" t="str">
        <f>HYPERLINK("https://www.etsy.com/listing/1536563277", "link")</f>
        <v>link</v>
      </c>
      <c r="H386" s="9" t="str">
        <f>HYPERLINK("https://atlas.etsycorp.com/listing/1536563277/lookup", "link")</f>
        <v>link</v>
      </c>
      <c r="I386" s="5" t="s">
        <v>1313</v>
      </c>
      <c r="J386" s="5" t="s">
        <v>638</v>
      </c>
      <c r="K386" s="5" t="s">
        <v>35</v>
      </c>
      <c r="L386" s="5" t="s">
        <v>36</v>
      </c>
      <c r="M386" s="10" t="s">
        <v>21</v>
      </c>
      <c r="N386" s="10" t="s">
        <v>23</v>
      </c>
      <c r="O386" s="11" t="s">
        <v>877</v>
      </c>
      <c r="P386" s="5"/>
      <c r="Q386" s="5"/>
      <c r="R386" s="5"/>
      <c r="S386" s="5"/>
      <c r="T386" s="5"/>
    </row>
    <row r="387" ht="15.75" customHeight="1">
      <c r="A387" s="6" t="str">
        <f t="shared" si="1"/>
        <v>container, 1537640105</v>
      </c>
      <c r="B387" s="7" t="s">
        <v>15</v>
      </c>
      <c r="C387" s="5"/>
      <c r="D387" s="5" t="s">
        <v>1314</v>
      </c>
      <c r="E387" s="5" t="s">
        <v>1314</v>
      </c>
      <c r="F387" s="8">
        <v>1.537640105E9</v>
      </c>
      <c r="G387" s="9" t="str">
        <f>HYPERLINK("https://www.etsy.com/listing/1537640105", "link")</f>
        <v>link</v>
      </c>
      <c r="H387" s="9" t="str">
        <f>HYPERLINK("https://atlas.etsycorp.com/listing/1537640105/lookup", "link")</f>
        <v>link</v>
      </c>
      <c r="I387" s="5" t="s">
        <v>1315</v>
      </c>
      <c r="J387" s="5" t="s">
        <v>1316</v>
      </c>
      <c r="K387" s="5" t="s">
        <v>29</v>
      </c>
      <c r="L387" s="5" t="s">
        <v>30</v>
      </c>
      <c r="M387" s="10" t="s">
        <v>21</v>
      </c>
      <c r="N387" s="10" t="s">
        <v>23</v>
      </c>
      <c r="O387" s="11" t="s">
        <v>877</v>
      </c>
      <c r="P387" s="5"/>
      <c r="Q387" s="5"/>
      <c r="R387" s="5"/>
      <c r="S387" s="5"/>
      <c r="T387" s="5"/>
    </row>
    <row r="388" ht="15.75" customHeight="1">
      <c r="A388" s="6" t="str">
        <f t="shared" si="1"/>
        <v>vegetarian cookbook, 1506031359</v>
      </c>
      <c r="B388" s="7" t="s">
        <v>48</v>
      </c>
      <c r="C388" s="5"/>
      <c r="D388" s="5" t="s">
        <v>1317</v>
      </c>
      <c r="E388" s="5"/>
      <c r="F388" s="8">
        <v>1.506031359E9</v>
      </c>
      <c r="G388" s="9" t="str">
        <f>HYPERLINK("https://www.etsy.com/listing/1506031359", "link")</f>
        <v>link</v>
      </c>
      <c r="H388" s="9" t="str">
        <f>HYPERLINK("https://atlas.etsycorp.com/listing/1506031359/lookup", "link")</f>
        <v>link</v>
      </c>
      <c r="I388" s="5" t="s">
        <v>1318</v>
      </c>
      <c r="J388" s="5" t="s">
        <v>1319</v>
      </c>
      <c r="K388" s="5" t="s">
        <v>19</v>
      </c>
      <c r="L388" s="5" t="s">
        <v>41</v>
      </c>
      <c r="M388" s="10" t="s">
        <v>21</v>
      </c>
      <c r="N388" s="10" t="s">
        <v>23</v>
      </c>
      <c r="O388" s="11" t="s">
        <v>877</v>
      </c>
      <c r="P388" s="5"/>
      <c r="Q388" s="5"/>
      <c r="R388" s="5"/>
      <c r="S388" s="5"/>
      <c r="T388" s="5"/>
    </row>
    <row r="389" ht="15.75" customHeight="1">
      <c r="A389" s="6" t="str">
        <f t="shared" si="1"/>
        <v>glamrock bonnie, 1568701469</v>
      </c>
      <c r="B389" s="7" t="s">
        <v>15</v>
      </c>
      <c r="C389" s="5"/>
      <c r="D389" s="5" t="s">
        <v>1320</v>
      </c>
      <c r="E389" s="5" t="s">
        <v>1321</v>
      </c>
      <c r="F389" s="8">
        <v>1.568701469E9</v>
      </c>
      <c r="G389" s="9" t="str">
        <f>HYPERLINK("https://www.etsy.com/listing/1568701469", "link")</f>
        <v>link</v>
      </c>
      <c r="H389" s="9" t="str">
        <f>HYPERLINK("https://atlas.etsycorp.com/listing/1568701469/lookup", "link")</f>
        <v>link</v>
      </c>
      <c r="I389" s="5" t="s">
        <v>1322</v>
      </c>
      <c r="J389" s="5" t="s">
        <v>1323</v>
      </c>
      <c r="K389" s="5" t="s">
        <v>213</v>
      </c>
      <c r="L389" s="5" t="s">
        <v>214</v>
      </c>
      <c r="M389" s="10" t="s">
        <v>21</v>
      </c>
      <c r="N389" s="10" t="s">
        <v>23</v>
      </c>
      <c r="O389" s="11" t="s">
        <v>877</v>
      </c>
      <c r="P389" s="5"/>
      <c r="Q389" s="5"/>
      <c r="R389" s="5"/>
      <c r="S389" s="5"/>
      <c r="T389" s="5"/>
    </row>
    <row r="390" ht="15.75" customHeight="1">
      <c r="A390" s="6" t="str">
        <f t="shared" si="1"/>
        <v>state police retirement gifts, 1003163461</v>
      </c>
      <c r="B390" s="7" t="s">
        <v>15</v>
      </c>
      <c r="C390" s="5"/>
      <c r="D390" s="5" t="s">
        <v>1324</v>
      </c>
      <c r="E390" s="5"/>
      <c r="F390" s="8">
        <v>1.003163461E9</v>
      </c>
      <c r="G390" s="9" t="str">
        <f>HYPERLINK("https://www.etsy.com/listing/1003163461", "link")</f>
        <v>link</v>
      </c>
      <c r="H390" s="9" t="str">
        <f>HYPERLINK("https://atlas.etsycorp.com/listing/1003163461/lookup", "link")</f>
        <v>link</v>
      </c>
      <c r="I390" s="5" t="s">
        <v>1325</v>
      </c>
      <c r="J390" s="5" t="s">
        <v>1326</v>
      </c>
      <c r="K390" s="5" t="s">
        <v>19</v>
      </c>
      <c r="L390" s="5" t="s">
        <v>100</v>
      </c>
      <c r="M390" s="10" t="s">
        <v>21</v>
      </c>
      <c r="N390" s="10" t="s">
        <v>23</v>
      </c>
      <c r="O390" s="11" t="s">
        <v>877</v>
      </c>
      <c r="P390" s="5"/>
      <c r="Q390" s="5"/>
      <c r="R390" s="5"/>
      <c r="S390" s="5"/>
      <c r="T390" s="5"/>
    </row>
    <row r="391" ht="15.75" customHeight="1">
      <c r="A391" s="6" t="str">
        <f t="shared" si="1"/>
        <v>best gifts for him, 1317733254</v>
      </c>
      <c r="B391" s="7" t="s">
        <v>48</v>
      </c>
      <c r="C391" s="5"/>
      <c r="D391" s="5" t="s">
        <v>1327</v>
      </c>
      <c r="E391" s="5"/>
      <c r="F391" s="8">
        <v>1.317733254E9</v>
      </c>
      <c r="G391" s="9" t="str">
        <f>HYPERLINK("https://www.etsy.com/listing/1317733254", "link")</f>
        <v>link</v>
      </c>
      <c r="H391" s="9" t="str">
        <f>HYPERLINK("https://atlas.etsycorp.com/listing/1317733254/lookup", "link")</f>
        <v>link</v>
      </c>
      <c r="I391" s="5" t="s">
        <v>1328</v>
      </c>
      <c r="J391" s="5" t="s">
        <v>1329</v>
      </c>
      <c r="K391" s="5" t="s">
        <v>19</v>
      </c>
      <c r="L391" s="5" t="s">
        <v>100</v>
      </c>
      <c r="M391" s="10" t="s">
        <v>21</v>
      </c>
      <c r="N391" s="10" t="s">
        <v>23</v>
      </c>
      <c r="O391" s="11" t="s">
        <v>877</v>
      </c>
      <c r="P391" s="5"/>
      <c r="Q391" s="5"/>
      <c r="R391" s="5"/>
      <c r="S391" s="5"/>
      <c r="T391" s="5"/>
    </row>
    <row r="392" ht="15.75" customHeight="1">
      <c r="A392" s="6" t="str">
        <f t="shared" si="1"/>
        <v>fun facts 1974 belgie, 1298463147</v>
      </c>
      <c r="B392" s="7" t="s">
        <v>24</v>
      </c>
      <c r="C392" s="7" t="s">
        <v>1330</v>
      </c>
      <c r="D392" s="5" t="s">
        <v>953</v>
      </c>
      <c r="E392" s="5" t="s">
        <v>954</v>
      </c>
      <c r="F392" s="8">
        <v>1.298463147E9</v>
      </c>
      <c r="G392" s="9" t="str">
        <f>HYPERLINK("https://www.etsy.com/listing/1298463147", "link")</f>
        <v>link</v>
      </c>
      <c r="H392" s="9" t="str">
        <f>HYPERLINK("https://atlas.etsycorp.com/listing/1298463147/lookup", "link")</f>
        <v>link</v>
      </c>
      <c r="I392" s="5" t="s">
        <v>1331</v>
      </c>
      <c r="J392" s="5" t="s">
        <v>956</v>
      </c>
      <c r="K392" s="5" t="s">
        <v>35</v>
      </c>
      <c r="L392" s="5" t="s">
        <v>36</v>
      </c>
      <c r="M392" s="10" t="s">
        <v>21</v>
      </c>
      <c r="N392" s="10" t="s">
        <v>23</v>
      </c>
      <c r="O392" s="11" t="s">
        <v>877</v>
      </c>
      <c r="P392" s="5"/>
      <c r="Q392" s="5"/>
      <c r="R392" s="5"/>
      <c r="S392" s="5"/>
      <c r="T392" s="5"/>
    </row>
    <row r="393" ht="15.75" customHeight="1">
      <c r="A393" s="6" t="str">
        <f t="shared" si="1"/>
        <v>gifts for book club, 1504064824</v>
      </c>
      <c r="B393" s="7" t="s">
        <v>15</v>
      </c>
      <c r="C393" s="5"/>
      <c r="D393" s="5" t="s">
        <v>1332</v>
      </c>
      <c r="E393" s="5"/>
      <c r="F393" s="8">
        <v>1.504064824E9</v>
      </c>
      <c r="G393" s="9" t="str">
        <f>HYPERLINK("https://www.etsy.com/listing/1504064824", "link")</f>
        <v>link</v>
      </c>
      <c r="H393" s="9" t="str">
        <f>HYPERLINK("https://atlas.etsycorp.com/listing/1504064824/lookup", "link")</f>
        <v>link</v>
      </c>
      <c r="I393" s="5" t="s">
        <v>1333</v>
      </c>
      <c r="J393" s="5" t="s">
        <v>1334</v>
      </c>
      <c r="K393" s="5" t="s">
        <v>120</v>
      </c>
      <c r="L393" s="5" t="s">
        <v>100</v>
      </c>
      <c r="M393" s="10" t="s">
        <v>21</v>
      </c>
      <c r="N393" s="10" t="s">
        <v>23</v>
      </c>
      <c r="O393" s="11" t="s">
        <v>877</v>
      </c>
      <c r="P393" s="5"/>
      <c r="Q393" s="5"/>
      <c r="R393" s="5"/>
      <c r="S393" s="5"/>
      <c r="T393" s="5"/>
    </row>
    <row r="394" ht="15.75" customHeight="1">
      <c r="A394" s="6" t="str">
        <f t="shared" si="1"/>
        <v>sauna wall decor, 840988058</v>
      </c>
      <c r="B394" s="7" t="s">
        <v>15</v>
      </c>
      <c r="C394" s="5"/>
      <c r="D394" s="5" t="s">
        <v>1335</v>
      </c>
      <c r="E394" s="5"/>
      <c r="F394" s="8">
        <v>8.40988058E8</v>
      </c>
      <c r="G394" s="9" t="str">
        <f>HYPERLINK("https://www.etsy.com/listing/840988058", "link")</f>
        <v>link</v>
      </c>
      <c r="H394" s="9" t="str">
        <f>HYPERLINK("https://atlas.etsycorp.com/listing/840988058/lookup", "link")</f>
        <v>link</v>
      </c>
      <c r="I394" s="5" t="s">
        <v>1336</v>
      </c>
      <c r="J394" s="5" t="s">
        <v>1337</v>
      </c>
      <c r="K394" s="5" t="s">
        <v>19</v>
      </c>
      <c r="L394" s="5" t="s">
        <v>41</v>
      </c>
      <c r="M394" s="10" t="s">
        <v>21</v>
      </c>
      <c r="N394" s="10" t="s">
        <v>23</v>
      </c>
      <c r="O394" s="11" t="s">
        <v>877</v>
      </c>
      <c r="P394" s="5"/>
      <c r="Q394" s="5"/>
      <c r="R394" s="5"/>
      <c r="S394" s="5"/>
      <c r="T394" s="5"/>
    </row>
    <row r="395" ht="15.75" customHeight="1">
      <c r="A395" s="6" t="str">
        <f t="shared" si="1"/>
        <v>noodle and pals, 533616909</v>
      </c>
      <c r="B395" s="7" t="s">
        <v>48</v>
      </c>
      <c r="C395" s="5"/>
      <c r="D395" s="5" t="s">
        <v>1338</v>
      </c>
      <c r="E395" s="5"/>
      <c r="F395" s="8">
        <v>5.33616909E8</v>
      </c>
      <c r="G395" s="9" t="str">
        <f>HYPERLINK("https://www.etsy.com/listing/533616909", "link")</f>
        <v>link</v>
      </c>
      <c r="H395" s="9" t="str">
        <f>HYPERLINK("https://atlas.etsycorp.com/listing/533616909/lookup", "link")</f>
        <v>link</v>
      </c>
      <c r="I395" s="5" t="s">
        <v>1339</v>
      </c>
      <c r="J395" s="5" t="s">
        <v>1340</v>
      </c>
      <c r="K395" s="5" t="s">
        <v>19</v>
      </c>
      <c r="L395" s="5" t="s">
        <v>41</v>
      </c>
      <c r="M395" s="10" t="s">
        <v>21</v>
      </c>
      <c r="N395" s="10" t="s">
        <v>23</v>
      </c>
      <c r="O395" s="11" t="s">
        <v>877</v>
      </c>
      <c r="P395" s="5"/>
      <c r="Q395" s="5"/>
      <c r="R395" s="5"/>
      <c r="S395" s="5"/>
      <c r="T395" s="5"/>
    </row>
    <row r="396" ht="15.75" customHeight="1">
      <c r="A396" s="6" t="str">
        <f t="shared" si="1"/>
        <v>Find shirts, 1485839680</v>
      </c>
      <c r="B396" s="7" t="s">
        <v>15</v>
      </c>
      <c r="C396" s="5"/>
      <c r="D396" s="5" t="s">
        <v>89</v>
      </c>
      <c r="E396" s="5" t="s">
        <v>89</v>
      </c>
      <c r="F396" s="8">
        <v>1.48583968E9</v>
      </c>
      <c r="G396" s="9" t="str">
        <f>HYPERLINK("https://www.etsy.com/listing/1485839680", "link")</f>
        <v>link</v>
      </c>
      <c r="H396" s="9" t="str">
        <f>HYPERLINK("https://atlas.etsycorp.com/listing/1485839680/lookup", "link")</f>
        <v>link</v>
      </c>
      <c r="I396" s="5" t="s">
        <v>1341</v>
      </c>
      <c r="J396" s="5" t="s">
        <v>1342</v>
      </c>
      <c r="K396" s="5" t="s">
        <v>29</v>
      </c>
      <c r="L396" s="5" t="s">
        <v>30</v>
      </c>
      <c r="M396" s="10" t="s">
        <v>21</v>
      </c>
      <c r="N396" s="10" t="s">
        <v>23</v>
      </c>
      <c r="O396" s="11" t="s">
        <v>877</v>
      </c>
      <c r="P396" s="5"/>
      <c r="Q396" s="5"/>
      <c r="R396" s="5"/>
      <c r="S396" s="5"/>
      <c r="T396" s="5"/>
    </row>
    <row r="397" ht="15.75" customHeight="1">
      <c r="A397" s="6" t="str">
        <f t="shared" si="1"/>
        <v>keto donuts, 1587359986</v>
      </c>
      <c r="B397" s="7" t="s">
        <v>15</v>
      </c>
      <c r="C397" s="5"/>
      <c r="D397" s="5" t="s">
        <v>1343</v>
      </c>
      <c r="E397" s="5"/>
      <c r="F397" s="8">
        <v>1.587359986E9</v>
      </c>
      <c r="G397" s="9" t="str">
        <f>HYPERLINK("https://www.etsy.com/listing/1587359986", "link")</f>
        <v>link</v>
      </c>
      <c r="H397" s="9" t="str">
        <f>HYPERLINK("https://atlas.etsycorp.com/listing/1587359986/lookup", "link")</f>
        <v>link</v>
      </c>
      <c r="I397" s="5" t="s">
        <v>1344</v>
      </c>
      <c r="J397" s="5" t="s">
        <v>1345</v>
      </c>
      <c r="K397" s="5" t="s">
        <v>19</v>
      </c>
      <c r="L397" s="5" t="s">
        <v>41</v>
      </c>
      <c r="M397" s="10" t="s">
        <v>21</v>
      </c>
      <c r="N397" s="10" t="s">
        <v>23</v>
      </c>
      <c r="O397" s="11" t="s">
        <v>877</v>
      </c>
      <c r="P397" s="5"/>
      <c r="Q397" s="5"/>
      <c r="R397" s="5"/>
      <c r="S397" s="5"/>
      <c r="T397" s="5"/>
    </row>
    <row r="398" ht="15.75" customHeight="1">
      <c r="A398" s="6" t="str">
        <f t="shared" si="1"/>
        <v>Акрил, 1114150086</v>
      </c>
      <c r="B398" s="7" t="s">
        <v>15</v>
      </c>
      <c r="C398" s="5"/>
      <c r="D398" s="5" t="s">
        <v>1346</v>
      </c>
      <c r="E398" s="5" t="s">
        <v>1347</v>
      </c>
      <c r="F398" s="8">
        <v>1.114150086E9</v>
      </c>
      <c r="G398" s="9" t="str">
        <f>HYPERLINK("https://www.etsy.com/listing/1114150086", "link")</f>
        <v>link</v>
      </c>
      <c r="H398" s="9" t="str">
        <f>HYPERLINK("https://atlas.etsycorp.com/listing/1114150086/lookup", "link")</f>
        <v>link</v>
      </c>
      <c r="I398" s="5" t="s">
        <v>1348</v>
      </c>
      <c r="J398" s="5" t="s">
        <v>1349</v>
      </c>
      <c r="K398" s="5" t="s">
        <v>1350</v>
      </c>
      <c r="L398" s="5" t="s">
        <v>1351</v>
      </c>
      <c r="M398" s="10" t="s">
        <v>21</v>
      </c>
      <c r="N398" s="10" t="s">
        <v>23</v>
      </c>
      <c r="O398" s="11" t="s">
        <v>877</v>
      </c>
      <c r="P398" s="5"/>
      <c r="Q398" s="5"/>
      <c r="R398" s="5"/>
      <c r="S398" s="5"/>
      <c r="T398" s="5"/>
    </row>
    <row r="399" ht="15.75" customHeight="1">
      <c r="A399" s="6" t="str">
        <f t="shared" si="1"/>
        <v>CUERDA fujifilm xt5, 1365939666</v>
      </c>
      <c r="B399" s="7" t="s">
        <v>24</v>
      </c>
      <c r="C399" s="5"/>
      <c r="D399" s="5" t="s">
        <v>741</v>
      </c>
      <c r="E399" s="5" t="s">
        <v>742</v>
      </c>
      <c r="F399" s="8">
        <v>1.365939666E9</v>
      </c>
      <c r="G399" s="9" t="str">
        <f>HYPERLINK("https://www.etsy.com/listing/1365939666", "link")</f>
        <v>link</v>
      </c>
      <c r="H399" s="9" t="str">
        <f>HYPERLINK("https://atlas.etsycorp.com/listing/1365939666/lookup", "link")</f>
        <v>link</v>
      </c>
      <c r="I399" s="5" t="s">
        <v>1352</v>
      </c>
      <c r="J399" s="5" t="s">
        <v>744</v>
      </c>
      <c r="K399" s="5" t="s">
        <v>29</v>
      </c>
      <c r="L399" s="5" t="s">
        <v>30</v>
      </c>
      <c r="M399" s="10" t="s">
        <v>21</v>
      </c>
      <c r="N399" s="10" t="s">
        <v>23</v>
      </c>
      <c r="O399" s="11" t="s">
        <v>877</v>
      </c>
      <c r="P399" s="5"/>
      <c r="Q399" s="5"/>
      <c r="R399" s="5"/>
      <c r="S399" s="5"/>
      <c r="T399" s="5"/>
    </row>
    <row r="400" ht="15.75" customHeight="1">
      <c r="A400" s="6" t="str">
        <f t="shared" si="1"/>
        <v>lacrosse mom DTF transfers, 1456615269</v>
      </c>
      <c r="B400" s="7" t="s">
        <v>24</v>
      </c>
      <c r="C400" s="7" t="s">
        <v>1353</v>
      </c>
      <c r="D400" s="5" t="s">
        <v>1354</v>
      </c>
      <c r="E400" s="5"/>
      <c r="F400" s="8">
        <v>1.456615269E9</v>
      </c>
      <c r="G400" s="9" t="str">
        <f>HYPERLINK("https://www.etsy.com/listing/1456615269", "link")</f>
        <v>link</v>
      </c>
      <c r="H400" s="9" t="str">
        <f>HYPERLINK("https://atlas.etsycorp.com/listing/1456615269/lookup", "link")</f>
        <v>link</v>
      </c>
      <c r="I400" s="5" t="s">
        <v>1355</v>
      </c>
      <c r="J400" s="5" t="s">
        <v>1356</v>
      </c>
      <c r="K400" s="5" t="s">
        <v>19</v>
      </c>
      <c r="L400" s="5" t="s">
        <v>41</v>
      </c>
      <c r="M400" s="10" t="s">
        <v>21</v>
      </c>
      <c r="N400" s="10" t="s">
        <v>23</v>
      </c>
      <c r="O400" s="11" t="s">
        <v>877</v>
      </c>
      <c r="P400" s="5"/>
      <c r="Q400" s="5"/>
      <c r="R400" s="5"/>
      <c r="S400" s="5"/>
      <c r="T400" s="5"/>
    </row>
    <row r="401" ht="15.75" customHeight="1">
      <c r="A401" s="6" t="str">
        <f t="shared" si="1"/>
        <v>glamrock bonnie, 1603381074</v>
      </c>
      <c r="B401" s="7" t="s">
        <v>15</v>
      </c>
      <c r="C401" s="5"/>
      <c r="D401" s="5" t="s">
        <v>1320</v>
      </c>
      <c r="E401" s="5" t="s">
        <v>1321</v>
      </c>
      <c r="F401" s="8">
        <v>1.603381074E9</v>
      </c>
      <c r="G401" s="9" t="str">
        <f>HYPERLINK("https://www.etsy.com/listing/1603381074", "link")</f>
        <v>link</v>
      </c>
      <c r="H401" s="9" t="str">
        <f>HYPERLINK("https://atlas.etsycorp.com/listing/1603381074/lookup", "link")</f>
        <v>link</v>
      </c>
      <c r="I401" s="5" t="s">
        <v>1357</v>
      </c>
      <c r="J401" s="5" t="s">
        <v>1323</v>
      </c>
      <c r="K401" s="5" t="s">
        <v>213</v>
      </c>
      <c r="L401" s="5" t="s">
        <v>214</v>
      </c>
      <c r="M401" s="10" t="s">
        <v>21</v>
      </c>
      <c r="N401" s="10" t="s">
        <v>23</v>
      </c>
      <c r="O401" s="11" t="s">
        <v>877</v>
      </c>
      <c r="P401" s="5"/>
      <c r="Q401" s="5"/>
      <c r="R401" s="5"/>
      <c r="S401" s="5"/>
      <c r="T401" s="5"/>
    </row>
    <row r="402" ht="15.75" customHeight="1">
      <c r="A402" s="6" t="str">
        <f t="shared" si="1"/>
        <v>jungle gift box, 1343812045</v>
      </c>
      <c r="B402" s="7" t="s">
        <v>15</v>
      </c>
      <c r="C402" s="5"/>
      <c r="D402" s="5" t="s">
        <v>1358</v>
      </c>
      <c r="E402" s="5" t="s">
        <v>1358</v>
      </c>
      <c r="F402" s="8">
        <v>1.343812045E9</v>
      </c>
      <c r="G402" s="9" t="str">
        <f>HYPERLINK("https://www.etsy.com/listing/1343812045", "link")</f>
        <v>link</v>
      </c>
      <c r="H402" s="9" t="str">
        <f>HYPERLINK("https://atlas.etsycorp.com/listing/1343812045/lookup", "link")</f>
        <v>link</v>
      </c>
      <c r="I402" s="5" t="s">
        <v>1359</v>
      </c>
      <c r="J402" s="5" t="s">
        <v>1360</v>
      </c>
      <c r="K402" s="5" t="s">
        <v>35</v>
      </c>
      <c r="L402" s="5" t="s">
        <v>36</v>
      </c>
      <c r="M402" s="10" t="s">
        <v>21</v>
      </c>
      <c r="N402" s="10" t="s">
        <v>23</v>
      </c>
      <c r="O402" s="11" t="s">
        <v>877</v>
      </c>
      <c r="P402" s="5"/>
      <c r="Q402" s="5"/>
      <c r="R402" s="5"/>
      <c r="S402" s="5"/>
      <c r="T402" s="5"/>
    </row>
    <row r="403" ht="15.75" customHeight="1">
      <c r="A403" s="6" t="str">
        <f t="shared" si="1"/>
        <v>thong mesh, 1662429015</v>
      </c>
      <c r="B403" s="7" t="s">
        <v>15</v>
      </c>
      <c r="C403" s="5"/>
      <c r="D403" s="5" t="s">
        <v>1361</v>
      </c>
      <c r="E403" s="5"/>
      <c r="F403" s="8">
        <v>1.662429015E9</v>
      </c>
      <c r="G403" s="9" t="str">
        <f>HYPERLINK("https://www.etsy.com/listing/1662429015", "link")</f>
        <v>link</v>
      </c>
      <c r="H403" s="9" t="str">
        <f>HYPERLINK("https://atlas.etsycorp.com/listing/1662429015/lookup", "link")</f>
        <v>link</v>
      </c>
      <c r="I403" s="5" t="s">
        <v>1362</v>
      </c>
      <c r="J403" s="5" t="s">
        <v>1363</v>
      </c>
      <c r="K403" s="5" t="s">
        <v>120</v>
      </c>
      <c r="L403" s="5" t="s">
        <v>41</v>
      </c>
      <c r="M403" s="10" t="s">
        <v>21</v>
      </c>
      <c r="N403" s="10" t="s">
        <v>23</v>
      </c>
      <c r="O403" s="11" t="s">
        <v>877</v>
      </c>
      <c r="P403" s="5"/>
      <c r="Q403" s="5"/>
      <c r="R403" s="5"/>
      <c r="S403" s="5"/>
      <c r="T403" s="5"/>
    </row>
    <row r="404" ht="15.75" customHeight="1">
      <c r="A404" s="6" t="str">
        <f t="shared" si="1"/>
        <v>personalized gift for mum, 1675261111</v>
      </c>
      <c r="B404" s="7" t="s">
        <v>15</v>
      </c>
      <c r="C404" s="5"/>
      <c r="D404" s="5" t="s">
        <v>1364</v>
      </c>
      <c r="E404" s="5"/>
      <c r="F404" s="8">
        <v>1.675261111E9</v>
      </c>
      <c r="G404" s="9" t="str">
        <f>HYPERLINK("https://www.etsy.com/listing/1675261111", "link")</f>
        <v>link</v>
      </c>
      <c r="H404" s="9" t="str">
        <f>HYPERLINK("https://atlas.etsycorp.com/listing/1675261111/lookup", "link")</f>
        <v>link</v>
      </c>
      <c r="I404" s="5" t="s">
        <v>1365</v>
      </c>
      <c r="J404" s="5" t="s">
        <v>1366</v>
      </c>
      <c r="K404" s="5" t="s">
        <v>120</v>
      </c>
      <c r="L404" s="5" t="s">
        <v>20</v>
      </c>
      <c r="M404" s="10" t="s">
        <v>21</v>
      </c>
      <c r="N404" s="10" t="s">
        <v>23</v>
      </c>
      <c r="O404" s="11" t="s">
        <v>877</v>
      </c>
      <c r="P404" s="5"/>
      <c r="Q404" s="5"/>
      <c r="R404" s="5"/>
      <c r="S404" s="5"/>
      <c r="T404" s="5"/>
    </row>
    <row r="405" ht="15.75" customHeight="1">
      <c r="A405" s="6" t="str">
        <f t="shared" si="1"/>
        <v>Heidi Lace Bridal Set, 1505353505</v>
      </c>
      <c r="B405" s="7" t="s">
        <v>24</v>
      </c>
      <c r="C405" s="7" t="s">
        <v>1367</v>
      </c>
      <c r="D405" s="5" t="s">
        <v>1368</v>
      </c>
      <c r="E405" s="5"/>
      <c r="F405" s="8">
        <v>1.505353505E9</v>
      </c>
      <c r="G405" s="9" t="str">
        <f>HYPERLINK("https://www.etsy.com/listing/1505353505", "link")</f>
        <v>link</v>
      </c>
      <c r="H405" s="9" t="str">
        <f>HYPERLINK("https://atlas.etsycorp.com/listing/1505353505/lookup", "link")</f>
        <v>link</v>
      </c>
      <c r="I405" s="5" t="s">
        <v>1369</v>
      </c>
      <c r="J405" s="5" t="s">
        <v>1370</v>
      </c>
      <c r="K405" s="5" t="s">
        <v>19</v>
      </c>
      <c r="L405" s="5" t="s">
        <v>73</v>
      </c>
      <c r="M405" s="10" t="s">
        <v>21</v>
      </c>
      <c r="N405" s="10" t="s">
        <v>23</v>
      </c>
      <c r="O405" s="11" t="s">
        <v>877</v>
      </c>
      <c r="P405" s="5"/>
      <c r="Q405" s="5"/>
      <c r="R405" s="5"/>
      <c r="S405" s="5"/>
      <c r="T405" s="5"/>
    </row>
    <row r="406" ht="15.75" customHeight="1">
      <c r="A406" s="6" t="str">
        <f t="shared" si="1"/>
        <v>piracetam, 1563647521</v>
      </c>
      <c r="B406" s="7" t="s">
        <v>48</v>
      </c>
      <c r="C406" s="5"/>
      <c r="D406" s="5" t="s">
        <v>1371</v>
      </c>
      <c r="E406" s="5"/>
      <c r="F406" s="8">
        <v>1.563647521E9</v>
      </c>
      <c r="G406" s="9" t="str">
        <f>HYPERLINK("https://www.etsy.com/listing/1563647521", "link")</f>
        <v>link</v>
      </c>
      <c r="H406" s="9" t="str">
        <f>HYPERLINK("https://atlas.etsycorp.com/listing/1563647521/lookup", "link")</f>
        <v>link</v>
      </c>
      <c r="I406" s="5" t="s">
        <v>1372</v>
      </c>
      <c r="J406" s="5" t="s">
        <v>1373</v>
      </c>
      <c r="K406" s="5" t="s">
        <v>120</v>
      </c>
      <c r="L406" s="5" t="s">
        <v>20</v>
      </c>
      <c r="M406" s="10" t="s">
        <v>21</v>
      </c>
      <c r="N406" s="10" t="s">
        <v>23</v>
      </c>
      <c r="O406" s="11" t="s">
        <v>877</v>
      </c>
      <c r="P406" s="5"/>
      <c r="Q406" s="5"/>
      <c r="R406" s="5"/>
      <c r="S406" s="5"/>
      <c r="T406" s="5"/>
    </row>
    <row r="407" ht="15.75" customHeight="1">
      <c r="A407" s="6" t="str">
        <f t="shared" si="1"/>
        <v>10 euro cent, 1760928851</v>
      </c>
      <c r="B407" s="7" t="s">
        <v>24</v>
      </c>
      <c r="C407" s="7" t="s">
        <v>1374</v>
      </c>
      <c r="D407" s="5" t="s">
        <v>1375</v>
      </c>
      <c r="E407" s="5" t="s">
        <v>1376</v>
      </c>
      <c r="F407" s="8">
        <v>1.760928851E9</v>
      </c>
      <c r="G407" s="9" t="str">
        <f>HYPERLINK("https://www.etsy.com/listing/1760928851", "link")</f>
        <v>link</v>
      </c>
      <c r="H407" s="9" t="str">
        <f>HYPERLINK("https://atlas.etsycorp.com/listing/1760928851/lookup", "link")</f>
        <v>link</v>
      </c>
      <c r="I407" s="5" t="s">
        <v>1377</v>
      </c>
      <c r="J407" s="5" t="s">
        <v>1378</v>
      </c>
      <c r="K407" s="5" t="s">
        <v>35</v>
      </c>
      <c r="L407" s="5" t="s">
        <v>36</v>
      </c>
      <c r="M407" s="10" t="s">
        <v>21</v>
      </c>
      <c r="N407" s="10" t="s">
        <v>23</v>
      </c>
      <c r="O407" s="11" t="s">
        <v>877</v>
      </c>
      <c r="P407" s="5"/>
      <c r="Q407" s="5"/>
      <c r="R407" s="5"/>
      <c r="S407" s="5"/>
      <c r="T407" s="5"/>
    </row>
    <row r="408" ht="15.75" customHeight="1">
      <c r="A408" s="6" t="str">
        <f t="shared" si="1"/>
        <v>bluey, 1750162869</v>
      </c>
      <c r="B408" s="7" t="s">
        <v>15</v>
      </c>
      <c r="C408" s="5"/>
      <c r="D408" s="5" t="s">
        <v>1151</v>
      </c>
      <c r="E408" s="5" t="s">
        <v>1151</v>
      </c>
      <c r="F408" s="8">
        <v>1.750162869E9</v>
      </c>
      <c r="G408" s="9" t="str">
        <f>HYPERLINK("https://www.etsy.com/listing/1750162869", "link")</f>
        <v>link</v>
      </c>
      <c r="H408" s="9" t="str">
        <f>HYPERLINK("https://atlas.etsycorp.com/listing/1750162869/lookup", "link")</f>
        <v>link</v>
      </c>
      <c r="I408" s="5" t="s">
        <v>1379</v>
      </c>
      <c r="J408" s="5" t="s">
        <v>1153</v>
      </c>
      <c r="K408" s="5" t="s">
        <v>29</v>
      </c>
      <c r="L408" s="5" t="s">
        <v>30</v>
      </c>
      <c r="M408" s="10" t="s">
        <v>21</v>
      </c>
      <c r="N408" s="10" t="s">
        <v>23</v>
      </c>
      <c r="O408" s="11" t="s">
        <v>877</v>
      </c>
      <c r="P408" s="5"/>
      <c r="Q408" s="5"/>
      <c r="R408" s="5"/>
      <c r="S408" s="5"/>
      <c r="T408" s="5"/>
    </row>
    <row r="409" ht="15.75" customHeight="1">
      <c r="A409" s="6" t="str">
        <f t="shared" si="1"/>
        <v>st patrick&amp;#39;s tier tray decor uk, 1159487321</v>
      </c>
      <c r="B409" s="7" t="s">
        <v>15</v>
      </c>
      <c r="C409" s="5"/>
      <c r="D409" s="5" t="s">
        <v>1380</v>
      </c>
      <c r="E409" s="5"/>
      <c r="F409" s="8">
        <v>1.159487321E9</v>
      </c>
      <c r="G409" s="9" t="str">
        <f>HYPERLINK("https://www.etsy.com/listing/1159487321", "link")</f>
        <v>link</v>
      </c>
      <c r="H409" s="9" t="str">
        <f>HYPERLINK("https://atlas.etsycorp.com/listing/1159487321/lookup", "link")</f>
        <v>link</v>
      </c>
      <c r="I409" s="5" t="s">
        <v>1381</v>
      </c>
      <c r="J409" s="5" t="s">
        <v>1382</v>
      </c>
      <c r="K409" s="5" t="s">
        <v>120</v>
      </c>
      <c r="L409" s="5" t="s">
        <v>73</v>
      </c>
      <c r="M409" s="10" t="s">
        <v>21</v>
      </c>
      <c r="N409" s="10" t="s">
        <v>23</v>
      </c>
      <c r="O409" s="11" t="s">
        <v>877</v>
      </c>
      <c r="P409" s="5"/>
      <c r="Q409" s="5"/>
      <c r="R409" s="5"/>
      <c r="S409" s="5"/>
      <c r="T409" s="5"/>
    </row>
    <row r="410" ht="15.75" customHeight="1">
      <c r="A410" s="6" t="str">
        <f t="shared" si="1"/>
        <v>wool bag, 1393802787</v>
      </c>
      <c r="B410" s="7" t="s">
        <v>24</v>
      </c>
      <c r="C410" s="7" t="s">
        <v>1383</v>
      </c>
      <c r="D410" s="5" t="s">
        <v>1384</v>
      </c>
      <c r="E410" s="5"/>
      <c r="F410" s="8">
        <v>1.393802787E9</v>
      </c>
      <c r="G410" s="9" t="str">
        <f>HYPERLINK("https://www.etsy.com/listing/1393802787", "link")</f>
        <v>link</v>
      </c>
      <c r="H410" s="9" t="str">
        <f>HYPERLINK("https://atlas.etsycorp.com/listing/1393802787/lookup", "link")</f>
        <v>link</v>
      </c>
      <c r="I410" s="5" t="s">
        <v>1385</v>
      </c>
      <c r="J410" s="5" t="s">
        <v>1386</v>
      </c>
      <c r="K410" s="5" t="s">
        <v>19</v>
      </c>
      <c r="L410" s="5" t="s">
        <v>73</v>
      </c>
      <c r="M410" s="10" t="s">
        <v>21</v>
      </c>
      <c r="N410" s="10" t="s">
        <v>23</v>
      </c>
      <c r="O410" s="11" t="s">
        <v>877</v>
      </c>
      <c r="P410" s="5"/>
      <c r="Q410" s="5"/>
      <c r="R410" s="5"/>
      <c r="S410" s="5"/>
      <c r="T410" s="5"/>
    </row>
    <row r="411" ht="15.75" customHeight="1">
      <c r="A411" s="6" t="str">
        <f t="shared" si="1"/>
        <v>linen, 973727839</v>
      </c>
      <c r="B411" s="7" t="s">
        <v>15</v>
      </c>
      <c r="C411" s="5"/>
      <c r="D411" s="5" t="s">
        <v>403</v>
      </c>
      <c r="E411" s="5" t="s">
        <v>403</v>
      </c>
      <c r="F411" s="8">
        <v>9.73727839E8</v>
      </c>
      <c r="G411" s="9" t="str">
        <f>HYPERLINK("https://www.etsy.com/listing/973727839", "link")</f>
        <v>link</v>
      </c>
      <c r="H411" s="9" t="str">
        <f>HYPERLINK("https://atlas.etsycorp.com/listing/973727839/lookup", "link")</f>
        <v>link</v>
      </c>
      <c r="I411" s="5" t="s">
        <v>1387</v>
      </c>
      <c r="J411" s="5" t="s">
        <v>1388</v>
      </c>
      <c r="K411" s="5" t="s">
        <v>54</v>
      </c>
      <c r="L411" s="5" t="s">
        <v>55</v>
      </c>
      <c r="M411" s="10" t="s">
        <v>21</v>
      </c>
      <c r="N411" s="10" t="s">
        <v>23</v>
      </c>
      <c r="O411" s="11" t="s">
        <v>877</v>
      </c>
      <c r="P411" s="5"/>
      <c r="Q411" s="5"/>
      <c r="R411" s="5"/>
      <c r="S411" s="5"/>
      <c r="T411" s="5"/>
    </row>
    <row r="412" ht="15.75" customHeight="1">
      <c r="A412" s="6" t="str">
        <f t="shared" si="1"/>
        <v>piel de cocodrilo, 685364086</v>
      </c>
      <c r="B412" s="7" t="s">
        <v>48</v>
      </c>
      <c r="C412" s="7" t="s">
        <v>1389</v>
      </c>
      <c r="D412" s="5" t="s">
        <v>135</v>
      </c>
      <c r="E412" s="5" t="s">
        <v>136</v>
      </c>
      <c r="F412" s="8">
        <v>6.85364086E8</v>
      </c>
      <c r="G412" s="9" t="str">
        <f>HYPERLINK("https://www.etsy.com/listing/685364086", "link")</f>
        <v>link</v>
      </c>
      <c r="H412" s="9" t="str">
        <f>HYPERLINK("https://atlas.etsycorp.com/listing/685364086/lookup", "link")</f>
        <v>link</v>
      </c>
      <c r="I412" s="5" t="s">
        <v>1390</v>
      </c>
      <c r="J412" s="5" t="s">
        <v>138</v>
      </c>
      <c r="K412" s="5" t="s">
        <v>29</v>
      </c>
      <c r="L412" s="5" t="s">
        <v>30</v>
      </c>
      <c r="M412" s="10" t="s">
        <v>21</v>
      </c>
      <c r="N412" s="10" t="s">
        <v>23</v>
      </c>
      <c r="O412" s="11" t="s">
        <v>877</v>
      </c>
      <c r="P412" s="5"/>
      <c r="Q412" s="5"/>
      <c r="R412" s="5"/>
      <c r="S412" s="5"/>
      <c r="T412" s="5"/>
    </row>
    <row r="413" ht="15.75" customHeight="1">
      <c r="A413" s="6" t="str">
        <f t="shared" si="1"/>
        <v>giant paper flowers wedding, 616064953</v>
      </c>
      <c r="B413" s="7" t="s">
        <v>15</v>
      </c>
      <c r="C413" s="5"/>
      <c r="D413" s="5" t="s">
        <v>1391</v>
      </c>
      <c r="E413" s="5"/>
      <c r="F413" s="8">
        <v>6.16064953E8</v>
      </c>
      <c r="G413" s="9" t="str">
        <f>HYPERLINK("https://www.etsy.com/listing/616064953", "link")</f>
        <v>link</v>
      </c>
      <c r="H413" s="9" t="str">
        <f>HYPERLINK("https://atlas.etsycorp.com/listing/616064953/lookup", "link")</f>
        <v>link</v>
      </c>
      <c r="I413" s="5" t="s">
        <v>1392</v>
      </c>
      <c r="J413" s="5" t="s">
        <v>1393</v>
      </c>
      <c r="K413" s="5" t="s">
        <v>19</v>
      </c>
      <c r="L413" s="5" t="s">
        <v>73</v>
      </c>
      <c r="M413" s="10" t="s">
        <v>21</v>
      </c>
      <c r="N413" s="10" t="s">
        <v>23</v>
      </c>
      <c r="O413" s="11" t="s">
        <v>877</v>
      </c>
      <c r="P413" s="5"/>
      <c r="Q413" s="5"/>
      <c r="R413" s="5"/>
      <c r="S413" s="5"/>
      <c r="T413" s="5"/>
    </row>
    <row r="414" ht="15.75" customHeight="1">
      <c r="A414" s="6" t="str">
        <f t="shared" si="1"/>
        <v>groomsmen gifts, 747442446</v>
      </c>
      <c r="B414" s="7" t="s">
        <v>15</v>
      </c>
      <c r="C414" s="5"/>
      <c r="D414" s="5" t="s">
        <v>1394</v>
      </c>
      <c r="E414" s="5"/>
      <c r="F414" s="8">
        <v>7.47442446E8</v>
      </c>
      <c r="G414" s="9" t="str">
        <f>HYPERLINK("https://www.etsy.com/listing/747442446", "link")</f>
        <v>link</v>
      </c>
      <c r="H414" s="9" t="str">
        <f>HYPERLINK("https://atlas.etsycorp.com/listing/747442446/lookup", "link")</f>
        <v>link</v>
      </c>
      <c r="I414" s="5" t="s">
        <v>1395</v>
      </c>
      <c r="J414" s="5" t="s">
        <v>1396</v>
      </c>
      <c r="K414" s="5" t="s">
        <v>19</v>
      </c>
      <c r="L414" s="5" t="s">
        <v>100</v>
      </c>
      <c r="M414" s="10" t="s">
        <v>21</v>
      </c>
      <c r="N414" s="10" t="s">
        <v>23</v>
      </c>
      <c r="O414" s="11" t="s">
        <v>877</v>
      </c>
      <c r="P414" s="5"/>
      <c r="Q414" s="5"/>
      <c r="R414" s="5"/>
      <c r="S414" s="5"/>
      <c r="T414" s="5"/>
    </row>
    <row r="415" ht="15.75" customHeight="1">
      <c r="A415" s="6" t="str">
        <f t="shared" si="1"/>
        <v>moissanite rapper pendant, 1242224606</v>
      </c>
      <c r="B415" s="7" t="s">
        <v>15</v>
      </c>
      <c r="C415" s="5"/>
      <c r="D415" s="5" t="s">
        <v>1397</v>
      </c>
      <c r="E415" s="5"/>
      <c r="F415" s="8">
        <v>1.242224606E9</v>
      </c>
      <c r="G415" s="9" t="str">
        <f>HYPERLINK("https://www.etsy.com/listing/1242224606", "link")</f>
        <v>link</v>
      </c>
      <c r="H415" s="9" t="str">
        <f>HYPERLINK("https://atlas.etsycorp.com/listing/1242224606/lookup", "link")</f>
        <v>link</v>
      </c>
      <c r="I415" s="5" t="s">
        <v>1398</v>
      </c>
      <c r="J415" s="5" t="s">
        <v>1399</v>
      </c>
      <c r="K415" s="5" t="s">
        <v>19</v>
      </c>
      <c r="L415" s="5" t="s">
        <v>73</v>
      </c>
      <c r="M415" s="10" t="s">
        <v>21</v>
      </c>
      <c r="N415" s="10" t="s">
        <v>23</v>
      </c>
      <c r="O415" s="11" t="s">
        <v>877</v>
      </c>
      <c r="P415" s="5"/>
      <c r="Q415" s="5"/>
      <c r="R415" s="5"/>
      <c r="S415" s="5"/>
      <c r="T415" s="5"/>
    </row>
    <row r="416" ht="15.75" customHeight="1">
      <c r="A416" s="6" t="str">
        <f t="shared" si="1"/>
        <v>pacha ibiza, 1335083072</v>
      </c>
      <c r="B416" s="7" t="s">
        <v>24</v>
      </c>
      <c r="C416" s="7" t="s">
        <v>1400</v>
      </c>
      <c r="D416" s="5" t="s">
        <v>539</v>
      </c>
      <c r="E416" s="5" t="s">
        <v>539</v>
      </c>
      <c r="F416" s="8">
        <v>1.335083072E9</v>
      </c>
      <c r="G416" s="9" t="str">
        <f>HYPERLINK("https://www.etsy.com/listing/1335083072", "link")</f>
        <v>link</v>
      </c>
      <c r="H416" s="9" t="str">
        <f>HYPERLINK("https://atlas.etsycorp.com/listing/1335083072/lookup", "link")</f>
        <v>link</v>
      </c>
      <c r="I416" s="5" t="s">
        <v>1401</v>
      </c>
      <c r="J416" s="5" t="s">
        <v>541</v>
      </c>
      <c r="K416" s="5" t="s">
        <v>35</v>
      </c>
      <c r="L416" s="5" t="s">
        <v>36</v>
      </c>
      <c r="M416" s="10" t="s">
        <v>21</v>
      </c>
      <c r="N416" s="10" t="s">
        <v>23</v>
      </c>
      <c r="O416" s="11" t="s">
        <v>877</v>
      </c>
      <c r="P416" s="5"/>
      <c r="Q416" s="5"/>
      <c r="R416" s="5"/>
      <c r="S416" s="5"/>
      <c r="T416" s="5"/>
    </row>
    <row r="417" ht="15.75" customHeight="1">
      <c r="A417" s="6" t="str">
        <f t="shared" si="1"/>
        <v>bonvon, 1302091497</v>
      </c>
      <c r="B417" s="7" t="s">
        <v>446</v>
      </c>
      <c r="C417" s="5"/>
      <c r="D417" s="5" t="s">
        <v>898</v>
      </c>
      <c r="E417" s="5" t="s">
        <v>899</v>
      </c>
      <c r="F417" s="8">
        <v>1.302091497E9</v>
      </c>
      <c r="G417" s="9" t="str">
        <f>HYPERLINK("https://www.etsy.com/listing/1302091497", "link")</f>
        <v>link</v>
      </c>
      <c r="H417" s="9" t="str">
        <f>HYPERLINK("https://atlas.etsycorp.com/listing/1302091497/lookup", "link")</f>
        <v>link</v>
      </c>
      <c r="I417" s="5" t="s">
        <v>1402</v>
      </c>
      <c r="J417" s="5" t="s">
        <v>901</v>
      </c>
      <c r="K417" s="5" t="s">
        <v>54</v>
      </c>
      <c r="L417" s="5" t="s">
        <v>55</v>
      </c>
      <c r="M417" s="10" t="s">
        <v>21</v>
      </c>
      <c r="N417" s="10" t="s">
        <v>23</v>
      </c>
      <c r="O417" s="11" t="s">
        <v>877</v>
      </c>
      <c r="P417" s="5"/>
      <c r="Q417" s="5"/>
      <c r="R417" s="5"/>
      <c r="S417" s="5"/>
      <c r="T417" s="5"/>
    </row>
    <row r="418" ht="15.75" customHeight="1">
      <c r="A418" s="6" t="str">
        <f t="shared" si="1"/>
        <v>wandschablonen bordüre, 1314919525</v>
      </c>
      <c r="B418" s="7" t="s">
        <v>15</v>
      </c>
      <c r="C418" s="5"/>
      <c r="D418" s="5" t="s">
        <v>1403</v>
      </c>
      <c r="E418" s="5" t="s">
        <v>1404</v>
      </c>
      <c r="F418" s="8">
        <v>1.314919525E9</v>
      </c>
      <c r="G418" s="9" t="str">
        <f>HYPERLINK("https://www.etsy.com/listing/1314919525", "link")</f>
        <v>link</v>
      </c>
      <c r="H418" s="9" t="str">
        <f>HYPERLINK("https://atlas.etsycorp.com/listing/1314919525/lookup", "link")</f>
        <v>link</v>
      </c>
      <c r="I418" s="5" t="s">
        <v>1405</v>
      </c>
      <c r="J418" s="5" t="s">
        <v>1406</v>
      </c>
      <c r="K418" s="5" t="s">
        <v>46</v>
      </c>
      <c r="L418" s="5" t="s">
        <v>47</v>
      </c>
      <c r="M418" s="10" t="s">
        <v>21</v>
      </c>
      <c r="N418" s="10" t="s">
        <v>23</v>
      </c>
      <c r="O418" s="11" t="s">
        <v>877</v>
      </c>
      <c r="P418" s="5"/>
      <c r="Q418" s="5"/>
      <c r="R418" s="5"/>
      <c r="S418" s="5"/>
      <c r="T418" s="5"/>
    </row>
    <row r="419" ht="15.75" customHeight="1">
      <c r="A419" s="6" t="str">
        <f t="shared" si="1"/>
        <v>CUERDA fujifilm xt5, 1713099839</v>
      </c>
      <c r="B419" s="7" t="s">
        <v>48</v>
      </c>
      <c r="C419" s="5"/>
      <c r="D419" s="5" t="s">
        <v>741</v>
      </c>
      <c r="E419" s="5" t="s">
        <v>742</v>
      </c>
      <c r="F419" s="8">
        <v>1.713099839E9</v>
      </c>
      <c r="G419" s="9" t="str">
        <f>HYPERLINK("https://www.etsy.com/listing/1713099839", "link")</f>
        <v>link</v>
      </c>
      <c r="H419" s="9" t="str">
        <f>HYPERLINK("https://atlas.etsycorp.com/listing/1713099839/lookup", "link")</f>
        <v>link</v>
      </c>
      <c r="I419" s="5" t="s">
        <v>1407</v>
      </c>
      <c r="J419" s="5" t="s">
        <v>744</v>
      </c>
      <c r="K419" s="5" t="s">
        <v>29</v>
      </c>
      <c r="L419" s="5" t="s">
        <v>30</v>
      </c>
      <c r="M419" s="10" t="s">
        <v>21</v>
      </c>
      <c r="N419" s="10" t="s">
        <v>23</v>
      </c>
      <c r="O419" s="11" t="s">
        <v>877</v>
      </c>
      <c r="P419" s="5"/>
      <c r="Q419" s="5"/>
      <c r="R419" s="5"/>
      <c r="S419" s="5"/>
      <c r="T419" s="5"/>
    </row>
    <row r="420" ht="15.75" customHeight="1">
      <c r="A420" s="6" t="str">
        <f t="shared" si="1"/>
        <v>eagles svg, 1531611191</v>
      </c>
      <c r="B420" s="7" t="s">
        <v>48</v>
      </c>
      <c r="C420" s="5"/>
      <c r="D420" s="5" t="s">
        <v>1408</v>
      </c>
      <c r="E420" s="5"/>
      <c r="F420" s="8">
        <v>1.531611191E9</v>
      </c>
      <c r="G420" s="9" t="str">
        <f>HYPERLINK("https://www.etsy.com/listing/1531611191", "link")</f>
        <v>link</v>
      </c>
      <c r="H420" s="9" t="str">
        <f>HYPERLINK("https://atlas.etsycorp.com/listing/1531611191/lookup", "link")</f>
        <v>link</v>
      </c>
      <c r="I420" s="5" t="s">
        <v>1409</v>
      </c>
      <c r="J420" s="5" t="s">
        <v>1410</v>
      </c>
      <c r="K420" s="5" t="s">
        <v>19</v>
      </c>
      <c r="L420" s="5" t="s">
        <v>73</v>
      </c>
      <c r="M420" s="10" t="s">
        <v>21</v>
      </c>
      <c r="N420" s="10" t="s">
        <v>23</v>
      </c>
      <c r="O420" s="11" t="s">
        <v>877</v>
      </c>
      <c r="P420" s="5"/>
      <c r="Q420" s="5"/>
      <c r="R420" s="5"/>
      <c r="S420" s="5"/>
      <c r="T420" s="5"/>
    </row>
    <row r="421" ht="15.75" customHeight="1">
      <c r="A421" s="6" t="str">
        <f t="shared" si="1"/>
        <v>taschen damen, 925557262</v>
      </c>
      <c r="B421" s="7" t="s">
        <v>15</v>
      </c>
      <c r="C421" s="5"/>
      <c r="D421" s="5" t="s">
        <v>161</v>
      </c>
      <c r="E421" s="5" t="s">
        <v>162</v>
      </c>
      <c r="F421" s="8">
        <v>9.25557262E8</v>
      </c>
      <c r="G421" s="9" t="str">
        <f>HYPERLINK("https://www.etsy.com/listing/925557262", "link")</f>
        <v>link</v>
      </c>
      <c r="H421" s="9" t="str">
        <f>HYPERLINK("https://atlas.etsycorp.com/listing/925557262/lookup", "link")</f>
        <v>link</v>
      </c>
      <c r="I421" s="5" t="s">
        <v>1411</v>
      </c>
      <c r="J421" s="5" t="s">
        <v>164</v>
      </c>
      <c r="K421" s="5" t="s">
        <v>46</v>
      </c>
      <c r="L421" s="5" t="s">
        <v>47</v>
      </c>
      <c r="M421" s="10" t="s">
        <v>21</v>
      </c>
      <c r="N421" s="10" t="s">
        <v>23</v>
      </c>
      <c r="O421" s="11" t="s">
        <v>877</v>
      </c>
      <c r="P421" s="5"/>
      <c r="Q421" s="5"/>
      <c r="R421" s="5"/>
      <c r="S421" s="5"/>
      <c r="T421" s="5"/>
    </row>
    <row r="422" ht="15.75" customHeight="1">
      <c r="A422" s="6" t="str">
        <f t="shared" si="1"/>
        <v>spieltisch Outdoor, 1190361849</v>
      </c>
      <c r="B422" s="7" t="s">
        <v>48</v>
      </c>
      <c r="C422" s="5"/>
      <c r="D422" s="5" t="s">
        <v>1035</v>
      </c>
      <c r="E422" s="5" t="s">
        <v>1036</v>
      </c>
      <c r="F422" s="8">
        <v>1.190361849E9</v>
      </c>
      <c r="G422" s="9" t="str">
        <f>HYPERLINK("https://www.etsy.com/listing/1190361849", "link")</f>
        <v>link</v>
      </c>
      <c r="H422" s="9" t="str">
        <f>HYPERLINK("https://atlas.etsycorp.com/listing/1190361849/lookup", "link")</f>
        <v>link</v>
      </c>
      <c r="I422" s="5" t="s">
        <v>1412</v>
      </c>
      <c r="J422" s="5" t="s">
        <v>1038</v>
      </c>
      <c r="K422" s="5" t="s">
        <v>46</v>
      </c>
      <c r="L422" s="5" t="s">
        <v>47</v>
      </c>
      <c r="M422" s="10" t="s">
        <v>21</v>
      </c>
      <c r="N422" s="10" t="s">
        <v>23</v>
      </c>
      <c r="O422" s="11" t="s">
        <v>877</v>
      </c>
      <c r="P422" s="5"/>
      <c r="Q422" s="5"/>
      <c r="R422" s="5"/>
      <c r="S422" s="5"/>
      <c r="T422" s="5"/>
    </row>
    <row r="423" ht="15.75" customHeight="1">
      <c r="A423" s="6" t="str">
        <f t="shared" si="1"/>
        <v>valentines day gift for him sports, 1567424723</v>
      </c>
      <c r="B423" s="7" t="s">
        <v>48</v>
      </c>
      <c r="C423" s="5"/>
      <c r="D423" s="5" t="s">
        <v>1413</v>
      </c>
      <c r="E423" s="5"/>
      <c r="F423" s="8">
        <v>1.567424723E9</v>
      </c>
      <c r="G423" s="9" t="str">
        <f>HYPERLINK("https://www.etsy.com/listing/1567424723", "link")</f>
        <v>link</v>
      </c>
      <c r="H423" s="9" t="str">
        <f>HYPERLINK("https://atlas.etsycorp.com/listing/1567424723/lookup", "link")</f>
        <v>link</v>
      </c>
      <c r="I423" s="5" t="s">
        <v>1414</v>
      </c>
      <c r="J423" s="5" t="s">
        <v>1415</v>
      </c>
      <c r="K423" s="5" t="s">
        <v>19</v>
      </c>
      <c r="L423" s="5" t="s">
        <v>100</v>
      </c>
      <c r="M423" s="10" t="s">
        <v>21</v>
      </c>
      <c r="N423" s="10" t="s">
        <v>23</v>
      </c>
      <c r="O423" s="11" t="s">
        <v>877</v>
      </c>
      <c r="P423" s="5"/>
      <c r="Q423" s="5"/>
      <c r="R423" s="5"/>
      <c r="S423" s="5"/>
      <c r="T423" s="5"/>
    </row>
    <row r="424" ht="15.75" customHeight="1">
      <c r="A424" s="6" t="str">
        <f t="shared" si="1"/>
        <v>princess wands, 641841226</v>
      </c>
      <c r="B424" s="7" t="s">
        <v>15</v>
      </c>
      <c r="C424" s="5"/>
      <c r="D424" s="5" t="s">
        <v>1416</v>
      </c>
      <c r="E424" s="5"/>
      <c r="F424" s="8">
        <v>6.41841226E8</v>
      </c>
      <c r="G424" s="9" t="str">
        <f>HYPERLINK("https://www.etsy.com/listing/641841226", "link")</f>
        <v>link</v>
      </c>
      <c r="H424" s="9" t="str">
        <f>HYPERLINK("https://atlas.etsycorp.com/listing/641841226/lookup", "link")</f>
        <v>link</v>
      </c>
      <c r="I424" s="5" t="s">
        <v>1417</v>
      </c>
      <c r="J424" s="5" t="s">
        <v>1418</v>
      </c>
      <c r="K424" s="5" t="s">
        <v>19</v>
      </c>
      <c r="L424" s="5" t="s">
        <v>41</v>
      </c>
      <c r="M424" s="10" t="s">
        <v>21</v>
      </c>
      <c r="N424" s="10" t="s">
        <v>23</v>
      </c>
      <c r="O424" s="11" t="s">
        <v>877</v>
      </c>
      <c r="P424" s="5"/>
      <c r="Q424" s="5"/>
      <c r="R424" s="5"/>
      <c r="S424" s="5"/>
      <c r="T424" s="5"/>
    </row>
    <row r="425" ht="15.75" customHeight="1">
      <c r="A425" s="6" t="str">
        <f t="shared" si="1"/>
        <v>vivienne westwood, 1664978559</v>
      </c>
      <c r="B425" s="7" t="s">
        <v>15</v>
      </c>
      <c r="C425" s="5"/>
      <c r="D425" s="5" t="s">
        <v>281</v>
      </c>
      <c r="E425" s="5" t="s">
        <v>281</v>
      </c>
      <c r="F425" s="8">
        <v>1.664978559E9</v>
      </c>
      <c r="G425" s="9" t="str">
        <f>HYPERLINK("https://www.etsy.com/listing/1664978559", "link")</f>
        <v>link</v>
      </c>
      <c r="H425" s="9" t="str">
        <f>HYPERLINK("https://atlas.etsycorp.com/listing/1664978559/lookup", "link")</f>
        <v>link</v>
      </c>
      <c r="I425" s="5" t="s">
        <v>1419</v>
      </c>
      <c r="J425" s="5" t="s">
        <v>283</v>
      </c>
      <c r="K425" s="5" t="s">
        <v>46</v>
      </c>
      <c r="L425" s="5" t="s">
        <v>47</v>
      </c>
      <c r="M425" s="10" t="s">
        <v>21</v>
      </c>
      <c r="N425" s="10" t="s">
        <v>23</v>
      </c>
      <c r="O425" s="11" t="s">
        <v>877</v>
      </c>
      <c r="P425" s="5"/>
      <c r="Q425" s="5"/>
      <c r="R425" s="5"/>
      <c r="S425" s="5"/>
      <c r="T425" s="5"/>
    </row>
    <row r="426" ht="15.75" customHeight="1">
      <c r="A426" s="6" t="str">
        <f t="shared" si="1"/>
        <v>tavolo giardino ferro, 1416200490</v>
      </c>
      <c r="B426" s="7" t="s">
        <v>15</v>
      </c>
      <c r="C426" s="5"/>
      <c r="D426" s="5" t="s">
        <v>1420</v>
      </c>
      <c r="E426" s="5" t="s">
        <v>1421</v>
      </c>
      <c r="F426" s="8">
        <v>1.41620049E9</v>
      </c>
      <c r="G426" s="9" t="str">
        <f>HYPERLINK("https://www.etsy.com/listing/1416200490", "link")</f>
        <v>link</v>
      </c>
      <c r="H426" s="9" t="str">
        <f>HYPERLINK("https://atlas.etsycorp.com/listing/1416200490/lookup", "link")</f>
        <v>link</v>
      </c>
      <c r="I426" s="5" t="s">
        <v>1422</v>
      </c>
      <c r="J426" s="5" t="s">
        <v>1423</v>
      </c>
      <c r="K426" s="5" t="s">
        <v>80</v>
      </c>
      <c r="L426" s="5" t="s">
        <v>81</v>
      </c>
      <c r="M426" s="10" t="s">
        <v>21</v>
      </c>
      <c r="N426" s="10" t="s">
        <v>23</v>
      </c>
      <c r="O426" s="11" t="s">
        <v>877</v>
      </c>
      <c r="P426" s="5"/>
      <c r="Q426" s="5"/>
      <c r="R426" s="5"/>
      <c r="S426" s="5"/>
      <c r="T426" s="5"/>
    </row>
    <row r="427" ht="15.75" customHeight="1">
      <c r="A427" s="6" t="str">
        <f t="shared" si="1"/>
        <v>kajol, 1420978058</v>
      </c>
      <c r="B427" s="7" t="s">
        <v>48</v>
      </c>
      <c r="C427" s="5"/>
      <c r="D427" s="5" t="s">
        <v>976</v>
      </c>
      <c r="E427" s="5" t="s">
        <v>976</v>
      </c>
      <c r="F427" s="8">
        <v>1.420978058E9</v>
      </c>
      <c r="G427" s="9" t="str">
        <f>HYPERLINK("https://www.etsy.com/listing/1420978058", "link")</f>
        <v>link</v>
      </c>
      <c r="H427" s="9" t="str">
        <f>HYPERLINK("https://atlas.etsycorp.com/listing/1420978058/lookup", "link")</f>
        <v>link</v>
      </c>
      <c r="I427" s="5" t="s">
        <v>1424</v>
      </c>
      <c r="J427" s="5" t="s">
        <v>978</v>
      </c>
      <c r="K427" s="5" t="s">
        <v>54</v>
      </c>
      <c r="L427" s="5" t="s">
        <v>55</v>
      </c>
      <c r="M427" s="10" t="s">
        <v>21</v>
      </c>
      <c r="N427" s="10" t="s">
        <v>23</v>
      </c>
      <c r="O427" s="11" t="s">
        <v>877</v>
      </c>
      <c r="P427" s="5"/>
      <c r="Q427" s="5"/>
      <c r="R427" s="5"/>
      <c r="S427" s="5"/>
      <c r="T427" s="5"/>
    </row>
    <row r="428" ht="15.75" customHeight="1">
      <c r="A428" s="6" t="str">
        <f t="shared" si="1"/>
        <v>vestido de novia, 1454454151</v>
      </c>
      <c r="B428" s="7" t="s">
        <v>48</v>
      </c>
      <c r="C428" s="5"/>
      <c r="D428" s="5" t="s">
        <v>1425</v>
      </c>
      <c r="E428" s="5" t="s">
        <v>1426</v>
      </c>
      <c r="F428" s="8">
        <v>1.454454151E9</v>
      </c>
      <c r="G428" s="9" t="str">
        <f>HYPERLINK("https://www.etsy.com/listing/1454454151", "link")</f>
        <v>link</v>
      </c>
      <c r="H428" s="9" t="str">
        <f>HYPERLINK("https://atlas.etsycorp.com/listing/1454454151/lookup", "link")</f>
        <v>link</v>
      </c>
      <c r="I428" s="5" t="s">
        <v>1427</v>
      </c>
      <c r="J428" s="5" t="s">
        <v>1428</v>
      </c>
      <c r="K428" s="5" t="s">
        <v>29</v>
      </c>
      <c r="L428" s="5" t="s">
        <v>30</v>
      </c>
      <c r="M428" s="10" t="s">
        <v>21</v>
      </c>
      <c r="N428" s="10" t="s">
        <v>23</v>
      </c>
      <c r="O428" s="11" t="s">
        <v>877</v>
      </c>
      <c r="P428" s="5"/>
      <c r="Q428" s="5"/>
      <c r="R428" s="5"/>
      <c r="S428" s="5"/>
      <c r="T428" s="5"/>
    </row>
    <row r="429" ht="15.75" customHeight="1">
      <c r="A429" s="6" t="str">
        <f t="shared" si="1"/>
        <v>abendtasche blau glitzer, 642538261</v>
      </c>
      <c r="B429" s="7" t="s">
        <v>24</v>
      </c>
      <c r="C429" s="7" t="s">
        <v>1429</v>
      </c>
      <c r="D429" s="5" t="s">
        <v>1221</v>
      </c>
      <c r="E429" s="5" t="s">
        <v>1222</v>
      </c>
      <c r="F429" s="8">
        <v>6.42538261E8</v>
      </c>
      <c r="G429" s="9" t="str">
        <f>HYPERLINK("https://www.etsy.com/listing/642538261", "link")</f>
        <v>link</v>
      </c>
      <c r="H429" s="9" t="str">
        <f>HYPERLINK("https://atlas.etsycorp.com/listing/642538261/lookup", "link")</f>
        <v>link</v>
      </c>
      <c r="I429" s="5" t="s">
        <v>1430</v>
      </c>
      <c r="J429" s="5" t="s">
        <v>1224</v>
      </c>
      <c r="K429" s="5" t="s">
        <v>46</v>
      </c>
      <c r="L429" s="5" t="s">
        <v>47</v>
      </c>
      <c r="M429" s="10" t="s">
        <v>21</v>
      </c>
      <c r="N429" s="10" t="s">
        <v>23</v>
      </c>
      <c r="O429" s="11" t="s">
        <v>877</v>
      </c>
      <c r="P429" s="5"/>
      <c r="Q429" s="5"/>
      <c r="R429" s="5"/>
      <c r="S429" s="5"/>
      <c r="T429" s="5"/>
    </row>
    <row r="430" ht="15.75" customHeight="1">
      <c r="A430" s="6" t="str">
        <f t="shared" si="1"/>
        <v>linen, 1537131760</v>
      </c>
      <c r="B430" s="7" t="s">
        <v>15</v>
      </c>
      <c r="C430" s="5"/>
      <c r="D430" s="5" t="s">
        <v>403</v>
      </c>
      <c r="E430" s="5" t="s">
        <v>403</v>
      </c>
      <c r="F430" s="8">
        <v>1.53713176E9</v>
      </c>
      <c r="G430" s="9" t="str">
        <f>HYPERLINK("https://www.etsy.com/listing/1537131760", "link")</f>
        <v>link</v>
      </c>
      <c r="H430" s="9" t="str">
        <f>HYPERLINK("https://atlas.etsycorp.com/listing/1537131760/lookup", "link")</f>
        <v>link</v>
      </c>
      <c r="I430" s="5" t="s">
        <v>1431</v>
      </c>
      <c r="J430" s="5" t="s">
        <v>1432</v>
      </c>
      <c r="K430" s="5" t="s">
        <v>1350</v>
      </c>
      <c r="L430" s="5" t="s">
        <v>1351</v>
      </c>
      <c r="M430" s="10" t="s">
        <v>21</v>
      </c>
      <c r="N430" s="10" t="s">
        <v>23</v>
      </c>
      <c r="O430" s="11" t="s">
        <v>877</v>
      </c>
      <c r="P430" s="5"/>
      <c r="Q430" s="5"/>
      <c r="R430" s="5"/>
      <c r="S430" s="5"/>
      <c r="T430" s="5"/>
    </row>
    <row r="431" ht="15.75" customHeight="1">
      <c r="A431" s="6" t="str">
        <f t="shared" si="1"/>
        <v>mitski shoulder bag, 1609621940</v>
      </c>
      <c r="B431" s="7" t="s">
        <v>24</v>
      </c>
      <c r="C431" s="7" t="s">
        <v>1433</v>
      </c>
      <c r="D431" s="5" t="s">
        <v>1434</v>
      </c>
      <c r="E431" s="5"/>
      <c r="F431" s="8">
        <v>1.60962194E9</v>
      </c>
      <c r="G431" s="9" t="str">
        <f>HYPERLINK("https://www.etsy.com/listing/1609621940", "link")</f>
        <v>link</v>
      </c>
      <c r="H431" s="9" t="str">
        <f>HYPERLINK("https://atlas.etsycorp.com/listing/1609621940/lookup", "link")</f>
        <v>link</v>
      </c>
      <c r="I431" s="5" t="s">
        <v>1435</v>
      </c>
      <c r="J431" s="5" t="s">
        <v>1436</v>
      </c>
      <c r="K431" s="5" t="s">
        <v>19</v>
      </c>
      <c r="L431" s="5" t="s">
        <v>41</v>
      </c>
      <c r="M431" s="10" t="s">
        <v>21</v>
      </c>
      <c r="N431" s="10" t="s">
        <v>23</v>
      </c>
      <c r="O431" s="11" t="s">
        <v>877</v>
      </c>
      <c r="P431" s="5"/>
      <c r="Q431" s="5"/>
      <c r="R431" s="5"/>
      <c r="S431" s="5"/>
      <c r="T431" s="5"/>
    </row>
    <row r="432" ht="15.75" customHeight="1">
      <c r="A432" s="6" t="str">
        <f t="shared" si="1"/>
        <v>miraculous ladybug stickers, 1298684884</v>
      </c>
      <c r="B432" s="7" t="s">
        <v>48</v>
      </c>
      <c r="C432" s="5"/>
      <c r="D432" s="5" t="s">
        <v>632</v>
      </c>
      <c r="E432" s="5" t="s">
        <v>632</v>
      </c>
      <c r="F432" s="8">
        <v>1.298684884E9</v>
      </c>
      <c r="G432" s="9" t="str">
        <f>HYPERLINK("https://www.etsy.com/listing/1298684884", "link")</f>
        <v>link</v>
      </c>
      <c r="H432" s="9" t="str">
        <f>HYPERLINK("https://atlas.etsycorp.com/listing/1298684884/lookup", "link")</f>
        <v>link</v>
      </c>
      <c r="I432" s="5" t="s">
        <v>1437</v>
      </c>
      <c r="J432" s="5" t="s">
        <v>634</v>
      </c>
      <c r="K432" s="5" t="s">
        <v>46</v>
      </c>
      <c r="L432" s="5" t="s">
        <v>47</v>
      </c>
      <c r="M432" s="10" t="s">
        <v>21</v>
      </c>
      <c r="N432" s="10" t="s">
        <v>23</v>
      </c>
      <c r="O432" s="11" t="s">
        <v>877</v>
      </c>
      <c r="P432" s="5"/>
      <c r="Q432" s="5"/>
      <c r="R432" s="5"/>
      <c r="S432" s="5"/>
      <c r="T432" s="5"/>
    </row>
    <row r="433" ht="15.75" customHeight="1">
      <c r="A433" s="6" t="str">
        <f t="shared" si="1"/>
        <v>scott pilgrim, 1643291230</v>
      </c>
      <c r="B433" s="7" t="s">
        <v>48</v>
      </c>
      <c r="C433" s="5"/>
      <c r="D433" s="5" t="s">
        <v>339</v>
      </c>
      <c r="E433" s="5" t="s">
        <v>339</v>
      </c>
      <c r="F433" s="8">
        <v>1.64329123E9</v>
      </c>
      <c r="G433" s="9" t="str">
        <f>HYPERLINK("https://www.etsy.com/listing/1643291230", "link")</f>
        <v>link</v>
      </c>
      <c r="H433" s="9" t="str">
        <f>HYPERLINK("https://atlas.etsycorp.com/listing/1643291230/lookup", "link")</f>
        <v>link</v>
      </c>
      <c r="I433" s="5" t="s">
        <v>1438</v>
      </c>
      <c r="J433" s="5" t="s">
        <v>341</v>
      </c>
      <c r="K433" s="5" t="s">
        <v>29</v>
      </c>
      <c r="L433" s="5" t="s">
        <v>30</v>
      </c>
      <c r="M433" s="10" t="s">
        <v>21</v>
      </c>
      <c r="N433" s="10" t="s">
        <v>23</v>
      </c>
      <c r="O433" s="11" t="s">
        <v>877</v>
      </c>
      <c r="P433" s="5"/>
      <c r="Q433" s="5"/>
      <c r="R433" s="5"/>
      <c r="S433" s="5"/>
      <c r="T433" s="5"/>
    </row>
    <row r="434" ht="15.75" customHeight="1">
      <c r="A434" s="6" t="str">
        <f t="shared" si="1"/>
        <v>ヤギ毛, 1229577795</v>
      </c>
      <c r="B434" s="7" t="s">
        <v>15</v>
      </c>
      <c r="C434" s="5"/>
      <c r="D434" s="5" t="s">
        <v>1439</v>
      </c>
      <c r="E434" s="5" t="s">
        <v>1440</v>
      </c>
      <c r="F434" s="8">
        <v>1.229577795E9</v>
      </c>
      <c r="G434" s="9" t="str">
        <f>HYPERLINK("https://www.etsy.com/listing/1229577795", "link")</f>
        <v>link</v>
      </c>
      <c r="H434" s="9" t="str">
        <f>HYPERLINK("https://atlas.etsycorp.com/listing/1229577795/lookup", "link")</f>
        <v>link</v>
      </c>
      <c r="I434" s="5" t="s">
        <v>1441</v>
      </c>
      <c r="J434" s="5" t="s">
        <v>1442</v>
      </c>
      <c r="K434" s="5" t="s">
        <v>759</v>
      </c>
      <c r="L434" s="5" t="s">
        <v>760</v>
      </c>
      <c r="M434" s="10" t="s">
        <v>21</v>
      </c>
      <c r="N434" s="10" t="s">
        <v>23</v>
      </c>
      <c r="O434" s="11" t="s">
        <v>877</v>
      </c>
      <c r="P434" s="5"/>
      <c r="Q434" s="5"/>
      <c r="R434" s="5"/>
      <c r="S434" s="5"/>
      <c r="T434" s="5"/>
    </row>
    <row r="435" ht="15.75" customHeight="1">
      <c r="A435" s="6" t="str">
        <f t="shared" si="1"/>
        <v>Custom womens clothing, 945667492</v>
      </c>
      <c r="B435" s="7" t="s">
        <v>15</v>
      </c>
      <c r="C435" s="5"/>
      <c r="D435" s="5" t="s">
        <v>512</v>
      </c>
      <c r="E435" s="5" t="s">
        <v>1081</v>
      </c>
      <c r="F435" s="8">
        <v>9.45667492E8</v>
      </c>
      <c r="G435" s="9" t="str">
        <f>HYPERLINK("https://www.etsy.com/listing/945667492", "link")</f>
        <v>link</v>
      </c>
      <c r="H435" s="9" t="str">
        <f>HYPERLINK("https://atlas.etsycorp.com/listing/945667492/lookup", "link")</f>
        <v>link</v>
      </c>
      <c r="I435" s="5" t="s">
        <v>1443</v>
      </c>
      <c r="J435" s="5" t="s">
        <v>1444</v>
      </c>
      <c r="K435" s="5" t="s">
        <v>29</v>
      </c>
      <c r="L435" s="5" t="s">
        <v>30</v>
      </c>
      <c r="M435" s="10" t="s">
        <v>21</v>
      </c>
      <c r="N435" s="10" t="s">
        <v>23</v>
      </c>
      <c r="O435" s="11" t="s">
        <v>877</v>
      </c>
      <c r="P435" s="5"/>
      <c r="Q435" s="5"/>
      <c r="R435" s="5"/>
      <c r="S435" s="5"/>
      <c r="T435" s="5"/>
    </row>
    <row r="436" ht="15.75" customHeight="1">
      <c r="A436" s="6" t="str">
        <f t="shared" si="1"/>
        <v>ohrringe, 970940731</v>
      </c>
      <c r="B436" s="7" t="s">
        <v>48</v>
      </c>
      <c r="C436" s="5"/>
      <c r="D436" s="5" t="s">
        <v>528</v>
      </c>
      <c r="E436" s="5" t="s">
        <v>529</v>
      </c>
      <c r="F436" s="8">
        <v>9.70940731E8</v>
      </c>
      <c r="G436" s="9" t="str">
        <f>HYPERLINK("https://www.etsy.com/listing/970940731", "link")</f>
        <v>link</v>
      </c>
      <c r="H436" s="9" t="str">
        <f>HYPERLINK("https://atlas.etsycorp.com/listing/970940731/lookup", "link")</f>
        <v>link</v>
      </c>
      <c r="I436" s="5" t="s">
        <v>1445</v>
      </c>
      <c r="J436" s="5" t="s">
        <v>531</v>
      </c>
      <c r="K436" s="5" t="s">
        <v>46</v>
      </c>
      <c r="L436" s="5" t="s">
        <v>47</v>
      </c>
      <c r="M436" s="10" t="s">
        <v>21</v>
      </c>
      <c r="N436" s="10" t="s">
        <v>23</v>
      </c>
      <c r="O436" s="11" t="s">
        <v>877</v>
      </c>
      <c r="P436" s="5"/>
      <c r="Q436" s="5"/>
      <c r="R436" s="5"/>
      <c r="S436" s="5"/>
      <c r="T436" s="5"/>
    </row>
    <row r="437" ht="15.75" customHeight="1">
      <c r="A437" s="6" t="str">
        <f t="shared" si="1"/>
        <v>funny gaming sticker, 1572093752</v>
      </c>
      <c r="B437" s="7" t="s">
        <v>48</v>
      </c>
      <c r="C437" s="5"/>
      <c r="D437" s="5" t="s">
        <v>1446</v>
      </c>
      <c r="E437" s="5"/>
      <c r="F437" s="8">
        <v>1.572093752E9</v>
      </c>
      <c r="G437" s="9" t="str">
        <f>HYPERLINK("https://www.etsy.com/listing/1572093752", "link")</f>
        <v>link</v>
      </c>
      <c r="H437" s="9" t="str">
        <f>HYPERLINK("https://atlas.etsycorp.com/listing/1572093752/lookup", "link")</f>
        <v>link</v>
      </c>
      <c r="I437" s="5" t="s">
        <v>1447</v>
      </c>
      <c r="J437" s="5" t="s">
        <v>1448</v>
      </c>
      <c r="K437" s="5" t="s">
        <v>19</v>
      </c>
      <c r="L437" s="5" t="s">
        <v>73</v>
      </c>
      <c r="M437" s="10" t="s">
        <v>21</v>
      </c>
      <c r="N437" s="10" t="s">
        <v>23</v>
      </c>
      <c r="O437" s="11" t="s">
        <v>877</v>
      </c>
      <c r="P437" s="5"/>
      <c r="Q437" s="5"/>
      <c r="R437" s="5"/>
      <c r="S437" s="5"/>
      <c r="T437" s="5"/>
    </row>
    <row r="438" ht="15.75" customHeight="1">
      <c r="A438" s="6" t="str">
        <f t="shared" si="1"/>
        <v>cat harry potter, 834921724</v>
      </c>
      <c r="B438" s="7" t="s">
        <v>48</v>
      </c>
      <c r="C438" s="5"/>
      <c r="D438" s="5" t="s">
        <v>1449</v>
      </c>
      <c r="E438" s="5"/>
      <c r="F438" s="8">
        <v>8.34921724E8</v>
      </c>
      <c r="G438" s="9" t="str">
        <f>HYPERLINK("https://www.etsy.com/listing/834921724", "link")</f>
        <v>link</v>
      </c>
      <c r="H438" s="9" t="str">
        <f>HYPERLINK("https://atlas.etsycorp.com/listing/834921724/lookup", "link")</f>
        <v>link</v>
      </c>
      <c r="I438" s="5" t="s">
        <v>1450</v>
      </c>
      <c r="J438" s="5" t="s">
        <v>1451</v>
      </c>
      <c r="K438" s="5" t="s">
        <v>19</v>
      </c>
      <c r="L438" s="5" t="s">
        <v>20</v>
      </c>
      <c r="M438" s="10" t="s">
        <v>21</v>
      </c>
      <c r="N438" s="10" t="s">
        <v>23</v>
      </c>
      <c r="O438" s="11" t="s">
        <v>877</v>
      </c>
      <c r="P438" s="5"/>
      <c r="Q438" s="5"/>
      <c r="R438" s="5"/>
      <c r="S438" s="5"/>
      <c r="T438" s="5"/>
    </row>
    <row r="439" ht="15.75" customHeight="1">
      <c r="A439" s="6" t="str">
        <f t="shared" si="1"/>
        <v>toilet prints funny, 1500678498</v>
      </c>
      <c r="B439" s="7" t="s">
        <v>15</v>
      </c>
      <c r="C439" s="5"/>
      <c r="D439" s="5" t="s">
        <v>1452</v>
      </c>
      <c r="E439" s="5"/>
      <c r="F439" s="8">
        <v>1.500678498E9</v>
      </c>
      <c r="G439" s="9" t="str">
        <f>HYPERLINK("https://www.etsy.com/listing/1500678498", "link")</f>
        <v>link</v>
      </c>
      <c r="H439" s="9" t="str">
        <f>HYPERLINK("https://atlas.etsycorp.com/listing/1500678498/lookup", "link")</f>
        <v>link</v>
      </c>
      <c r="I439" s="5" t="s">
        <v>1453</v>
      </c>
      <c r="J439" s="5" t="s">
        <v>1454</v>
      </c>
      <c r="K439" s="5" t="s">
        <v>120</v>
      </c>
      <c r="L439" s="5" t="s">
        <v>73</v>
      </c>
      <c r="M439" s="10" t="s">
        <v>21</v>
      </c>
      <c r="N439" s="10" t="s">
        <v>23</v>
      </c>
      <c r="O439" s="11" t="s">
        <v>877</v>
      </c>
      <c r="P439" s="5"/>
      <c r="Q439" s="5"/>
      <c r="R439" s="5"/>
      <c r="S439" s="5"/>
      <c r="T439" s="5"/>
    </row>
    <row r="440" ht="15.75" customHeight="1">
      <c r="A440" s="6" t="str">
        <f t="shared" si="1"/>
        <v>kids valentines, 1639077044</v>
      </c>
      <c r="B440" s="7" t="s">
        <v>48</v>
      </c>
      <c r="C440" s="5"/>
      <c r="D440" s="5" t="s">
        <v>1455</v>
      </c>
      <c r="E440" s="5"/>
      <c r="F440" s="8">
        <v>1.639077044E9</v>
      </c>
      <c r="G440" s="9" t="str">
        <f>HYPERLINK("https://www.etsy.com/listing/1639077044", "link")</f>
        <v>link</v>
      </c>
      <c r="H440" s="9" t="str">
        <f>HYPERLINK("https://atlas.etsycorp.com/listing/1639077044/lookup", "link")</f>
        <v>link</v>
      </c>
      <c r="I440" s="5" t="s">
        <v>1456</v>
      </c>
      <c r="J440" s="5" t="s">
        <v>1457</v>
      </c>
      <c r="K440" s="5" t="s">
        <v>120</v>
      </c>
      <c r="L440" s="5" t="s">
        <v>20</v>
      </c>
      <c r="M440" s="10" t="s">
        <v>21</v>
      </c>
      <c r="N440" s="10" t="s">
        <v>23</v>
      </c>
      <c r="O440" s="11" t="s">
        <v>877</v>
      </c>
      <c r="P440" s="5"/>
      <c r="Q440" s="5"/>
      <c r="R440" s="5"/>
      <c r="S440" s="5"/>
      <c r="T440" s="5"/>
    </row>
    <row r="441" ht="15.75" customHeight="1">
      <c r="A441" s="6" t="str">
        <f t="shared" si="1"/>
        <v>custom carrier trays, 1658143860</v>
      </c>
      <c r="B441" s="7" t="s">
        <v>24</v>
      </c>
      <c r="C441" s="7" t="s">
        <v>1458</v>
      </c>
      <c r="D441" s="5" t="s">
        <v>1459</v>
      </c>
      <c r="E441" s="5"/>
      <c r="F441" s="8">
        <v>1.65814386E9</v>
      </c>
      <c r="G441" s="9" t="str">
        <f>HYPERLINK("https://www.etsy.com/listing/1658143860", "link")</f>
        <v>link</v>
      </c>
      <c r="H441" s="9" t="str">
        <f>HYPERLINK("https://atlas.etsycorp.com/listing/1658143860/lookup", "link")</f>
        <v>link</v>
      </c>
      <c r="I441" s="5" t="s">
        <v>1460</v>
      </c>
      <c r="J441" s="5" t="s">
        <v>1461</v>
      </c>
      <c r="K441" s="5" t="s">
        <v>19</v>
      </c>
      <c r="L441" s="5" t="s">
        <v>41</v>
      </c>
      <c r="M441" s="10" t="s">
        <v>21</v>
      </c>
      <c r="N441" s="10" t="s">
        <v>23</v>
      </c>
      <c r="O441" s="11" t="s">
        <v>877</v>
      </c>
      <c r="P441" s="5"/>
      <c r="Q441" s="5"/>
      <c r="R441" s="5"/>
      <c r="S441" s="5"/>
      <c r="T441" s="5"/>
    </row>
    <row r="442" ht="15.75" customHeight="1">
      <c r="A442" s="6" t="str">
        <f t="shared" si="1"/>
        <v>gift basket for women, 942708705</v>
      </c>
      <c r="B442" s="7" t="s">
        <v>15</v>
      </c>
      <c r="C442" s="5"/>
      <c r="D442" s="5" t="s">
        <v>1462</v>
      </c>
      <c r="E442" s="5"/>
      <c r="F442" s="8">
        <v>9.42708705E8</v>
      </c>
      <c r="G442" s="9" t="str">
        <f>HYPERLINK("https://www.etsy.com/listing/942708705", "link")</f>
        <v>link</v>
      </c>
      <c r="H442" s="9" t="str">
        <f>HYPERLINK("https://atlas.etsycorp.com/listing/942708705/lookup", "link")</f>
        <v>link</v>
      </c>
      <c r="I442" s="5" t="s">
        <v>1463</v>
      </c>
      <c r="J442" s="5" t="s">
        <v>1464</v>
      </c>
      <c r="K442" s="5" t="s">
        <v>19</v>
      </c>
      <c r="L442" s="5" t="s">
        <v>41</v>
      </c>
      <c r="M442" s="10" t="s">
        <v>21</v>
      </c>
      <c r="N442" s="10" t="s">
        <v>23</v>
      </c>
      <c r="O442" s="11" t="s">
        <v>877</v>
      </c>
      <c r="P442" s="5"/>
      <c r="Q442" s="5"/>
      <c r="R442" s="5"/>
      <c r="S442" s="5"/>
      <c r="T442" s="5"/>
    </row>
    <row r="443" ht="15.75" customHeight="1">
      <c r="A443" s="6" t="str">
        <f t="shared" si="1"/>
        <v>hoja para pluma, 1504519820</v>
      </c>
      <c r="B443" s="7" t="s">
        <v>15</v>
      </c>
      <c r="C443" s="5"/>
      <c r="D443" s="5" t="s">
        <v>1465</v>
      </c>
      <c r="E443" s="5" t="s">
        <v>1466</v>
      </c>
      <c r="F443" s="8">
        <v>1.50451982E9</v>
      </c>
      <c r="G443" s="9" t="str">
        <f>HYPERLINK("https://www.etsy.com/listing/1504519820", "link")</f>
        <v>link</v>
      </c>
      <c r="H443" s="9" t="str">
        <f>HYPERLINK("https://atlas.etsycorp.com/listing/1504519820/lookup", "link")</f>
        <v>link</v>
      </c>
      <c r="I443" s="5" t="s">
        <v>1467</v>
      </c>
      <c r="J443" s="5" t="s">
        <v>1468</v>
      </c>
      <c r="K443" s="5" t="s">
        <v>29</v>
      </c>
      <c r="L443" s="5" t="s">
        <v>30</v>
      </c>
      <c r="M443" s="10" t="s">
        <v>21</v>
      </c>
      <c r="N443" s="10" t="s">
        <v>23</v>
      </c>
      <c r="O443" s="11" t="s">
        <v>877</v>
      </c>
      <c r="P443" s="5"/>
      <c r="Q443" s="5"/>
      <c r="R443" s="5"/>
      <c r="S443" s="5"/>
      <c r="T443" s="5"/>
    </row>
    <row r="444" ht="15.75" customHeight="1">
      <c r="A444" s="6" t="str">
        <f t="shared" si="1"/>
        <v>fun facts 1974 belgie, 1403457727</v>
      </c>
      <c r="B444" s="7" t="s">
        <v>24</v>
      </c>
      <c r="C444" s="7" t="s">
        <v>1469</v>
      </c>
      <c r="D444" s="5" t="s">
        <v>953</v>
      </c>
      <c r="E444" s="5" t="s">
        <v>954</v>
      </c>
      <c r="F444" s="8">
        <v>1.403457727E9</v>
      </c>
      <c r="G444" s="9" t="str">
        <f>HYPERLINK("https://www.etsy.com/listing/1403457727", "link")</f>
        <v>link</v>
      </c>
      <c r="H444" s="9" t="str">
        <f>HYPERLINK("https://atlas.etsycorp.com/listing/1403457727/lookup", "link")</f>
        <v>link</v>
      </c>
      <c r="I444" s="5" t="s">
        <v>1470</v>
      </c>
      <c r="J444" s="5" t="s">
        <v>956</v>
      </c>
      <c r="K444" s="5" t="s">
        <v>35</v>
      </c>
      <c r="L444" s="5" t="s">
        <v>36</v>
      </c>
      <c r="M444" s="10" t="s">
        <v>21</v>
      </c>
      <c r="N444" s="10" t="s">
        <v>23</v>
      </c>
      <c r="O444" s="11" t="s">
        <v>877</v>
      </c>
      <c r="P444" s="5"/>
      <c r="Q444" s="5"/>
      <c r="R444" s="5"/>
      <c r="S444" s="5"/>
      <c r="T444" s="5"/>
    </row>
    <row r="445" ht="15.75" customHeight="1">
      <c r="A445" s="6" t="str">
        <f t="shared" si="1"/>
        <v>couple gift, 1403034980</v>
      </c>
      <c r="B445" s="7" t="s">
        <v>15</v>
      </c>
      <c r="C445" s="5"/>
      <c r="D445" s="5" t="s">
        <v>1471</v>
      </c>
      <c r="E445" s="5"/>
      <c r="F445" s="8">
        <v>1.40303498E9</v>
      </c>
      <c r="G445" s="9" t="str">
        <f>HYPERLINK("https://www.etsy.com/listing/1403034980", "link")</f>
        <v>link</v>
      </c>
      <c r="H445" s="9" t="str">
        <f>HYPERLINK("https://atlas.etsycorp.com/listing/1403034980/lookup", "link")</f>
        <v>link</v>
      </c>
      <c r="I445" s="5" t="s">
        <v>1472</v>
      </c>
      <c r="J445" s="5" t="s">
        <v>1473</v>
      </c>
      <c r="K445" s="5" t="s">
        <v>120</v>
      </c>
      <c r="L445" s="5" t="s">
        <v>20</v>
      </c>
      <c r="M445" s="10" t="s">
        <v>21</v>
      </c>
      <c r="N445" s="10" t="s">
        <v>23</v>
      </c>
      <c r="O445" s="11" t="s">
        <v>877</v>
      </c>
      <c r="P445" s="5"/>
      <c r="Q445" s="5"/>
      <c r="R445" s="5"/>
      <c r="S445" s="5"/>
      <c r="T445" s="5"/>
    </row>
    <row r="446" ht="15.75" customHeight="1">
      <c r="A446" s="6" t="str">
        <f t="shared" si="1"/>
        <v>monedas de fantasia, 1140114156</v>
      </c>
      <c r="B446" s="7" t="s">
        <v>15</v>
      </c>
      <c r="C446" s="5"/>
      <c r="D446" s="5" t="s">
        <v>274</v>
      </c>
      <c r="E446" s="5" t="s">
        <v>275</v>
      </c>
      <c r="F446" s="8">
        <v>1.140114156E9</v>
      </c>
      <c r="G446" s="9" t="str">
        <f>HYPERLINK("https://www.etsy.com/listing/1140114156", "link")</f>
        <v>link</v>
      </c>
      <c r="H446" s="9" t="str">
        <f>HYPERLINK("https://atlas.etsycorp.com/listing/1140114156/lookup", "link")</f>
        <v>link</v>
      </c>
      <c r="I446" s="5" t="s">
        <v>1474</v>
      </c>
      <c r="J446" s="5" t="s">
        <v>277</v>
      </c>
      <c r="K446" s="5" t="s">
        <v>29</v>
      </c>
      <c r="L446" s="5" t="s">
        <v>30</v>
      </c>
      <c r="M446" s="10" t="s">
        <v>21</v>
      </c>
      <c r="N446" s="10" t="s">
        <v>23</v>
      </c>
      <c r="O446" s="11" t="s">
        <v>877</v>
      </c>
      <c r="P446" s="5"/>
      <c r="Q446" s="5"/>
      <c r="R446" s="5"/>
      <c r="S446" s="5"/>
      <c r="T446" s="5"/>
    </row>
    <row r="447" ht="15.75" customHeight="1">
      <c r="A447" s="6" t="str">
        <f t="shared" si="1"/>
        <v>xaden riorson merch, 1572736179</v>
      </c>
      <c r="B447" s="7" t="s">
        <v>48</v>
      </c>
      <c r="C447" s="5"/>
      <c r="D447" s="5" t="s">
        <v>1475</v>
      </c>
      <c r="E447" s="5"/>
      <c r="F447" s="8">
        <v>1.572736179E9</v>
      </c>
      <c r="G447" s="9" t="str">
        <f>HYPERLINK("https://www.etsy.com/listing/1572736179", "link")</f>
        <v>link</v>
      </c>
      <c r="H447" s="9" t="str">
        <f>HYPERLINK("https://atlas.etsycorp.com/listing/1572736179/lookup", "link")</f>
        <v>link</v>
      </c>
      <c r="I447" s="5" t="s">
        <v>1476</v>
      </c>
      <c r="J447" s="5" t="s">
        <v>1477</v>
      </c>
      <c r="K447" s="5" t="s">
        <v>19</v>
      </c>
      <c r="L447" s="5" t="s">
        <v>20</v>
      </c>
      <c r="M447" s="10" t="s">
        <v>21</v>
      </c>
      <c r="N447" s="10" t="s">
        <v>23</v>
      </c>
      <c r="O447" s="11" t="s">
        <v>877</v>
      </c>
      <c r="P447" s="5"/>
      <c r="Q447" s="5"/>
      <c r="R447" s="5"/>
      <c r="S447" s="5"/>
      <c r="T447" s="5"/>
    </row>
    <row r="448" ht="15.75" customHeight="1">
      <c r="A448" s="6" t="str">
        <f t="shared" si="1"/>
        <v>aquarium statue, 1750607727</v>
      </c>
      <c r="B448" s="7" t="s">
        <v>15</v>
      </c>
      <c r="C448" s="5"/>
      <c r="D448" s="5" t="s">
        <v>1126</v>
      </c>
      <c r="E448" s="5" t="s">
        <v>1126</v>
      </c>
      <c r="F448" s="8">
        <v>1.750607727E9</v>
      </c>
      <c r="G448" s="9" t="str">
        <f>HYPERLINK("https://www.etsy.com/listing/1750607727", "link")</f>
        <v>link</v>
      </c>
      <c r="H448" s="9" t="str">
        <f>HYPERLINK("https://atlas.etsycorp.com/listing/1750607727/lookup", "link")</f>
        <v>link</v>
      </c>
      <c r="I448" s="5" t="s">
        <v>1478</v>
      </c>
      <c r="J448" s="5" t="s">
        <v>1128</v>
      </c>
      <c r="K448" s="5" t="s">
        <v>54</v>
      </c>
      <c r="L448" s="5" t="s">
        <v>55</v>
      </c>
      <c r="M448" s="10" t="s">
        <v>21</v>
      </c>
      <c r="N448" s="10" t="s">
        <v>23</v>
      </c>
      <c r="O448" s="11" t="s">
        <v>877</v>
      </c>
      <c r="P448" s="5"/>
      <c r="Q448" s="5"/>
      <c r="R448" s="5"/>
      <c r="S448" s="5"/>
      <c r="T448" s="5"/>
    </row>
    <row r="449" ht="15.75" customHeight="1">
      <c r="A449" s="6" t="str">
        <f t="shared" si="1"/>
        <v>toddler girl mississippi state shirt, 1463829423</v>
      </c>
      <c r="B449" s="7" t="s">
        <v>48</v>
      </c>
      <c r="C449" s="5"/>
      <c r="D449" s="5" t="s">
        <v>1479</v>
      </c>
      <c r="E449" s="5"/>
      <c r="F449" s="8">
        <v>1.463829423E9</v>
      </c>
      <c r="G449" s="9" t="str">
        <f>HYPERLINK("https://www.etsy.com/listing/1463829423", "link")</f>
        <v>link</v>
      </c>
      <c r="H449" s="9" t="str">
        <f>HYPERLINK("https://atlas.etsycorp.com/listing/1463829423/lookup", "link")</f>
        <v>link</v>
      </c>
      <c r="I449" s="5" t="s">
        <v>1480</v>
      </c>
      <c r="J449" s="5" t="s">
        <v>1481</v>
      </c>
      <c r="K449" s="5" t="s">
        <v>19</v>
      </c>
      <c r="L449" s="5" t="s">
        <v>73</v>
      </c>
      <c r="M449" s="10" t="s">
        <v>21</v>
      </c>
      <c r="N449" s="10" t="s">
        <v>23</v>
      </c>
      <c r="O449" s="11" t="s">
        <v>877</v>
      </c>
      <c r="P449" s="5"/>
      <c r="Q449" s="5"/>
      <c r="R449" s="5"/>
      <c r="S449" s="5"/>
      <c r="T449" s="5"/>
    </row>
    <row r="450" ht="15.75" customHeight="1">
      <c r="A450" s="6" t="str">
        <f t="shared" si="1"/>
        <v>hacienda bench, 1264012705</v>
      </c>
      <c r="B450" s="7" t="s">
        <v>48</v>
      </c>
      <c r="C450" s="5"/>
      <c r="D450" s="5" t="s">
        <v>1482</v>
      </c>
      <c r="E450" s="5"/>
      <c r="F450" s="8">
        <v>1.264012705E9</v>
      </c>
      <c r="G450" s="9" t="str">
        <f>HYPERLINK("https://www.etsy.com/listing/1264012705", "link")</f>
        <v>link</v>
      </c>
      <c r="H450" s="9" t="str">
        <f>HYPERLINK("https://atlas.etsycorp.com/listing/1264012705/lookup", "link")</f>
        <v>link</v>
      </c>
      <c r="I450" s="5" t="s">
        <v>1483</v>
      </c>
      <c r="J450" s="5" t="s">
        <v>1484</v>
      </c>
      <c r="K450" s="5" t="s">
        <v>19</v>
      </c>
      <c r="L450" s="5" t="s">
        <v>41</v>
      </c>
      <c r="M450" s="10" t="s">
        <v>21</v>
      </c>
      <c r="N450" s="10" t="s">
        <v>23</v>
      </c>
      <c r="O450" s="11" t="s">
        <v>877</v>
      </c>
      <c r="P450" s="5"/>
      <c r="Q450" s="5"/>
      <c r="R450" s="5"/>
      <c r="S450" s="5"/>
      <c r="T450" s="5"/>
    </row>
    <row r="451" ht="15.75" customHeight="1">
      <c r="A451" s="6" t="str">
        <f t="shared" si="1"/>
        <v>gifts for women, 807059249</v>
      </c>
      <c r="B451" s="7" t="s">
        <v>15</v>
      </c>
      <c r="C451" s="5"/>
      <c r="D451" s="5" t="s">
        <v>641</v>
      </c>
      <c r="E451" s="5" t="s">
        <v>641</v>
      </c>
      <c r="F451" s="8">
        <v>8.07059249E8</v>
      </c>
      <c r="G451" s="9" t="str">
        <f>HYPERLINK("https://www.etsy.com/listing/807059249", "link")</f>
        <v>link</v>
      </c>
      <c r="H451" s="9" t="str">
        <f>HYPERLINK("https://atlas.etsycorp.com/listing/807059249/lookup", "link")</f>
        <v>link</v>
      </c>
      <c r="I451" s="5" t="s">
        <v>1485</v>
      </c>
      <c r="J451" s="5" t="s">
        <v>1011</v>
      </c>
      <c r="K451" s="5" t="s">
        <v>54</v>
      </c>
      <c r="L451" s="5" t="s">
        <v>55</v>
      </c>
      <c r="M451" s="10" t="s">
        <v>21</v>
      </c>
      <c r="N451" s="10" t="s">
        <v>23</v>
      </c>
      <c r="O451" s="11" t="s">
        <v>877</v>
      </c>
      <c r="P451" s="5"/>
      <c r="Q451" s="5"/>
      <c r="R451" s="5"/>
      <c r="S451" s="5"/>
      <c r="T451" s="5"/>
    </row>
    <row r="452" ht="15.75" customHeight="1">
      <c r="A452" s="6" t="str">
        <f t="shared" si="1"/>
        <v>babyshower favors, 1560092581</v>
      </c>
      <c r="B452" s="7" t="s">
        <v>48</v>
      </c>
      <c r="C452" s="5"/>
      <c r="D452" s="5" t="s">
        <v>1486</v>
      </c>
      <c r="E452" s="5"/>
      <c r="F452" s="8">
        <v>1.560092581E9</v>
      </c>
      <c r="G452" s="9" t="str">
        <f>HYPERLINK("https://www.etsy.com/listing/1560092581", "link")</f>
        <v>link</v>
      </c>
      <c r="H452" s="9" t="str">
        <f>HYPERLINK("https://atlas.etsycorp.com/listing/1560092581/lookup", "link")</f>
        <v>link</v>
      </c>
      <c r="I452" s="5" t="s">
        <v>1487</v>
      </c>
      <c r="J452" s="5" t="s">
        <v>1488</v>
      </c>
      <c r="K452" s="5" t="s">
        <v>19</v>
      </c>
      <c r="L452" s="5" t="s">
        <v>20</v>
      </c>
      <c r="M452" s="10" t="s">
        <v>21</v>
      </c>
      <c r="N452" s="10" t="s">
        <v>23</v>
      </c>
      <c r="O452" s="11" t="s">
        <v>877</v>
      </c>
      <c r="P452" s="5"/>
      <c r="Q452" s="5"/>
      <c r="R452" s="5"/>
      <c r="S452" s="5"/>
      <c r="T452" s="5"/>
    </row>
    <row r="453" ht="15.75" customHeight="1">
      <c r="A453" s="6" t="str">
        <f t="shared" si="1"/>
        <v>CUERDA fujifilm xt5, 1223719954</v>
      </c>
      <c r="B453" s="7" t="s">
        <v>48</v>
      </c>
      <c r="C453" s="5"/>
      <c r="D453" s="5" t="s">
        <v>741</v>
      </c>
      <c r="E453" s="5" t="s">
        <v>742</v>
      </c>
      <c r="F453" s="8">
        <v>1.223719954E9</v>
      </c>
      <c r="G453" s="9" t="str">
        <f>HYPERLINK("https://www.etsy.com/listing/1223719954", "link")</f>
        <v>link</v>
      </c>
      <c r="H453" s="9" t="str">
        <f>HYPERLINK("https://atlas.etsycorp.com/listing/1223719954/lookup", "link")</f>
        <v>link</v>
      </c>
      <c r="I453" s="5" t="s">
        <v>1489</v>
      </c>
      <c r="J453" s="5" t="s">
        <v>744</v>
      </c>
      <c r="K453" s="5" t="s">
        <v>29</v>
      </c>
      <c r="L453" s="5" t="s">
        <v>30</v>
      </c>
      <c r="M453" s="10" t="s">
        <v>21</v>
      </c>
      <c r="N453" s="10" t="s">
        <v>23</v>
      </c>
      <c r="O453" s="11" t="s">
        <v>877</v>
      </c>
      <c r="P453" s="5"/>
      <c r="Q453" s="5"/>
      <c r="R453" s="5"/>
      <c r="S453" s="5"/>
      <c r="T453" s="5"/>
    </row>
    <row r="454" ht="15.75" customHeight="1">
      <c r="A454" s="6" t="str">
        <f t="shared" si="1"/>
        <v>patch cube, 939895529</v>
      </c>
      <c r="B454" s="7" t="s">
        <v>459</v>
      </c>
      <c r="C454" s="5"/>
      <c r="D454" s="5" t="s">
        <v>1490</v>
      </c>
      <c r="E454" s="5"/>
      <c r="F454" s="8">
        <v>9.39895529E8</v>
      </c>
      <c r="G454" s="9" t="str">
        <f>HYPERLINK("https://www.etsy.com/listing/939895529", "link")</f>
        <v>link</v>
      </c>
      <c r="H454" s="9" t="str">
        <f>HYPERLINK("https://atlas.etsycorp.com/listing/939895529/lookup", "link")</f>
        <v>link</v>
      </c>
      <c r="I454" s="5" t="s">
        <v>1491</v>
      </c>
      <c r="J454" s="5" t="s">
        <v>1492</v>
      </c>
      <c r="K454" s="5" t="s">
        <v>120</v>
      </c>
      <c r="L454" s="5" t="s">
        <v>41</v>
      </c>
      <c r="M454" s="10" t="s">
        <v>21</v>
      </c>
      <c r="N454" s="10" t="s">
        <v>23</v>
      </c>
      <c r="O454" s="11" t="s">
        <v>877</v>
      </c>
      <c r="P454" s="5"/>
      <c r="Q454" s="5"/>
      <c r="R454" s="5"/>
      <c r="S454" s="5"/>
      <c r="T454" s="5"/>
    </row>
    <row r="455" ht="15.75" customHeight="1">
      <c r="A455" s="6" t="str">
        <f t="shared" si="1"/>
        <v>giraffe blanket, 793878667</v>
      </c>
      <c r="B455" s="7" t="s">
        <v>15</v>
      </c>
      <c r="C455" s="5"/>
      <c r="D455" s="5" t="s">
        <v>1493</v>
      </c>
      <c r="E455" s="5"/>
      <c r="F455" s="8">
        <v>7.93878667E8</v>
      </c>
      <c r="G455" s="9" t="str">
        <f>HYPERLINK("https://www.etsy.com/listing/793878667", "link")</f>
        <v>link</v>
      </c>
      <c r="H455" s="9" t="str">
        <f>HYPERLINK("https://atlas.etsycorp.com/listing/793878667/lookup", "link")</f>
        <v>link</v>
      </c>
      <c r="I455" s="5" t="s">
        <v>1494</v>
      </c>
      <c r="J455" s="5" t="s">
        <v>1495</v>
      </c>
      <c r="K455" s="5" t="s">
        <v>19</v>
      </c>
      <c r="L455" s="5" t="s">
        <v>41</v>
      </c>
      <c r="M455" s="10" t="s">
        <v>21</v>
      </c>
      <c r="N455" s="10" t="s">
        <v>23</v>
      </c>
      <c r="O455" s="11" t="s">
        <v>877</v>
      </c>
      <c r="P455" s="5"/>
      <c r="Q455" s="5"/>
      <c r="R455" s="5"/>
      <c r="S455" s="5"/>
      <c r="T455" s="5"/>
    </row>
    <row r="456" ht="15.75" customHeight="1">
      <c r="A456" s="6" t="str">
        <f t="shared" si="1"/>
        <v>wedding heels, 1546148109</v>
      </c>
      <c r="B456" s="7" t="s">
        <v>15</v>
      </c>
      <c r="C456" s="5"/>
      <c r="D456" s="5" t="s">
        <v>1496</v>
      </c>
      <c r="E456" s="5"/>
      <c r="F456" s="8">
        <v>1.546148109E9</v>
      </c>
      <c r="G456" s="9" t="str">
        <f>HYPERLINK("https://www.etsy.com/listing/1546148109", "link")</f>
        <v>link</v>
      </c>
      <c r="H456" s="9" t="str">
        <f>HYPERLINK("https://atlas.etsycorp.com/listing/1546148109/lookup", "link")</f>
        <v>link</v>
      </c>
      <c r="I456" s="5" t="s">
        <v>1497</v>
      </c>
      <c r="J456" s="5" t="s">
        <v>1498</v>
      </c>
      <c r="K456" s="5" t="s">
        <v>19</v>
      </c>
      <c r="L456" s="5" t="s">
        <v>41</v>
      </c>
      <c r="M456" s="10" t="s">
        <v>21</v>
      </c>
      <c r="N456" s="10" t="s">
        <v>23</v>
      </c>
      <c r="O456" s="11" t="s">
        <v>877</v>
      </c>
      <c r="P456" s="5"/>
      <c r="Q456" s="5"/>
      <c r="R456" s="5"/>
      <c r="S456" s="5"/>
      <c r="T456" s="5"/>
    </row>
    <row r="457" ht="15.75" customHeight="1">
      <c r="A457" s="6" t="str">
        <f t="shared" si="1"/>
        <v>iinside my head, 1750825229</v>
      </c>
      <c r="B457" s="7" t="s">
        <v>15</v>
      </c>
      <c r="C457" s="5"/>
      <c r="D457" s="5" t="s">
        <v>1499</v>
      </c>
      <c r="E457" s="5" t="s">
        <v>1500</v>
      </c>
      <c r="F457" s="8">
        <v>1.750825229E9</v>
      </c>
      <c r="G457" s="9" t="str">
        <f>HYPERLINK("https://www.etsy.com/listing/1750825229", "link")</f>
        <v>link</v>
      </c>
      <c r="H457" s="9" t="str">
        <f>HYPERLINK("https://atlas.etsycorp.com/listing/1750825229/lookup", "link")</f>
        <v>link</v>
      </c>
      <c r="I457" s="5" t="s">
        <v>1501</v>
      </c>
      <c r="J457" s="5" t="s">
        <v>1502</v>
      </c>
      <c r="K457" s="5" t="s">
        <v>35</v>
      </c>
      <c r="L457" s="5" t="s">
        <v>36</v>
      </c>
      <c r="M457" s="10" t="s">
        <v>21</v>
      </c>
      <c r="N457" s="10" t="s">
        <v>23</v>
      </c>
      <c r="O457" s="11" t="s">
        <v>877</v>
      </c>
      <c r="P457" s="5"/>
      <c r="Q457" s="5"/>
      <c r="R457" s="5"/>
      <c r="S457" s="5"/>
      <c r="T457" s="5"/>
    </row>
    <row r="458" ht="15.75" customHeight="1">
      <c r="A458" s="6" t="str">
        <f t="shared" si="1"/>
        <v>ceramic ashtray, 1180639283</v>
      </c>
      <c r="B458" s="7" t="s">
        <v>15</v>
      </c>
      <c r="C458" s="5"/>
      <c r="D458" s="5" t="s">
        <v>1503</v>
      </c>
      <c r="E458" s="5"/>
      <c r="F458" s="8">
        <v>1.180639283E9</v>
      </c>
      <c r="G458" s="9" t="str">
        <f>HYPERLINK("https://www.etsy.com/listing/1180639283", "link")</f>
        <v>link</v>
      </c>
      <c r="H458" s="9" t="str">
        <f>HYPERLINK("https://atlas.etsycorp.com/listing/1180639283/lookup", "link")</f>
        <v>link</v>
      </c>
      <c r="I458" s="5" t="s">
        <v>1504</v>
      </c>
      <c r="J458" s="5" t="s">
        <v>1505</v>
      </c>
      <c r="K458" s="5" t="s">
        <v>120</v>
      </c>
      <c r="L458" s="5" t="s">
        <v>73</v>
      </c>
      <c r="M458" s="10" t="s">
        <v>21</v>
      </c>
      <c r="N458" s="10" t="s">
        <v>23</v>
      </c>
      <c r="O458" s="11" t="s">
        <v>877</v>
      </c>
      <c r="P458" s="5"/>
      <c r="Q458" s="5"/>
      <c r="R458" s="5"/>
      <c r="S458" s="5"/>
      <c r="T458" s="5"/>
    </row>
    <row r="459" ht="15.75" customHeight="1">
      <c r="A459" s="6" t="str">
        <f t="shared" si="1"/>
        <v>Custom womens clothing, 1342704525</v>
      </c>
      <c r="B459" s="7" t="s">
        <v>24</v>
      </c>
      <c r="C459" s="7" t="s">
        <v>1506</v>
      </c>
      <c r="D459" s="5" t="s">
        <v>512</v>
      </c>
      <c r="E459" s="5" t="s">
        <v>512</v>
      </c>
      <c r="F459" s="8">
        <v>1.342704525E9</v>
      </c>
      <c r="G459" s="9" t="str">
        <f>HYPERLINK("https://www.etsy.com/listing/1342704525", "link")</f>
        <v>link</v>
      </c>
      <c r="H459" s="9" t="str">
        <f>HYPERLINK("https://atlas.etsycorp.com/listing/1342704525/lookup", "link")</f>
        <v>link</v>
      </c>
      <c r="I459" s="5" t="s">
        <v>1507</v>
      </c>
      <c r="J459" s="5" t="s">
        <v>1508</v>
      </c>
      <c r="K459" s="5" t="s">
        <v>54</v>
      </c>
      <c r="L459" s="5" t="s">
        <v>55</v>
      </c>
      <c r="M459" s="10" t="s">
        <v>21</v>
      </c>
      <c r="N459" s="10" t="s">
        <v>23</v>
      </c>
      <c r="O459" s="11" t="s">
        <v>877</v>
      </c>
      <c r="P459" s="5"/>
      <c r="Q459" s="5"/>
      <c r="R459" s="5"/>
      <c r="S459" s="5"/>
      <c r="T459" s="5"/>
    </row>
    <row r="460" ht="15.75" customHeight="1">
      <c r="A460" s="6" t="str">
        <f t="shared" si="1"/>
        <v>framed kitchen art, 1452074922</v>
      </c>
      <c r="B460" s="7" t="s">
        <v>15</v>
      </c>
      <c r="C460" s="5"/>
      <c r="D460" s="5" t="s">
        <v>1509</v>
      </c>
      <c r="E460" s="5"/>
      <c r="F460" s="8">
        <v>1.452074922E9</v>
      </c>
      <c r="G460" s="9" t="str">
        <f>HYPERLINK("https://www.etsy.com/listing/1452074922", "link")</f>
        <v>link</v>
      </c>
      <c r="H460" s="9" t="str">
        <f>HYPERLINK("https://atlas.etsycorp.com/listing/1452074922/lookup", "link")</f>
        <v>link</v>
      </c>
      <c r="I460" s="5" t="s">
        <v>1510</v>
      </c>
      <c r="J460" s="5" t="s">
        <v>1511</v>
      </c>
      <c r="K460" s="5" t="s">
        <v>120</v>
      </c>
      <c r="L460" s="5" t="s">
        <v>73</v>
      </c>
      <c r="M460" s="10" t="s">
        <v>21</v>
      </c>
      <c r="N460" s="10" t="s">
        <v>23</v>
      </c>
      <c r="O460" s="11" t="s">
        <v>877</v>
      </c>
      <c r="P460" s="5"/>
      <c r="Q460" s="5"/>
      <c r="R460" s="5"/>
      <c r="S460" s="5"/>
      <c r="T460" s="5"/>
    </row>
    <row r="461" ht="15.75" customHeight="1">
      <c r="A461" s="6" t="str">
        <f t="shared" si="1"/>
        <v>wandbehang boho, 1110778954</v>
      </c>
      <c r="B461" s="7" t="s">
        <v>15</v>
      </c>
      <c r="C461" s="5"/>
      <c r="D461" s="5" t="s">
        <v>1512</v>
      </c>
      <c r="E461" s="5" t="s">
        <v>1513</v>
      </c>
      <c r="F461" s="8">
        <v>1.110778954E9</v>
      </c>
      <c r="G461" s="9" t="str">
        <f>HYPERLINK("https://www.etsy.com/listing/1110778954", "link")</f>
        <v>link</v>
      </c>
      <c r="H461" s="9" t="str">
        <f>HYPERLINK("https://atlas.etsycorp.com/listing/1110778954/lookup", "link")</f>
        <v>link</v>
      </c>
      <c r="I461" s="5" t="s">
        <v>1514</v>
      </c>
      <c r="J461" s="5" t="s">
        <v>1515</v>
      </c>
      <c r="K461" s="5" t="s">
        <v>46</v>
      </c>
      <c r="L461" s="5" t="s">
        <v>47</v>
      </c>
      <c r="M461" s="10" t="s">
        <v>21</v>
      </c>
      <c r="N461" s="10" t="s">
        <v>23</v>
      </c>
      <c r="O461" s="11" t="s">
        <v>877</v>
      </c>
      <c r="P461" s="5"/>
      <c r="Q461" s="5"/>
      <c r="R461" s="5"/>
      <c r="S461" s="5"/>
      <c r="T461" s="5"/>
    </row>
    <row r="462" ht="15.75" customHeight="1">
      <c r="A462" s="6" t="str">
        <f t="shared" si="1"/>
        <v>schriftzug mit Minifeder, 943985658</v>
      </c>
      <c r="B462" s="7" t="s">
        <v>24</v>
      </c>
      <c r="C462" s="7" t="s">
        <v>1516</v>
      </c>
      <c r="D462" s="5" t="s">
        <v>481</v>
      </c>
      <c r="E462" s="5" t="s">
        <v>482</v>
      </c>
      <c r="F462" s="8">
        <v>9.43985658E8</v>
      </c>
      <c r="G462" s="9" t="str">
        <f>HYPERLINK("https://www.etsy.com/listing/943985658", "link")</f>
        <v>link</v>
      </c>
      <c r="H462" s="9" t="str">
        <f>HYPERLINK("https://atlas.etsycorp.com/listing/943985658/lookup", "link")</f>
        <v>link</v>
      </c>
      <c r="I462" s="5" t="s">
        <v>1517</v>
      </c>
      <c r="J462" s="5" t="s">
        <v>484</v>
      </c>
      <c r="K462" s="5" t="s">
        <v>46</v>
      </c>
      <c r="L462" s="5" t="s">
        <v>47</v>
      </c>
      <c r="M462" s="10" t="s">
        <v>21</v>
      </c>
      <c r="N462" s="10" t="s">
        <v>23</v>
      </c>
      <c r="O462" s="11" t="s">
        <v>877</v>
      </c>
      <c r="P462" s="5"/>
      <c r="Q462" s="5"/>
      <c r="R462" s="5"/>
      <c r="S462" s="5"/>
      <c r="T462" s="5"/>
    </row>
    <row r="463" ht="15.75" customHeight="1">
      <c r="A463" s="6" t="str">
        <f t="shared" si="1"/>
        <v>green frog, 1219567860</v>
      </c>
      <c r="B463" s="7" t="s">
        <v>48</v>
      </c>
      <c r="C463" s="5"/>
      <c r="D463" s="5" t="s">
        <v>1518</v>
      </c>
      <c r="E463" s="5" t="s">
        <v>1518</v>
      </c>
      <c r="F463" s="8">
        <v>1.21956786E9</v>
      </c>
      <c r="G463" s="9" t="str">
        <f>HYPERLINK("https://www.etsy.com/listing/1219567860", "link")</f>
        <v>link</v>
      </c>
      <c r="H463" s="9" t="str">
        <f>HYPERLINK("https://atlas.etsycorp.com/listing/1219567860/lookup", "link")</f>
        <v>link</v>
      </c>
      <c r="I463" s="5" t="s">
        <v>1519</v>
      </c>
      <c r="J463" s="5" t="s">
        <v>1520</v>
      </c>
      <c r="K463" s="5" t="s">
        <v>229</v>
      </c>
      <c r="L463" s="5" t="s">
        <v>230</v>
      </c>
      <c r="M463" s="10" t="s">
        <v>21</v>
      </c>
      <c r="N463" s="10" t="s">
        <v>23</v>
      </c>
      <c r="O463" s="11" t="s">
        <v>877</v>
      </c>
      <c r="P463" s="5"/>
      <c r="Q463" s="5"/>
      <c r="R463" s="5"/>
      <c r="S463" s="5"/>
      <c r="T463" s="5"/>
    </row>
    <row r="464" ht="15.75" customHeight="1">
      <c r="A464" s="6" t="str">
        <f t="shared" si="1"/>
        <v>princess sweatsuit, 1661611037</v>
      </c>
      <c r="B464" s="7" t="s">
        <v>24</v>
      </c>
      <c r="C464" s="7" t="s">
        <v>971</v>
      </c>
      <c r="D464" s="5" t="s">
        <v>1521</v>
      </c>
      <c r="E464" s="5"/>
      <c r="F464" s="8">
        <v>1.661611037E9</v>
      </c>
      <c r="G464" s="9" t="str">
        <f>HYPERLINK("https://www.etsy.com/listing/1661611037", "link")</f>
        <v>link</v>
      </c>
      <c r="H464" s="9" t="str">
        <f>HYPERLINK("https://atlas.etsycorp.com/listing/1661611037/lookup", "link")</f>
        <v>link</v>
      </c>
      <c r="I464" s="5" t="s">
        <v>1522</v>
      </c>
      <c r="J464" s="5" t="s">
        <v>1523</v>
      </c>
      <c r="K464" s="5" t="s">
        <v>19</v>
      </c>
      <c r="L464" s="5" t="s">
        <v>41</v>
      </c>
      <c r="M464" s="10" t="s">
        <v>21</v>
      </c>
      <c r="N464" s="10" t="s">
        <v>23</v>
      </c>
      <c r="O464" s="11" t="s">
        <v>877</v>
      </c>
      <c r="P464" s="5"/>
      <c r="Q464" s="5"/>
      <c r="R464" s="5"/>
      <c r="S464" s="5"/>
      <c r="T464" s="5"/>
    </row>
    <row r="465" ht="15.75" customHeight="1">
      <c r="A465" s="6" t="str">
        <f t="shared" si="1"/>
        <v>boar school, 1726310822</v>
      </c>
      <c r="B465" s="7" t="s">
        <v>24</v>
      </c>
      <c r="C465" s="5"/>
      <c r="D465" s="5" t="s">
        <v>210</v>
      </c>
      <c r="E465" s="5" t="s">
        <v>210</v>
      </c>
      <c r="F465" s="8">
        <v>1.726310822E9</v>
      </c>
      <c r="G465" s="9" t="str">
        <f>HYPERLINK("https://www.etsy.com/listing/1726310822", "link")</f>
        <v>link</v>
      </c>
      <c r="H465" s="9" t="str">
        <f>HYPERLINK("https://atlas.etsycorp.com/listing/1726310822/lookup", "link")</f>
        <v>link</v>
      </c>
      <c r="I465" s="5" t="s">
        <v>1524</v>
      </c>
      <c r="J465" s="5" t="s">
        <v>212</v>
      </c>
      <c r="K465" s="5" t="s">
        <v>213</v>
      </c>
      <c r="L465" s="5" t="s">
        <v>214</v>
      </c>
      <c r="M465" s="10" t="s">
        <v>21</v>
      </c>
      <c r="N465" s="10" t="s">
        <v>23</v>
      </c>
      <c r="O465" s="11" t="s">
        <v>877</v>
      </c>
      <c r="P465" s="5"/>
      <c r="Q465" s="5"/>
      <c r="R465" s="5"/>
      <c r="S465" s="5"/>
      <c r="T465" s="5"/>
    </row>
    <row r="466" ht="15.75" customHeight="1">
      <c r="A466" s="6" t="str">
        <f t="shared" si="1"/>
        <v>abschiedsgeschenk kollegen, 1635369681</v>
      </c>
      <c r="B466" s="7" t="s">
        <v>15</v>
      </c>
      <c r="C466" s="5"/>
      <c r="D466" s="5" t="s">
        <v>1525</v>
      </c>
      <c r="E466" s="5" t="s">
        <v>1526</v>
      </c>
      <c r="F466" s="8">
        <v>1.635369681E9</v>
      </c>
      <c r="G466" s="9" t="str">
        <f>HYPERLINK("https://www.etsy.com/listing/1635369681", "link")</f>
        <v>link</v>
      </c>
      <c r="H466" s="9" t="str">
        <f>HYPERLINK("https://atlas.etsycorp.com/listing/1635369681/lookup", "link")</f>
        <v>link</v>
      </c>
      <c r="I466" s="5" t="s">
        <v>1527</v>
      </c>
      <c r="J466" s="5" t="s">
        <v>1528</v>
      </c>
      <c r="K466" s="5" t="s">
        <v>46</v>
      </c>
      <c r="L466" s="5" t="s">
        <v>47</v>
      </c>
      <c r="M466" s="10" t="s">
        <v>21</v>
      </c>
      <c r="N466" s="10" t="s">
        <v>23</v>
      </c>
      <c r="O466" s="11" t="s">
        <v>877</v>
      </c>
      <c r="P466" s="5"/>
      <c r="Q466" s="5"/>
      <c r="R466" s="5"/>
      <c r="S466" s="5"/>
      <c r="T466" s="5"/>
    </row>
    <row r="467" ht="15.75" customHeight="1">
      <c r="A467" s="6" t="str">
        <f t="shared" si="1"/>
        <v>aquarium statue, 1630546419</v>
      </c>
      <c r="B467" s="7" t="s">
        <v>15</v>
      </c>
      <c r="C467" s="5"/>
      <c r="D467" s="5" t="s">
        <v>1126</v>
      </c>
      <c r="E467" s="5" t="s">
        <v>1126</v>
      </c>
      <c r="F467" s="8">
        <v>1.630546419E9</v>
      </c>
      <c r="G467" s="9" t="str">
        <f>HYPERLINK("https://www.etsy.com/listing/1630546419", "link")</f>
        <v>link</v>
      </c>
      <c r="H467" s="9" t="str">
        <f>HYPERLINK("https://atlas.etsycorp.com/listing/1630546419/lookup", "link")</f>
        <v>link</v>
      </c>
      <c r="I467" s="5" t="s">
        <v>1529</v>
      </c>
      <c r="J467" s="5" t="s">
        <v>1128</v>
      </c>
      <c r="K467" s="5" t="s">
        <v>54</v>
      </c>
      <c r="L467" s="5" t="s">
        <v>55</v>
      </c>
      <c r="M467" s="10" t="s">
        <v>21</v>
      </c>
      <c r="N467" s="10" t="s">
        <v>23</v>
      </c>
      <c r="O467" s="11" t="s">
        <v>877</v>
      </c>
      <c r="P467" s="5"/>
      <c r="Q467" s="5"/>
      <c r="R467" s="5"/>
      <c r="S467" s="5"/>
      <c r="T467" s="5"/>
    </row>
    <row r="468" ht="15.75" customHeight="1">
      <c r="A468" s="6" t="str">
        <f t="shared" si="1"/>
        <v>bride to be gift, 1369810688</v>
      </c>
      <c r="B468" s="7" t="s">
        <v>24</v>
      </c>
      <c r="C468" s="7" t="s">
        <v>1530</v>
      </c>
      <c r="D468" s="5" t="s">
        <v>1531</v>
      </c>
      <c r="E468" s="5"/>
      <c r="F468" s="8">
        <v>1.369810688E9</v>
      </c>
      <c r="G468" s="9" t="str">
        <f>HYPERLINK("https://www.etsy.com/listing/1369810688", "link")</f>
        <v>link</v>
      </c>
      <c r="H468" s="9" t="str">
        <f>HYPERLINK("https://atlas.etsycorp.com/listing/1369810688/lookup", "link")</f>
        <v>link</v>
      </c>
      <c r="I468" s="5" t="s">
        <v>1532</v>
      </c>
      <c r="J468" s="5" t="s">
        <v>1533</v>
      </c>
      <c r="K468" s="5" t="s">
        <v>19</v>
      </c>
      <c r="L468" s="5" t="s">
        <v>100</v>
      </c>
      <c r="M468" s="10" t="s">
        <v>21</v>
      </c>
      <c r="N468" s="10" t="s">
        <v>23</v>
      </c>
      <c r="O468" s="11" t="s">
        <v>877</v>
      </c>
      <c r="P468" s="5"/>
      <c r="Q468" s="5"/>
      <c r="R468" s="5"/>
      <c r="S468" s="5"/>
      <c r="T468" s="5"/>
    </row>
    <row r="469" ht="15.75" customHeight="1">
      <c r="A469" s="6" t="str">
        <f t="shared" si="1"/>
        <v>segment ring chirugenstahm, 606457404</v>
      </c>
      <c r="B469" s="7" t="s">
        <v>15</v>
      </c>
      <c r="C469" s="5"/>
      <c r="D469" s="5" t="s">
        <v>1534</v>
      </c>
      <c r="E469" s="5" t="s">
        <v>1535</v>
      </c>
      <c r="F469" s="8">
        <v>6.06457404E8</v>
      </c>
      <c r="G469" s="9" t="str">
        <f>HYPERLINK("https://www.etsy.com/listing/606457404", "link")</f>
        <v>link</v>
      </c>
      <c r="H469" s="9" t="str">
        <f>HYPERLINK("https://atlas.etsycorp.com/listing/606457404/lookup", "link")</f>
        <v>link</v>
      </c>
      <c r="I469" s="5" t="s">
        <v>1536</v>
      </c>
      <c r="J469" s="5" t="s">
        <v>1537</v>
      </c>
      <c r="K469" s="5" t="s">
        <v>46</v>
      </c>
      <c r="L469" s="5" t="s">
        <v>47</v>
      </c>
      <c r="M469" s="10" t="s">
        <v>21</v>
      </c>
      <c r="N469" s="10" t="s">
        <v>23</v>
      </c>
      <c r="O469" s="11" t="s">
        <v>877</v>
      </c>
      <c r="P469" s="5"/>
      <c r="Q469" s="5"/>
      <c r="R469" s="5"/>
      <c r="S469" s="5"/>
      <c r="T469" s="5"/>
    </row>
    <row r="470" ht="15.75" customHeight="1">
      <c r="A470" s="6" t="str">
        <f t="shared" si="1"/>
        <v>teacher appreciation gift, 1640090703</v>
      </c>
      <c r="B470" s="7" t="s">
        <v>15</v>
      </c>
      <c r="C470" s="5"/>
      <c r="D470" s="5" t="s">
        <v>778</v>
      </c>
      <c r="E470" s="5" t="s">
        <v>778</v>
      </c>
      <c r="F470" s="8">
        <v>1.640090703E9</v>
      </c>
      <c r="G470" s="9" t="str">
        <f>HYPERLINK("https://www.etsy.com/listing/1640090703", "link")</f>
        <v>link</v>
      </c>
      <c r="H470" s="9" t="str">
        <f>HYPERLINK("https://atlas.etsycorp.com/listing/1640090703/lookup", "link")</f>
        <v>link</v>
      </c>
      <c r="I470" s="5" t="s">
        <v>1538</v>
      </c>
      <c r="J470" s="5" t="s">
        <v>780</v>
      </c>
      <c r="K470" s="5" t="s">
        <v>35</v>
      </c>
      <c r="L470" s="5" t="s">
        <v>36</v>
      </c>
      <c r="M470" s="10" t="s">
        <v>21</v>
      </c>
      <c r="N470" s="10" t="s">
        <v>23</v>
      </c>
      <c r="O470" s="11" t="s">
        <v>877</v>
      </c>
      <c r="P470" s="5"/>
      <c r="Q470" s="5"/>
      <c r="R470" s="5"/>
      <c r="S470" s="5"/>
      <c r="T470" s="5"/>
    </row>
    <row r="471" ht="15.75" customHeight="1">
      <c r="A471" s="6" t="str">
        <f t="shared" si="1"/>
        <v>dir en grey, 1724097533</v>
      </c>
      <c r="B471" s="7" t="s">
        <v>446</v>
      </c>
      <c r="C471" s="5"/>
      <c r="D471" s="5" t="s">
        <v>621</v>
      </c>
      <c r="E471" s="5" t="s">
        <v>622</v>
      </c>
      <c r="F471" s="8">
        <v>1.724097533E9</v>
      </c>
      <c r="G471" s="9" t="str">
        <f>HYPERLINK("https://www.etsy.com/listing/1724097533", "link")</f>
        <v>link</v>
      </c>
      <c r="H471" s="9" t="str">
        <f>HYPERLINK("https://atlas.etsycorp.com/listing/1724097533/lookup", "link")</f>
        <v>link</v>
      </c>
      <c r="I471" s="5" t="s">
        <v>1539</v>
      </c>
      <c r="J471" s="5" t="s">
        <v>624</v>
      </c>
      <c r="K471" s="5" t="s">
        <v>29</v>
      </c>
      <c r="L471" s="5" t="s">
        <v>30</v>
      </c>
      <c r="M471" s="10" t="s">
        <v>21</v>
      </c>
      <c r="N471" s="10" t="s">
        <v>23</v>
      </c>
      <c r="O471" s="11" t="s">
        <v>877</v>
      </c>
      <c r="P471" s="5"/>
      <c r="Q471" s="5"/>
      <c r="R471" s="5"/>
      <c r="S471" s="5"/>
      <c r="T471" s="5"/>
    </row>
    <row r="472" ht="15.75" customHeight="1">
      <c r="A472" s="6" t="str">
        <f t="shared" si="1"/>
        <v>tattoo teddy bear, 1188560832</v>
      </c>
      <c r="B472" s="7" t="s">
        <v>15</v>
      </c>
      <c r="C472" s="5"/>
      <c r="D472" s="5" t="s">
        <v>1540</v>
      </c>
      <c r="E472" s="5"/>
      <c r="F472" s="8">
        <v>1.188560832E9</v>
      </c>
      <c r="G472" s="9" t="str">
        <f>HYPERLINK("https://www.etsy.com/listing/1188560832", "link")</f>
        <v>link</v>
      </c>
      <c r="H472" s="9" t="str">
        <f>HYPERLINK("https://atlas.etsycorp.com/listing/1188560832/lookup", "link")</f>
        <v>link</v>
      </c>
      <c r="I472" s="5" t="s">
        <v>1541</v>
      </c>
      <c r="J472" s="5" t="s">
        <v>1542</v>
      </c>
      <c r="K472" s="5" t="s">
        <v>120</v>
      </c>
      <c r="L472" s="5" t="s">
        <v>41</v>
      </c>
      <c r="M472" s="10" t="s">
        <v>21</v>
      </c>
      <c r="N472" s="10" t="s">
        <v>23</v>
      </c>
      <c r="O472" s="11" t="s">
        <v>877</v>
      </c>
      <c r="P472" s="5"/>
      <c r="Q472" s="5"/>
      <c r="R472" s="5"/>
      <c r="S472" s="5"/>
      <c r="T472" s="5"/>
    </row>
    <row r="473" ht="15.75" customHeight="1">
      <c r="A473" s="6" t="str">
        <f t="shared" si="1"/>
        <v>mushroom bulk substrate, 1607779560</v>
      </c>
      <c r="B473" s="7" t="s">
        <v>15</v>
      </c>
      <c r="C473" s="5"/>
      <c r="D473" s="5" t="s">
        <v>1543</v>
      </c>
      <c r="E473" s="5"/>
      <c r="F473" s="8">
        <v>1.60777956E9</v>
      </c>
      <c r="G473" s="9" t="str">
        <f>HYPERLINK("https://www.etsy.com/listing/1607779560", "link")</f>
        <v>link</v>
      </c>
      <c r="H473" s="9" t="str">
        <f>HYPERLINK("https://atlas.etsycorp.com/listing/1607779560/lookup", "link")</f>
        <v>link</v>
      </c>
      <c r="I473" s="5" t="s">
        <v>1544</v>
      </c>
      <c r="J473" s="5" t="s">
        <v>1545</v>
      </c>
      <c r="K473" s="5" t="s">
        <v>120</v>
      </c>
      <c r="L473" s="5" t="s">
        <v>41</v>
      </c>
      <c r="M473" s="10" t="s">
        <v>21</v>
      </c>
      <c r="N473" s="10" t="s">
        <v>23</v>
      </c>
      <c r="O473" s="11" t="s">
        <v>877</v>
      </c>
      <c r="P473" s="5"/>
      <c r="Q473" s="5"/>
      <c r="R473" s="5"/>
      <c r="S473" s="5"/>
      <c r="T473" s="5"/>
    </row>
    <row r="474" ht="15.75" customHeight="1">
      <c r="A474" s="6" t="str">
        <f t="shared" si="1"/>
        <v>engagement rings, 860201208</v>
      </c>
      <c r="B474" s="7" t="s">
        <v>15</v>
      </c>
      <c r="C474" s="5"/>
      <c r="D474" s="5" t="s">
        <v>910</v>
      </c>
      <c r="E474" s="5" t="s">
        <v>910</v>
      </c>
      <c r="F474" s="8">
        <v>8.60201208E8</v>
      </c>
      <c r="G474" s="9" t="str">
        <f>HYPERLINK("https://www.etsy.com/listing/860201208", "link")</f>
        <v>link</v>
      </c>
      <c r="H474" s="9" t="str">
        <f>HYPERLINK("https://atlas.etsycorp.com/listing/860201208/lookup", "link")</f>
        <v>link</v>
      </c>
      <c r="I474" s="5" t="s">
        <v>1546</v>
      </c>
      <c r="J474" s="5" t="s">
        <v>912</v>
      </c>
      <c r="K474" s="5" t="s">
        <v>29</v>
      </c>
      <c r="L474" s="5" t="s">
        <v>30</v>
      </c>
      <c r="M474" s="10" t="s">
        <v>21</v>
      </c>
      <c r="N474" s="10" t="s">
        <v>23</v>
      </c>
      <c r="O474" s="11" t="s">
        <v>877</v>
      </c>
      <c r="P474" s="5"/>
      <c r="Q474" s="5"/>
      <c r="R474" s="5"/>
      <c r="S474" s="5"/>
      <c r="T474" s="5"/>
    </row>
    <row r="475" ht="15.75" customHeight="1">
      <c r="A475" s="6" t="str">
        <f t="shared" si="1"/>
        <v>movie prop kits, 1113736927</v>
      </c>
      <c r="B475" s="7" t="s">
        <v>15</v>
      </c>
      <c r="C475" s="5"/>
      <c r="D475" s="5" t="s">
        <v>1547</v>
      </c>
      <c r="E475" s="5"/>
      <c r="F475" s="8">
        <v>1.113736927E9</v>
      </c>
      <c r="G475" s="9" t="str">
        <f>HYPERLINK("https://www.etsy.com/listing/1113736927", "link")</f>
        <v>link</v>
      </c>
      <c r="H475" s="9" t="str">
        <f>HYPERLINK("https://atlas.etsycorp.com/listing/1113736927/lookup", "link")</f>
        <v>link</v>
      </c>
      <c r="I475" s="5" t="s">
        <v>1548</v>
      </c>
      <c r="J475" s="5" t="s">
        <v>1549</v>
      </c>
      <c r="K475" s="5" t="s">
        <v>120</v>
      </c>
      <c r="L475" s="5" t="s">
        <v>41</v>
      </c>
      <c r="M475" s="10" t="s">
        <v>21</v>
      </c>
      <c r="N475" s="10" t="s">
        <v>23</v>
      </c>
      <c r="O475" s="11" t="s">
        <v>877</v>
      </c>
      <c r="P475" s="5"/>
      <c r="Q475" s="5"/>
      <c r="R475" s="5"/>
      <c r="S475" s="5"/>
      <c r="T475" s="5"/>
    </row>
    <row r="476" ht="15.75" customHeight="1">
      <c r="A476" s="6" t="str">
        <f t="shared" si="1"/>
        <v>thank you gift, 1183730103</v>
      </c>
      <c r="B476" s="7" t="s">
        <v>15</v>
      </c>
      <c r="C476" s="5"/>
      <c r="D476" s="5" t="s">
        <v>1550</v>
      </c>
      <c r="E476" s="5"/>
      <c r="F476" s="8">
        <v>1.183730103E9</v>
      </c>
      <c r="G476" s="9" t="str">
        <f>HYPERLINK("https://www.etsy.com/listing/1183730103", "link")</f>
        <v>link</v>
      </c>
      <c r="H476" s="9" t="str">
        <f>HYPERLINK("https://atlas.etsycorp.com/listing/1183730103/lookup", "link")</f>
        <v>link</v>
      </c>
      <c r="I476" s="5" t="s">
        <v>1551</v>
      </c>
      <c r="J476" s="5" t="s">
        <v>1552</v>
      </c>
      <c r="K476" s="5" t="s">
        <v>19</v>
      </c>
      <c r="L476" s="5" t="s">
        <v>20</v>
      </c>
      <c r="M476" s="10" t="s">
        <v>21</v>
      </c>
      <c r="N476" s="10" t="s">
        <v>23</v>
      </c>
      <c r="O476" s="11" t="s">
        <v>877</v>
      </c>
      <c r="P476" s="5"/>
      <c r="Q476" s="5"/>
      <c r="R476" s="5"/>
      <c r="S476" s="5"/>
      <c r="T476" s="5"/>
    </row>
    <row r="477" ht="15.75" customHeight="1">
      <c r="A477" s="6" t="str">
        <f t="shared" si="1"/>
        <v>blondie, 1277764281</v>
      </c>
      <c r="B477" s="7" t="s">
        <v>15</v>
      </c>
      <c r="C477" s="5"/>
      <c r="D477" s="5" t="s">
        <v>1553</v>
      </c>
      <c r="E477" s="5" t="s">
        <v>1553</v>
      </c>
      <c r="F477" s="8">
        <v>1.277764281E9</v>
      </c>
      <c r="G477" s="9" t="str">
        <f>HYPERLINK("https://www.etsy.com/listing/1277764281", "link")</f>
        <v>link</v>
      </c>
      <c r="H477" s="9" t="str">
        <f>HYPERLINK("https://atlas.etsycorp.com/listing/1277764281/lookup", "link")</f>
        <v>link</v>
      </c>
      <c r="I477" s="5" t="s">
        <v>1554</v>
      </c>
      <c r="J477" s="5" t="s">
        <v>1555</v>
      </c>
      <c r="K477" s="5" t="s">
        <v>35</v>
      </c>
      <c r="L477" s="5" t="s">
        <v>36</v>
      </c>
      <c r="M477" s="10" t="s">
        <v>21</v>
      </c>
      <c r="N477" s="10" t="s">
        <v>23</v>
      </c>
      <c r="O477" s="11" t="s">
        <v>877</v>
      </c>
      <c r="P477" s="5"/>
      <c r="Q477" s="5"/>
      <c r="R477" s="5"/>
      <c r="S477" s="5"/>
      <c r="T477" s="5"/>
    </row>
    <row r="478" ht="15.75" customHeight="1">
      <c r="A478" s="6" t="str">
        <f t="shared" si="1"/>
        <v>ganci in gerro, 1429132272</v>
      </c>
      <c r="B478" s="7" t="s">
        <v>15</v>
      </c>
      <c r="C478" s="5"/>
      <c r="D478" s="5" t="s">
        <v>1556</v>
      </c>
      <c r="E478" s="5" t="s">
        <v>1557</v>
      </c>
      <c r="F478" s="8">
        <v>1.429132272E9</v>
      </c>
      <c r="G478" s="9" t="str">
        <f>HYPERLINK("https://www.etsy.com/listing/1429132272", "link")</f>
        <v>link</v>
      </c>
      <c r="H478" s="9" t="str">
        <f>HYPERLINK("https://atlas.etsycorp.com/listing/1429132272/lookup", "link")</f>
        <v>link</v>
      </c>
      <c r="I478" s="5" t="s">
        <v>1558</v>
      </c>
      <c r="J478" s="5" t="s">
        <v>1559</v>
      </c>
      <c r="K478" s="5" t="s">
        <v>80</v>
      </c>
      <c r="L478" s="5" t="s">
        <v>81</v>
      </c>
      <c r="M478" s="10" t="s">
        <v>21</v>
      </c>
      <c r="N478" s="10" t="s">
        <v>23</v>
      </c>
      <c r="O478" s="11" t="s">
        <v>877</v>
      </c>
      <c r="P478" s="5"/>
      <c r="Q478" s="5"/>
      <c r="R478" s="5"/>
      <c r="S478" s="5"/>
      <c r="T478" s="5"/>
    </row>
    <row r="479" ht="15.75" customHeight="1">
      <c r="A479" s="6" t="str">
        <f t="shared" si="1"/>
        <v>wickelauflage, 1443118966</v>
      </c>
      <c r="B479" s="7" t="s">
        <v>15</v>
      </c>
      <c r="C479" s="5"/>
      <c r="D479" s="5" t="s">
        <v>140</v>
      </c>
      <c r="E479" s="5" t="s">
        <v>141</v>
      </c>
      <c r="F479" s="8">
        <v>1.443118966E9</v>
      </c>
      <c r="G479" s="9" t="str">
        <f>HYPERLINK("https://www.etsy.com/listing/1443118966", "link")</f>
        <v>link</v>
      </c>
      <c r="H479" s="9" t="str">
        <f>HYPERLINK("https://atlas.etsycorp.com/listing/1443118966/lookup", "link")</f>
        <v>link</v>
      </c>
      <c r="I479" s="5" t="s">
        <v>1560</v>
      </c>
      <c r="J479" s="5" t="s">
        <v>143</v>
      </c>
      <c r="K479" s="5" t="s">
        <v>46</v>
      </c>
      <c r="L479" s="5" t="s">
        <v>47</v>
      </c>
      <c r="M479" s="10" t="s">
        <v>21</v>
      </c>
      <c r="N479" s="10" t="s">
        <v>23</v>
      </c>
      <c r="O479" s="11" t="s">
        <v>877</v>
      </c>
      <c r="P479" s="5"/>
      <c r="Q479" s="5"/>
      <c r="R479" s="5"/>
      <c r="S479" s="5"/>
      <c r="T479" s="5"/>
    </row>
    <row r="480" ht="15.75" customHeight="1">
      <c r="A480" s="6" t="str">
        <f t="shared" si="1"/>
        <v>womens pink design scrub cap, 1178933900</v>
      </c>
      <c r="B480" s="7" t="s">
        <v>15</v>
      </c>
      <c r="C480" s="5"/>
      <c r="D480" s="5" t="s">
        <v>1561</v>
      </c>
      <c r="E480" s="5"/>
      <c r="F480" s="8">
        <v>1.1789339E9</v>
      </c>
      <c r="G480" s="9" t="str">
        <f>HYPERLINK("https://www.etsy.com/listing/1178933900", "link")</f>
        <v>link</v>
      </c>
      <c r="H480" s="9" t="str">
        <f>HYPERLINK("https://atlas.etsycorp.com/listing/1178933900/lookup", "link")</f>
        <v>link</v>
      </c>
      <c r="I480" s="5" t="s">
        <v>1562</v>
      </c>
      <c r="J480" s="5" t="s">
        <v>1563</v>
      </c>
      <c r="K480" s="5" t="s">
        <v>19</v>
      </c>
      <c r="L480" s="5" t="s">
        <v>73</v>
      </c>
      <c r="M480" s="10" t="s">
        <v>21</v>
      </c>
      <c r="N480" s="10" t="s">
        <v>23</v>
      </c>
      <c r="O480" s="11" t="s">
        <v>877</v>
      </c>
      <c r="P480" s="5"/>
      <c r="Q480" s="5"/>
      <c r="R480" s="5"/>
      <c r="S480" s="5"/>
      <c r="T480" s="5"/>
    </row>
    <row r="481" ht="15.75" customHeight="1">
      <c r="A481" s="6" t="str">
        <f t="shared" si="1"/>
        <v>prénom bois, 1189955105</v>
      </c>
      <c r="B481" s="7" t="s">
        <v>48</v>
      </c>
      <c r="C481" s="5"/>
      <c r="D481" s="5" t="s">
        <v>853</v>
      </c>
      <c r="E481" s="5" t="s">
        <v>854</v>
      </c>
      <c r="F481" s="8">
        <v>1.189955105E9</v>
      </c>
      <c r="G481" s="9" t="str">
        <f>HYPERLINK("https://www.etsy.com/listing/1189955105", "link")</f>
        <v>link</v>
      </c>
      <c r="H481" s="9" t="str">
        <f>HYPERLINK("https://atlas.etsycorp.com/listing/1189955105/lookup", "link")</f>
        <v>link</v>
      </c>
      <c r="I481" s="5" t="s">
        <v>1564</v>
      </c>
      <c r="J481" s="5" t="s">
        <v>856</v>
      </c>
      <c r="K481" s="5" t="s">
        <v>54</v>
      </c>
      <c r="L481" s="5" t="s">
        <v>55</v>
      </c>
      <c r="M481" s="10" t="s">
        <v>21</v>
      </c>
      <c r="N481" s="10" t="s">
        <v>23</v>
      </c>
      <c r="O481" s="11" t="s">
        <v>877</v>
      </c>
      <c r="P481" s="5"/>
      <c r="Q481" s="5"/>
      <c r="R481" s="5"/>
      <c r="S481" s="5"/>
      <c r="T481" s="5"/>
    </row>
    <row r="482" ht="15.75" customHeight="1">
      <c r="A482" s="6" t="str">
        <f t="shared" si="1"/>
        <v>gift bag and bow, 1030033926</v>
      </c>
      <c r="B482" s="7" t="s">
        <v>48</v>
      </c>
      <c r="C482" s="5"/>
      <c r="D482" s="5" t="s">
        <v>1565</v>
      </c>
      <c r="E482" s="5"/>
      <c r="F482" s="8">
        <v>1.030033926E9</v>
      </c>
      <c r="G482" s="9" t="str">
        <f>HYPERLINK("https://www.etsy.com/listing/1030033926", "link")</f>
        <v>link</v>
      </c>
      <c r="H482" s="9" t="str">
        <f>HYPERLINK("https://atlas.etsycorp.com/listing/1030033926/lookup", "link")</f>
        <v>link</v>
      </c>
      <c r="I482" s="5" t="s">
        <v>1566</v>
      </c>
      <c r="J482" s="5" t="s">
        <v>1567</v>
      </c>
      <c r="K482" s="5" t="s">
        <v>120</v>
      </c>
      <c r="L482" s="5" t="s">
        <v>100</v>
      </c>
      <c r="M482" s="10" t="s">
        <v>21</v>
      </c>
      <c r="N482" s="10" t="s">
        <v>23</v>
      </c>
      <c r="O482" s="11" t="s">
        <v>478</v>
      </c>
      <c r="P482" s="5"/>
      <c r="Q482" s="5"/>
      <c r="R482" s="5"/>
      <c r="S482" s="5"/>
      <c r="T482" s="5"/>
    </row>
    <row r="483" ht="15.75" customHeight="1">
      <c r="A483" s="6" t="str">
        <f t="shared" si="1"/>
        <v>heavy metal premium hoodies, 1581927653</v>
      </c>
      <c r="B483" s="7" t="s">
        <v>24</v>
      </c>
      <c r="C483" s="7" t="s">
        <v>1568</v>
      </c>
      <c r="D483" s="5" t="s">
        <v>1569</v>
      </c>
      <c r="E483" s="5"/>
      <c r="F483" s="8">
        <v>1.581927653E9</v>
      </c>
      <c r="G483" s="9" t="str">
        <f>HYPERLINK("https://www.etsy.com/listing/1581927653", "link")</f>
        <v>link</v>
      </c>
      <c r="H483" s="9" t="str">
        <f>HYPERLINK("https://atlas.etsycorp.com/listing/1581927653/lookup", "link")</f>
        <v>link</v>
      </c>
      <c r="I483" s="5" t="s">
        <v>1570</v>
      </c>
      <c r="J483" s="5" t="s">
        <v>1571</v>
      </c>
      <c r="K483" s="5" t="s">
        <v>19</v>
      </c>
      <c r="L483" s="5" t="s">
        <v>73</v>
      </c>
      <c r="M483" s="10" t="s">
        <v>21</v>
      </c>
      <c r="N483" s="10" t="s">
        <v>23</v>
      </c>
      <c r="O483" s="11" t="s">
        <v>478</v>
      </c>
      <c r="P483" s="5"/>
      <c r="Q483" s="5"/>
      <c r="R483" s="5"/>
      <c r="S483" s="5"/>
      <c r="T483" s="5"/>
    </row>
    <row r="484" ht="15.75" customHeight="1">
      <c r="A484" s="6" t="str">
        <f t="shared" si="1"/>
        <v>bomboniere nascita bimbo, 1492825268</v>
      </c>
      <c r="B484" s="7" t="s">
        <v>48</v>
      </c>
      <c r="C484" s="5"/>
      <c r="D484" s="5" t="s">
        <v>1572</v>
      </c>
      <c r="E484" s="5" t="s">
        <v>1573</v>
      </c>
      <c r="F484" s="8">
        <v>1.492825268E9</v>
      </c>
      <c r="G484" s="9" t="str">
        <f>HYPERLINK("https://www.etsy.com/listing/1492825268", "link")</f>
        <v>link</v>
      </c>
      <c r="H484" s="9" t="str">
        <f>HYPERLINK("https://atlas.etsycorp.com/listing/1492825268/lookup", "link")</f>
        <v>link</v>
      </c>
      <c r="I484" s="5" t="s">
        <v>1574</v>
      </c>
      <c r="J484" s="5" t="s">
        <v>1575</v>
      </c>
      <c r="K484" s="5" t="s">
        <v>80</v>
      </c>
      <c r="L484" s="5" t="s">
        <v>81</v>
      </c>
      <c r="M484" s="10" t="s">
        <v>21</v>
      </c>
      <c r="N484" s="10" t="s">
        <v>23</v>
      </c>
      <c r="O484" s="11" t="s">
        <v>478</v>
      </c>
      <c r="P484" s="5"/>
      <c r="Q484" s="5"/>
      <c r="R484" s="5"/>
      <c r="S484" s="5"/>
      <c r="T484" s="5"/>
    </row>
    <row r="485" ht="15.75" customHeight="1">
      <c r="A485" s="6" t="str">
        <f t="shared" si="1"/>
        <v>hoja para pluma, 1169363117</v>
      </c>
      <c r="B485" s="7" t="s">
        <v>48</v>
      </c>
      <c r="C485" s="5"/>
      <c r="D485" s="5" t="s">
        <v>1465</v>
      </c>
      <c r="E485" s="5" t="s">
        <v>1466</v>
      </c>
      <c r="F485" s="8">
        <v>1.169363117E9</v>
      </c>
      <c r="G485" s="9" t="str">
        <f>HYPERLINK("https://www.etsy.com/listing/1169363117", "link")</f>
        <v>link</v>
      </c>
      <c r="H485" s="9" t="str">
        <f>HYPERLINK("https://atlas.etsycorp.com/listing/1169363117/lookup", "link")</f>
        <v>link</v>
      </c>
      <c r="I485" s="5" t="s">
        <v>1576</v>
      </c>
      <c r="J485" s="5" t="s">
        <v>1468</v>
      </c>
      <c r="K485" s="5" t="s">
        <v>29</v>
      </c>
      <c r="L485" s="5" t="s">
        <v>30</v>
      </c>
      <c r="M485" s="10" t="s">
        <v>21</v>
      </c>
      <c r="N485" s="10" t="s">
        <v>23</v>
      </c>
      <c r="O485" s="11" t="s">
        <v>478</v>
      </c>
      <c r="P485" s="5"/>
      <c r="Q485" s="5"/>
      <c r="R485" s="5"/>
      <c r="S485" s="5"/>
      <c r="T485" s="5"/>
    </row>
    <row r="486" ht="15.75" customHeight="1">
      <c r="A486" s="6" t="str">
        <f t="shared" si="1"/>
        <v>freestyle libre 2, 1418980186</v>
      </c>
      <c r="B486" s="7" t="s">
        <v>15</v>
      </c>
      <c r="C486" s="5"/>
      <c r="D486" s="5" t="s">
        <v>783</v>
      </c>
      <c r="E486" s="5" t="s">
        <v>784</v>
      </c>
      <c r="F486" s="8">
        <v>1.418980186E9</v>
      </c>
      <c r="G486" s="9" t="str">
        <f>HYPERLINK("https://www.etsy.com/listing/1418980186", "link")</f>
        <v>link</v>
      </c>
      <c r="H486" s="9" t="str">
        <f>HYPERLINK("https://atlas.etsycorp.com/listing/1418980186/lookup", "link")</f>
        <v>link</v>
      </c>
      <c r="I486" s="5" t="s">
        <v>1577</v>
      </c>
      <c r="J486" s="5" t="s">
        <v>786</v>
      </c>
      <c r="K486" s="5" t="s">
        <v>80</v>
      </c>
      <c r="L486" s="5" t="s">
        <v>81</v>
      </c>
      <c r="M486" s="10" t="s">
        <v>21</v>
      </c>
      <c r="N486" s="10" t="s">
        <v>23</v>
      </c>
      <c r="O486" s="11" t="s">
        <v>478</v>
      </c>
      <c r="P486" s="5"/>
      <c r="Q486" s="5"/>
      <c r="R486" s="5"/>
      <c r="S486" s="5"/>
      <c r="T486" s="5"/>
    </row>
    <row r="487" ht="15.75" customHeight="1">
      <c r="A487" s="6" t="str">
        <f t="shared" si="1"/>
        <v>Gobog coins frame, 1552600651</v>
      </c>
      <c r="B487" s="7" t="s">
        <v>48</v>
      </c>
      <c r="C487" s="5"/>
      <c r="D487" s="5" t="s">
        <v>1578</v>
      </c>
      <c r="E487" s="5"/>
      <c r="F487" s="8">
        <v>1.552600651E9</v>
      </c>
      <c r="G487" s="9" t="str">
        <f>HYPERLINK("https://www.etsy.com/listing/1552600651", "link")</f>
        <v>link</v>
      </c>
      <c r="H487" s="9" t="str">
        <f>HYPERLINK("https://atlas.etsycorp.com/listing/1552600651/lookup", "link")</f>
        <v>link</v>
      </c>
      <c r="I487" s="5" t="s">
        <v>1579</v>
      </c>
      <c r="J487" s="5" t="s">
        <v>1580</v>
      </c>
      <c r="K487" s="5" t="s">
        <v>120</v>
      </c>
      <c r="L487" s="5" t="s">
        <v>73</v>
      </c>
      <c r="M487" s="10" t="s">
        <v>21</v>
      </c>
      <c r="N487" s="10" t="s">
        <v>23</v>
      </c>
      <c r="O487" s="11" t="s">
        <v>478</v>
      </c>
      <c r="P487" s="5"/>
      <c r="Q487" s="5"/>
      <c r="R487" s="5"/>
      <c r="S487" s="5"/>
      <c r="T487" s="5"/>
    </row>
    <row r="488" ht="15.75" customHeight="1">
      <c r="A488" s="6" t="str">
        <f t="shared" si="1"/>
        <v>taylor swift invisible string, 1642116084</v>
      </c>
      <c r="B488" s="7" t="s">
        <v>48</v>
      </c>
      <c r="C488" s="5"/>
      <c r="D488" s="5" t="s">
        <v>1581</v>
      </c>
      <c r="E488" s="5"/>
      <c r="F488" s="8">
        <v>1.642116084E9</v>
      </c>
      <c r="G488" s="9" t="str">
        <f>HYPERLINK("https://www.etsy.com/listing/1642116084", "link")</f>
        <v>link</v>
      </c>
      <c r="H488" s="9" t="str">
        <f>HYPERLINK("https://atlas.etsycorp.com/listing/1642116084/lookup", "link")</f>
        <v>link</v>
      </c>
      <c r="I488" s="5" t="s">
        <v>1582</v>
      </c>
      <c r="J488" s="5" t="s">
        <v>1583</v>
      </c>
      <c r="K488" s="5" t="s">
        <v>19</v>
      </c>
      <c r="L488" s="5" t="s">
        <v>73</v>
      </c>
      <c r="M488" s="10" t="s">
        <v>21</v>
      </c>
      <c r="N488" s="10" t="s">
        <v>23</v>
      </c>
      <c r="O488" s="11" t="s">
        <v>478</v>
      </c>
      <c r="P488" s="5"/>
      <c r="Q488" s="5"/>
      <c r="R488" s="5"/>
      <c r="S488" s="5"/>
      <c r="T488" s="5"/>
    </row>
    <row r="489" ht="15.75" customHeight="1">
      <c r="A489" s="6" t="str">
        <f t="shared" si="1"/>
        <v>Animal Jam spikes, 1013474569</v>
      </c>
      <c r="B489" s="7" t="s">
        <v>48</v>
      </c>
      <c r="C489" s="5"/>
      <c r="D489" s="5" t="s">
        <v>1584</v>
      </c>
      <c r="E489" s="5"/>
      <c r="F489" s="8">
        <v>1.013474569E9</v>
      </c>
      <c r="G489" s="9" t="str">
        <f>HYPERLINK("https://www.etsy.com/listing/1013474569", "link")</f>
        <v>link</v>
      </c>
      <c r="H489" s="9" t="str">
        <f>HYPERLINK("https://atlas.etsycorp.com/listing/1013474569/lookup", "link")</f>
        <v>link</v>
      </c>
      <c r="I489" s="5" t="s">
        <v>1585</v>
      </c>
      <c r="J489" s="5" t="s">
        <v>1586</v>
      </c>
      <c r="K489" s="5" t="s">
        <v>19</v>
      </c>
      <c r="L489" s="5" t="s">
        <v>41</v>
      </c>
      <c r="M489" s="10" t="s">
        <v>21</v>
      </c>
      <c r="N489" s="10" t="s">
        <v>23</v>
      </c>
      <c r="O489" s="11" t="s">
        <v>478</v>
      </c>
      <c r="P489" s="5"/>
      <c r="Q489" s="5"/>
      <c r="R489" s="5"/>
      <c r="S489" s="5"/>
      <c r="T489" s="5"/>
    </row>
    <row r="490" ht="15.75" customHeight="1">
      <c r="A490" s="6" t="str">
        <f t="shared" si="1"/>
        <v>costumized invitations of hello kitty, 1442702571</v>
      </c>
      <c r="B490" s="7" t="s">
        <v>24</v>
      </c>
      <c r="C490" s="7" t="s">
        <v>1587</v>
      </c>
      <c r="D490" s="5" t="s">
        <v>1588</v>
      </c>
      <c r="E490" s="5"/>
      <c r="F490" s="8">
        <v>1.442702571E9</v>
      </c>
      <c r="G490" s="9" t="str">
        <f>HYPERLINK("https://www.etsy.com/listing/1442702571", "link")</f>
        <v>link</v>
      </c>
      <c r="H490" s="9" t="str">
        <f>HYPERLINK("https://atlas.etsycorp.com/listing/1442702571/lookup", "link")</f>
        <v>link</v>
      </c>
      <c r="I490" s="5" t="s">
        <v>1589</v>
      </c>
      <c r="J490" s="5" t="s">
        <v>1590</v>
      </c>
      <c r="K490" s="5" t="s">
        <v>19</v>
      </c>
      <c r="L490" s="5" t="s">
        <v>73</v>
      </c>
      <c r="M490" s="10" t="s">
        <v>21</v>
      </c>
      <c r="N490" s="10" t="s">
        <v>23</v>
      </c>
      <c r="O490" s="11" t="s">
        <v>478</v>
      </c>
      <c r="P490" s="5"/>
      <c r="Q490" s="5"/>
      <c r="R490" s="5"/>
      <c r="S490" s="5"/>
      <c r="T490" s="5"/>
    </row>
    <row r="491" ht="15.75" customHeight="1">
      <c r="A491" s="6" t="str">
        <f t="shared" si="1"/>
        <v>dress pattern, 1530019034</v>
      </c>
      <c r="B491" s="7" t="s">
        <v>24</v>
      </c>
      <c r="C491" s="7" t="s">
        <v>1591</v>
      </c>
      <c r="D491" s="5" t="s">
        <v>1592</v>
      </c>
      <c r="E491" s="5"/>
      <c r="F491" s="8">
        <v>1.530019034E9</v>
      </c>
      <c r="G491" s="9" t="str">
        <f>HYPERLINK("https://www.etsy.com/listing/1530019034", "link")</f>
        <v>link</v>
      </c>
      <c r="H491" s="9" t="str">
        <f>HYPERLINK("https://atlas.etsycorp.com/listing/1530019034/lookup", "link")</f>
        <v>link</v>
      </c>
      <c r="I491" s="5" t="s">
        <v>1593</v>
      </c>
      <c r="J491" s="5" t="s">
        <v>1594</v>
      </c>
      <c r="K491" s="5" t="s">
        <v>19</v>
      </c>
      <c r="L491" s="5" t="s">
        <v>41</v>
      </c>
      <c r="M491" s="10" t="s">
        <v>21</v>
      </c>
      <c r="N491" s="10" t="s">
        <v>23</v>
      </c>
      <c r="O491" s="11" t="s">
        <v>478</v>
      </c>
      <c r="P491" s="5"/>
      <c r="Q491" s="5"/>
      <c r="R491" s="5"/>
      <c r="S491" s="5"/>
      <c r="T491" s="5"/>
    </row>
    <row r="492" ht="15.75" customHeight="1">
      <c r="A492" s="6" t="str">
        <f t="shared" si="1"/>
        <v>laptop stickers, 1333844251</v>
      </c>
      <c r="B492" s="7" t="s">
        <v>15</v>
      </c>
      <c r="C492" s="5"/>
      <c r="D492" s="5" t="s">
        <v>1595</v>
      </c>
      <c r="E492" s="5"/>
      <c r="F492" s="8">
        <v>1.333844251E9</v>
      </c>
      <c r="G492" s="9" t="str">
        <f>HYPERLINK("https://www.etsy.com/listing/1333844251", "link")</f>
        <v>link</v>
      </c>
      <c r="H492" s="9" t="str">
        <f>HYPERLINK("https://atlas.etsycorp.com/listing/1333844251/lookup", "link")</f>
        <v>link</v>
      </c>
      <c r="I492" s="5" t="s">
        <v>1596</v>
      </c>
      <c r="J492" s="5" t="s">
        <v>1597</v>
      </c>
      <c r="K492" s="5" t="s">
        <v>120</v>
      </c>
      <c r="L492" s="5" t="s">
        <v>41</v>
      </c>
      <c r="M492" s="10" t="s">
        <v>21</v>
      </c>
      <c r="N492" s="10" t="s">
        <v>23</v>
      </c>
      <c r="O492" s="11" t="s">
        <v>478</v>
      </c>
      <c r="P492" s="5"/>
      <c r="Q492" s="5"/>
      <c r="R492" s="5"/>
      <c r="S492" s="5"/>
      <c r="T492" s="5"/>
    </row>
    <row r="493" ht="15.75" customHeight="1">
      <c r="A493" s="6" t="str">
        <f t="shared" si="1"/>
        <v>dtf transfer, 1656622365</v>
      </c>
      <c r="B493" s="7" t="s">
        <v>48</v>
      </c>
      <c r="C493" s="5"/>
      <c r="D493" s="5" t="s">
        <v>1598</v>
      </c>
      <c r="E493" s="5"/>
      <c r="F493" s="8">
        <v>1.656622365E9</v>
      </c>
      <c r="G493" s="9" t="str">
        <f>HYPERLINK("https://www.etsy.com/listing/1656622365", "link")</f>
        <v>link</v>
      </c>
      <c r="H493" s="9" t="str">
        <f>HYPERLINK("https://atlas.etsycorp.com/listing/1656622365/lookup", "link")</f>
        <v>link</v>
      </c>
      <c r="I493" s="5" t="s">
        <v>1599</v>
      </c>
      <c r="J493" s="5" t="s">
        <v>1600</v>
      </c>
      <c r="K493" s="5" t="s">
        <v>19</v>
      </c>
      <c r="L493" s="5" t="s">
        <v>41</v>
      </c>
      <c r="M493" s="10" t="s">
        <v>21</v>
      </c>
      <c r="N493" s="10" t="s">
        <v>23</v>
      </c>
      <c r="O493" s="11" t="s">
        <v>478</v>
      </c>
      <c r="P493" s="5"/>
      <c r="Q493" s="5"/>
      <c r="R493" s="5"/>
      <c r="S493" s="5"/>
      <c r="T493" s="5"/>
    </row>
    <row r="494" ht="15.75" customHeight="1">
      <c r="A494" s="6" t="str">
        <f t="shared" si="1"/>
        <v>Daughter card, funny card for Daughter, thank you for being, 1416842655</v>
      </c>
      <c r="B494" s="7" t="s">
        <v>15</v>
      </c>
      <c r="C494" s="5"/>
      <c r="D494" s="5" t="s">
        <v>1601</v>
      </c>
      <c r="E494" s="5"/>
      <c r="F494" s="8">
        <v>1.416842655E9</v>
      </c>
      <c r="G494" s="9" t="str">
        <f>HYPERLINK("https://www.etsy.com/listing/1416842655", "link")</f>
        <v>link</v>
      </c>
      <c r="H494" s="9" t="str">
        <f>HYPERLINK("https://atlas.etsycorp.com/listing/1416842655/lookup", "link")</f>
        <v>link</v>
      </c>
      <c r="I494" s="5" t="s">
        <v>1602</v>
      </c>
      <c r="J494" s="5" t="s">
        <v>1603</v>
      </c>
      <c r="K494" s="5" t="s">
        <v>120</v>
      </c>
      <c r="L494" s="5" t="s">
        <v>100</v>
      </c>
      <c r="M494" s="10" t="s">
        <v>21</v>
      </c>
      <c r="N494" s="10" t="s">
        <v>23</v>
      </c>
      <c r="O494" s="11" t="s">
        <v>478</v>
      </c>
      <c r="P494" s="5"/>
      <c r="Q494" s="5"/>
      <c r="R494" s="5"/>
      <c r="S494" s="5"/>
      <c r="T494" s="5"/>
    </row>
    <row r="495" ht="15.75" customHeight="1">
      <c r="A495" s="6" t="str">
        <f t="shared" si="1"/>
        <v>david yarrow, 1427732391</v>
      </c>
      <c r="B495" s="7" t="s">
        <v>48</v>
      </c>
      <c r="C495" s="5"/>
      <c r="D495" s="5" t="s">
        <v>1604</v>
      </c>
      <c r="E495" s="5"/>
      <c r="F495" s="8">
        <v>1.427732391E9</v>
      </c>
      <c r="G495" s="9" t="str">
        <f>HYPERLINK("https://www.etsy.com/listing/1427732391", "link")</f>
        <v>link</v>
      </c>
      <c r="H495" s="9" t="str">
        <f>HYPERLINK("https://atlas.etsycorp.com/listing/1427732391/lookup", "link")</f>
        <v>link</v>
      </c>
      <c r="I495" s="5" t="s">
        <v>1605</v>
      </c>
      <c r="J495" s="5" t="s">
        <v>1606</v>
      </c>
      <c r="K495" s="5" t="s">
        <v>19</v>
      </c>
      <c r="L495" s="5" t="s">
        <v>20</v>
      </c>
      <c r="M495" s="10" t="s">
        <v>21</v>
      </c>
      <c r="N495" s="10" t="s">
        <v>23</v>
      </c>
      <c r="O495" s="11" t="s">
        <v>478</v>
      </c>
      <c r="P495" s="5"/>
      <c r="Q495" s="5"/>
      <c r="R495" s="5"/>
      <c r="S495" s="5"/>
      <c r="T495" s="5"/>
    </row>
    <row r="496" ht="15.75" customHeight="1">
      <c r="A496" s="6" t="str">
        <f t="shared" si="1"/>
        <v>Luxury Wedding Hamper/Personalised Wedding Frame/Pamper Hamper/Mr And Mrs Gift/Engagement/His and, 1659026554</v>
      </c>
      <c r="B496" s="7" t="s">
        <v>48</v>
      </c>
      <c r="C496" s="5"/>
      <c r="D496" s="5" t="s">
        <v>1607</v>
      </c>
      <c r="E496" s="5"/>
      <c r="F496" s="8">
        <v>1.659026554E9</v>
      </c>
      <c r="G496" s="9" t="str">
        <f>HYPERLINK("https://www.etsy.com/listing/1659026554", "link")</f>
        <v>link</v>
      </c>
      <c r="H496" s="9" t="str">
        <f>HYPERLINK("https://atlas.etsycorp.com/listing/1659026554/lookup", "link")</f>
        <v>link</v>
      </c>
      <c r="I496" s="5" t="s">
        <v>1608</v>
      </c>
      <c r="J496" s="5" t="s">
        <v>1609</v>
      </c>
      <c r="K496" s="5" t="s">
        <v>120</v>
      </c>
      <c r="L496" s="5" t="s">
        <v>73</v>
      </c>
      <c r="M496" s="10" t="s">
        <v>21</v>
      </c>
      <c r="N496" s="10" t="s">
        <v>23</v>
      </c>
      <c r="O496" s="11" t="s">
        <v>478</v>
      </c>
      <c r="P496" s="5"/>
      <c r="Q496" s="5"/>
      <c r="R496" s="5"/>
      <c r="S496" s="5"/>
      <c r="T496" s="5"/>
    </row>
    <row r="497" ht="15.75" customHeight="1">
      <c r="A497" s="6" t="str">
        <f t="shared" si="1"/>
        <v>shogun warriors, 964353168</v>
      </c>
      <c r="B497" s="7" t="s">
        <v>48</v>
      </c>
      <c r="C497" s="5"/>
      <c r="D497" s="5" t="s">
        <v>1610</v>
      </c>
      <c r="E497" s="5"/>
      <c r="F497" s="8">
        <v>9.64353168E8</v>
      </c>
      <c r="G497" s="9" t="str">
        <f>HYPERLINK("https://www.etsy.com/listing/964353168", "link")</f>
        <v>link</v>
      </c>
      <c r="H497" s="9" t="str">
        <f>HYPERLINK("https://atlas.etsycorp.com/listing/964353168/lookup", "link")</f>
        <v>link</v>
      </c>
      <c r="I497" s="5" t="s">
        <v>1611</v>
      </c>
      <c r="J497" s="5" t="s">
        <v>1612</v>
      </c>
      <c r="K497" s="5" t="s">
        <v>120</v>
      </c>
      <c r="L497" s="5" t="s">
        <v>20</v>
      </c>
      <c r="M497" s="10" t="s">
        <v>21</v>
      </c>
      <c r="N497" s="10" t="s">
        <v>23</v>
      </c>
      <c r="O497" s="11" t="s">
        <v>478</v>
      </c>
      <c r="P497" s="5"/>
      <c r="Q497" s="5"/>
      <c r="R497" s="5"/>
      <c r="S497" s="5"/>
      <c r="T497" s="5"/>
    </row>
    <row r="498" ht="15.75" customHeight="1">
      <c r="A498" s="6" t="str">
        <f t="shared" si="1"/>
        <v>camp painting, 1554448928</v>
      </c>
      <c r="B498" s="7" t="s">
        <v>48</v>
      </c>
      <c r="C498" s="5"/>
      <c r="D498" s="5" t="s">
        <v>1613</v>
      </c>
      <c r="E498" s="5"/>
      <c r="F498" s="8">
        <v>1.554448928E9</v>
      </c>
      <c r="G498" s="9" t="str">
        <f>HYPERLINK("https://www.etsy.com/listing/1554448928", "link")</f>
        <v>link</v>
      </c>
      <c r="H498" s="9" t="str">
        <f>HYPERLINK("https://atlas.etsycorp.com/listing/1554448928/lookup", "link")</f>
        <v>link</v>
      </c>
      <c r="I498" s="5" t="s">
        <v>1614</v>
      </c>
      <c r="J498" s="5" t="s">
        <v>1615</v>
      </c>
      <c r="K498" s="5" t="s">
        <v>19</v>
      </c>
      <c r="L498" s="5" t="s">
        <v>41</v>
      </c>
      <c r="M498" s="10" t="s">
        <v>21</v>
      </c>
      <c r="N498" s="10" t="s">
        <v>23</v>
      </c>
      <c r="O498" s="11" t="s">
        <v>478</v>
      </c>
      <c r="P498" s="5"/>
      <c r="Q498" s="5"/>
      <c r="R498" s="5"/>
      <c r="S498" s="5"/>
      <c r="T498" s="5"/>
    </row>
    <row r="499" ht="15.75" customHeight="1">
      <c r="A499" s="6" t="str">
        <f t="shared" si="1"/>
        <v>valentines for her, 792946874</v>
      </c>
      <c r="B499" s="7" t="s">
        <v>15</v>
      </c>
      <c r="C499" s="5"/>
      <c r="D499" s="5" t="s">
        <v>1616</v>
      </c>
      <c r="E499" s="5"/>
      <c r="F499" s="8">
        <v>7.92946874E8</v>
      </c>
      <c r="G499" s="9" t="str">
        <f>HYPERLINK("https://www.etsy.com/listing/792946874", "link")</f>
        <v>link</v>
      </c>
      <c r="H499" s="9" t="str">
        <f>HYPERLINK("https://atlas.etsycorp.com/listing/792946874/lookup", "link")</f>
        <v>link</v>
      </c>
      <c r="I499" s="5" t="s">
        <v>1617</v>
      </c>
      <c r="J499" s="5" t="s">
        <v>1618</v>
      </c>
      <c r="K499" s="5" t="s">
        <v>19</v>
      </c>
      <c r="L499" s="5" t="s">
        <v>100</v>
      </c>
      <c r="M499" s="10" t="s">
        <v>21</v>
      </c>
      <c r="N499" s="10" t="s">
        <v>23</v>
      </c>
      <c r="O499" s="11" t="s">
        <v>478</v>
      </c>
      <c r="P499" s="5"/>
      <c r="Q499" s="5"/>
      <c r="R499" s="5"/>
      <c r="S499" s="5"/>
      <c r="T499" s="5"/>
    </row>
    <row r="500" ht="15.75" customHeight="1">
      <c r="A500" s="6" t="str">
        <f t="shared" si="1"/>
        <v>bingo tumbler, 1539540515</v>
      </c>
      <c r="B500" s="7" t="s">
        <v>48</v>
      </c>
      <c r="C500" s="5"/>
      <c r="D500" s="5" t="s">
        <v>1619</v>
      </c>
      <c r="E500" s="5"/>
      <c r="F500" s="8">
        <v>1.539540515E9</v>
      </c>
      <c r="G500" s="9" t="str">
        <f>HYPERLINK("https://www.etsy.com/listing/1539540515", "link")</f>
        <v>link</v>
      </c>
      <c r="H500" s="9" t="str">
        <f>HYPERLINK("https://atlas.etsycorp.com/listing/1539540515/lookup", "link")</f>
        <v>link</v>
      </c>
      <c r="I500" s="5" t="s">
        <v>1620</v>
      </c>
      <c r="J500" s="5" t="s">
        <v>1621</v>
      </c>
      <c r="K500" s="5" t="s">
        <v>120</v>
      </c>
      <c r="L500" s="5" t="s">
        <v>41</v>
      </c>
      <c r="M500" s="10" t="s">
        <v>21</v>
      </c>
      <c r="N500" s="10" t="s">
        <v>23</v>
      </c>
      <c r="O500" s="11" t="s">
        <v>478</v>
      </c>
      <c r="P500" s="5"/>
      <c r="Q500" s="5"/>
      <c r="R500" s="5"/>
      <c r="S500" s="5"/>
      <c r="T500" s="5"/>
    </row>
    <row r="501" ht="15.75" customHeight="1">
      <c r="A501" s="6" t="str">
        <f t="shared" si="1"/>
        <v>sea life linocut, 1605037136</v>
      </c>
      <c r="B501" s="7" t="s">
        <v>48</v>
      </c>
      <c r="C501" s="5"/>
      <c r="D501" s="5" t="s">
        <v>1622</v>
      </c>
      <c r="E501" s="5"/>
      <c r="F501" s="8">
        <v>1.605037136E9</v>
      </c>
      <c r="G501" s="9" t="str">
        <f>HYPERLINK("https://www.etsy.com/listing/1605037136", "link")</f>
        <v>link</v>
      </c>
      <c r="H501" s="9" t="str">
        <f>HYPERLINK("https://atlas.etsycorp.com/listing/1605037136/lookup", "link")</f>
        <v>link</v>
      </c>
      <c r="I501" s="5" t="s">
        <v>1623</v>
      </c>
      <c r="J501" s="5" t="s">
        <v>1624</v>
      </c>
      <c r="K501" s="5" t="s">
        <v>19</v>
      </c>
      <c r="L501" s="5" t="s">
        <v>20</v>
      </c>
      <c r="M501" s="10" t="s">
        <v>21</v>
      </c>
      <c r="N501" s="10" t="s">
        <v>23</v>
      </c>
      <c r="O501" s="11" t="s">
        <v>478</v>
      </c>
      <c r="P501" s="5"/>
      <c r="Q501" s="5"/>
      <c r="R501" s="5"/>
      <c r="S501" s="5"/>
      <c r="T501" s="5"/>
    </row>
    <row r="502" ht="15.75" customHeight="1">
      <c r="A502" s="6" t="str">
        <f t="shared" si="1"/>
        <v>art canvas original, 1468404436</v>
      </c>
      <c r="B502" s="7" t="s">
        <v>15</v>
      </c>
      <c r="C502" s="5"/>
      <c r="D502" s="5" t="s">
        <v>1625</v>
      </c>
      <c r="E502" s="5"/>
      <c r="F502" s="8">
        <v>1.468404436E9</v>
      </c>
      <c r="G502" s="9" t="str">
        <f>HYPERLINK("https://www.etsy.com/listing/1468404436", "link")</f>
        <v>link</v>
      </c>
      <c r="H502" s="9" t="str">
        <f>HYPERLINK("https://atlas.etsycorp.com/listing/1468404436/lookup", "link")</f>
        <v>link</v>
      </c>
      <c r="I502" s="5" t="s">
        <v>1626</v>
      </c>
      <c r="J502" s="5" t="s">
        <v>1627</v>
      </c>
      <c r="K502" s="5" t="s">
        <v>120</v>
      </c>
      <c r="L502" s="5" t="s">
        <v>73</v>
      </c>
      <c r="M502" s="10" t="s">
        <v>21</v>
      </c>
      <c r="N502" s="10" t="s">
        <v>23</v>
      </c>
      <c r="O502" s="11" t="s">
        <v>478</v>
      </c>
      <c r="P502" s="5"/>
      <c r="Q502" s="5"/>
      <c r="R502" s="5"/>
      <c r="S502" s="5"/>
      <c r="T502" s="5"/>
    </row>
    <row r="503" ht="15.75" customHeight="1">
      <c r="A503" s="6" t="str">
        <f t="shared" si="1"/>
        <v>emballage tablette  papa, 1355994717</v>
      </c>
      <c r="B503" s="7" t="s">
        <v>48</v>
      </c>
      <c r="C503" s="5"/>
      <c r="D503" s="5" t="s">
        <v>424</v>
      </c>
      <c r="E503" s="5" t="s">
        <v>425</v>
      </c>
      <c r="F503" s="8">
        <v>1.355994717E9</v>
      </c>
      <c r="G503" s="9" t="str">
        <f>HYPERLINK("https://www.etsy.com/listing/1355994717", "link")</f>
        <v>link</v>
      </c>
      <c r="H503" s="9" t="str">
        <f>HYPERLINK("https://atlas.etsycorp.com/listing/1355994717/lookup", "link")</f>
        <v>link</v>
      </c>
      <c r="I503" s="5" t="s">
        <v>1628</v>
      </c>
      <c r="J503" s="5" t="s">
        <v>427</v>
      </c>
      <c r="K503" s="5" t="s">
        <v>54</v>
      </c>
      <c r="L503" s="5" t="s">
        <v>55</v>
      </c>
      <c r="M503" s="10" t="s">
        <v>21</v>
      </c>
      <c r="N503" s="10" t="s">
        <v>23</v>
      </c>
      <c r="O503" s="11" t="s">
        <v>478</v>
      </c>
      <c r="P503" s="5"/>
      <c r="Q503" s="5"/>
      <c r="R503" s="5"/>
      <c r="S503" s="5"/>
      <c r="T503" s="5"/>
    </row>
    <row r="504" ht="15.75" customHeight="1">
      <c r="A504" s="6" t="str">
        <f t="shared" si="1"/>
        <v>air bnb welcome book, 1068739082</v>
      </c>
      <c r="B504" s="7" t="s">
        <v>48</v>
      </c>
      <c r="C504" s="5"/>
      <c r="D504" s="5" t="s">
        <v>1629</v>
      </c>
      <c r="E504" s="5"/>
      <c r="F504" s="8">
        <v>1.068739082E9</v>
      </c>
      <c r="G504" s="9" t="str">
        <f>HYPERLINK("https://www.etsy.com/listing/1068739082", "link")</f>
        <v>link</v>
      </c>
      <c r="H504" s="9" t="str">
        <f>HYPERLINK("https://atlas.etsycorp.com/listing/1068739082/lookup", "link")</f>
        <v>link</v>
      </c>
      <c r="I504" s="5" t="s">
        <v>1630</v>
      </c>
      <c r="J504" s="5" t="s">
        <v>1631</v>
      </c>
      <c r="K504" s="5" t="s">
        <v>19</v>
      </c>
      <c r="L504" s="5" t="s">
        <v>41</v>
      </c>
      <c r="M504" s="10" t="s">
        <v>21</v>
      </c>
      <c r="N504" s="10" t="s">
        <v>23</v>
      </c>
      <c r="O504" s="11" t="s">
        <v>478</v>
      </c>
      <c r="P504" s="5"/>
      <c r="Q504" s="5"/>
      <c r="R504" s="5"/>
      <c r="S504" s="5"/>
      <c r="T504" s="5"/>
    </row>
    <row r="505" ht="15.75" customHeight="1">
      <c r="A505" s="6" t="str">
        <f t="shared" si="1"/>
        <v>margarita joyas, 1686197422</v>
      </c>
      <c r="B505" s="7" t="s">
        <v>24</v>
      </c>
      <c r="C505" s="5"/>
      <c r="D505" s="5" t="s">
        <v>1632</v>
      </c>
      <c r="E505" s="5" t="s">
        <v>1633</v>
      </c>
      <c r="F505" s="8">
        <v>1.686197422E9</v>
      </c>
      <c r="G505" s="9" t="str">
        <f>HYPERLINK("https://www.etsy.com/listing/1686197422", "link")</f>
        <v>link</v>
      </c>
      <c r="H505" s="9" t="str">
        <f>HYPERLINK("https://atlas.etsycorp.com/listing/1686197422/lookup", "link")</f>
        <v>link</v>
      </c>
      <c r="I505" s="5" t="s">
        <v>1634</v>
      </c>
      <c r="J505" s="5" t="s">
        <v>1635</v>
      </c>
      <c r="K505" s="5" t="s">
        <v>29</v>
      </c>
      <c r="L505" s="5" t="s">
        <v>30</v>
      </c>
      <c r="M505" s="10" t="s">
        <v>21</v>
      </c>
      <c r="N505" s="10" t="s">
        <v>23</v>
      </c>
      <c r="O505" s="11" t="s">
        <v>478</v>
      </c>
      <c r="P505" s="5"/>
      <c r="Q505" s="5"/>
      <c r="R505" s="5"/>
      <c r="S505" s="5"/>
      <c r="T505" s="5"/>
    </row>
    <row r="506" ht="15.75" customHeight="1">
      <c r="A506" s="6" t="str">
        <f t="shared" si="1"/>
        <v>kobiety  strój, 1497591697</v>
      </c>
      <c r="B506" s="7" t="s">
        <v>15</v>
      </c>
      <c r="C506" s="5"/>
      <c r="D506" s="5" t="s">
        <v>1636</v>
      </c>
      <c r="E506" s="5" t="s">
        <v>1637</v>
      </c>
      <c r="F506" s="8">
        <v>1.497591697E9</v>
      </c>
      <c r="G506" s="9" t="str">
        <f>HYPERLINK("https://www.etsy.com/listing/1497591697", "link")</f>
        <v>link</v>
      </c>
      <c r="H506" s="9" t="str">
        <f>HYPERLINK("https://atlas.etsycorp.com/listing/1497591697/lookup", "link")</f>
        <v>link</v>
      </c>
      <c r="I506" s="5" t="s">
        <v>1638</v>
      </c>
      <c r="J506" s="5" t="s">
        <v>1639</v>
      </c>
      <c r="K506" s="5" t="s">
        <v>213</v>
      </c>
      <c r="L506" s="5" t="s">
        <v>214</v>
      </c>
      <c r="M506" s="10" t="s">
        <v>21</v>
      </c>
      <c r="N506" s="10" t="s">
        <v>23</v>
      </c>
      <c r="O506" s="11" t="s">
        <v>478</v>
      </c>
      <c r="P506" s="5"/>
      <c r="Q506" s="5"/>
      <c r="R506" s="5"/>
      <c r="S506" s="5"/>
      <c r="T506" s="5"/>
    </row>
    <row r="507" ht="15.75" customHeight="1">
      <c r="A507" s="6" t="str">
        <f t="shared" si="1"/>
        <v>magic wand table numbers, 1493823270</v>
      </c>
      <c r="B507" s="7" t="s">
        <v>24</v>
      </c>
      <c r="C507" s="5"/>
      <c r="D507" s="5" t="s">
        <v>1640</v>
      </c>
      <c r="E507" s="5"/>
      <c r="F507" s="8">
        <v>1.49382327E9</v>
      </c>
      <c r="G507" s="9" t="str">
        <f>HYPERLINK("https://www.etsy.com/listing/1493823270", "link")</f>
        <v>link</v>
      </c>
      <c r="H507" s="9" t="str">
        <f>HYPERLINK("https://atlas.etsycorp.com/listing/1493823270/lookup", "link")</f>
        <v>link</v>
      </c>
      <c r="I507" s="5" t="s">
        <v>1641</v>
      </c>
      <c r="J507" s="5" t="s">
        <v>1642</v>
      </c>
      <c r="K507" s="5" t="s">
        <v>19</v>
      </c>
      <c r="L507" s="5" t="s">
        <v>41</v>
      </c>
      <c r="M507" s="10" t="s">
        <v>21</v>
      </c>
      <c r="N507" s="10" t="s">
        <v>23</v>
      </c>
      <c r="O507" s="11" t="s">
        <v>478</v>
      </c>
      <c r="P507" s="5"/>
      <c r="Q507" s="5"/>
      <c r="R507" s="5"/>
      <c r="S507" s="5"/>
      <c r="T507" s="5"/>
    </row>
    <row r="508" ht="15.75" customHeight="1">
      <c r="A508" s="6" t="str">
        <f t="shared" si="1"/>
        <v>back to college gift, 203749206</v>
      </c>
      <c r="B508" s="7" t="s">
        <v>15</v>
      </c>
      <c r="C508" s="5"/>
      <c r="D508" s="5" t="s">
        <v>1643</v>
      </c>
      <c r="E508" s="5" t="s">
        <v>1643</v>
      </c>
      <c r="F508" s="8">
        <v>2.03749206E8</v>
      </c>
      <c r="G508" s="9" t="str">
        <f>HYPERLINK("https://www.etsy.com/listing/203749206", "link")</f>
        <v>link</v>
      </c>
      <c r="H508" s="9" t="str">
        <f>HYPERLINK("https://atlas.etsycorp.com/listing/203749206/lookup", "link")</f>
        <v>link</v>
      </c>
      <c r="I508" s="5" t="s">
        <v>1644</v>
      </c>
      <c r="J508" s="5" t="s">
        <v>1645</v>
      </c>
      <c r="K508" s="5" t="s">
        <v>35</v>
      </c>
      <c r="L508" s="5" t="s">
        <v>36</v>
      </c>
      <c r="M508" s="10" t="s">
        <v>21</v>
      </c>
      <c r="N508" s="10" t="s">
        <v>23</v>
      </c>
      <c r="O508" s="11" t="s">
        <v>478</v>
      </c>
      <c r="P508" s="5"/>
      <c r="Q508" s="5"/>
      <c r="R508" s="5"/>
      <c r="S508" s="5"/>
      <c r="T508" s="5"/>
    </row>
    <row r="509" ht="15.75" customHeight="1">
      <c r="A509" s="6" t="str">
        <f t="shared" si="1"/>
        <v>greenlampkin yarn, 1492806690</v>
      </c>
      <c r="B509" s="7" t="s">
        <v>459</v>
      </c>
      <c r="C509" s="5"/>
      <c r="D509" s="5" t="s">
        <v>1646</v>
      </c>
      <c r="E509" s="5"/>
      <c r="F509" s="8">
        <v>1.49280669E9</v>
      </c>
      <c r="G509" s="9" t="str">
        <f>HYPERLINK("https://www.etsy.com/listing/1492806690", "link")</f>
        <v>link</v>
      </c>
      <c r="H509" s="9" t="str">
        <f>HYPERLINK("https://atlas.etsycorp.com/listing/1492806690/lookup", "link")</f>
        <v>link</v>
      </c>
      <c r="I509" s="5" t="s">
        <v>1647</v>
      </c>
      <c r="J509" s="5" t="s">
        <v>1648</v>
      </c>
      <c r="K509" s="5" t="s">
        <v>120</v>
      </c>
      <c r="L509" s="5" t="s">
        <v>73</v>
      </c>
      <c r="M509" s="10" t="s">
        <v>21</v>
      </c>
      <c r="N509" s="10" t="s">
        <v>23</v>
      </c>
      <c r="O509" s="11" t="s">
        <v>478</v>
      </c>
      <c r="P509" s="5"/>
      <c r="Q509" s="5"/>
      <c r="R509" s="5"/>
      <c r="S509" s="5"/>
      <c r="T509" s="5"/>
    </row>
    <row r="510" ht="15.75" customHeight="1">
      <c r="A510" s="6" t="str">
        <f t="shared" si="1"/>
        <v>iinside my head, 1465343578</v>
      </c>
      <c r="B510" s="7" t="s">
        <v>15</v>
      </c>
      <c r="C510" s="5"/>
      <c r="D510" s="5" t="s">
        <v>1499</v>
      </c>
      <c r="E510" s="5" t="s">
        <v>1500</v>
      </c>
      <c r="F510" s="8">
        <v>1.465343578E9</v>
      </c>
      <c r="G510" s="9" t="str">
        <f>HYPERLINK("https://www.etsy.com/listing/1465343578", "link")</f>
        <v>link</v>
      </c>
      <c r="H510" s="9" t="str">
        <f>HYPERLINK("https://atlas.etsycorp.com/listing/1465343578/lookup", "link")</f>
        <v>link</v>
      </c>
      <c r="I510" s="5" t="s">
        <v>1649</v>
      </c>
      <c r="J510" s="5" t="s">
        <v>1502</v>
      </c>
      <c r="K510" s="5" t="s">
        <v>35</v>
      </c>
      <c r="L510" s="5" t="s">
        <v>36</v>
      </c>
      <c r="M510" s="10" t="s">
        <v>21</v>
      </c>
      <c r="N510" s="10" t="s">
        <v>23</v>
      </c>
      <c r="O510" s="11" t="s">
        <v>478</v>
      </c>
      <c r="P510" s="5"/>
      <c r="Q510" s="5"/>
      <c r="R510" s="5"/>
      <c r="S510" s="5"/>
      <c r="T510" s="5"/>
    </row>
    <row r="511" ht="15.75" customHeight="1">
      <c r="A511" s="6" t="str">
        <f t="shared" si="1"/>
        <v>Personalized gift card envelopes, 637209202</v>
      </c>
      <c r="B511" s="7" t="s">
        <v>24</v>
      </c>
      <c r="C511" s="7" t="s">
        <v>1650</v>
      </c>
      <c r="D511" s="5" t="s">
        <v>1651</v>
      </c>
      <c r="E511" s="5"/>
      <c r="F511" s="8">
        <v>6.37209202E8</v>
      </c>
      <c r="G511" s="9" t="str">
        <f>HYPERLINK("https://www.etsy.com/listing/637209202", "link")</f>
        <v>link</v>
      </c>
      <c r="H511" s="9" t="str">
        <f>HYPERLINK("https://atlas.etsycorp.com/listing/637209202/lookup", "link")</f>
        <v>link</v>
      </c>
      <c r="I511" s="5" t="s">
        <v>1652</v>
      </c>
      <c r="J511" s="5" t="s">
        <v>1653</v>
      </c>
      <c r="K511" s="5" t="s">
        <v>19</v>
      </c>
      <c r="L511" s="5" t="s">
        <v>41</v>
      </c>
      <c r="M511" s="10" t="s">
        <v>21</v>
      </c>
      <c r="N511" s="10" t="s">
        <v>23</v>
      </c>
      <c r="O511" s="11" t="s">
        <v>478</v>
      </c>
      <c r="P511" s="5"/>
      <c r="Q511" s="5"/>
      <c r="R511" s="5"/>
      <c r="S511" s="5"/>
      <c r="T511" s="5"/>
    </row>
    <row r="512" ht="15.75" customHeight="1">
      <c r="A512" s="6" t="str">
        <f t="shared" si="1"/>
        <v>spirit island, 1351732682</v>
      </c>
      <c r="B512" s="7" t="s">
        <v>48</v>
      </c>
      <c r="C512" s="7" t="s">
        <v>1654</v>
      </c>
      <c r="D512" s="5" t="s">
        <v>1655</v>
      </c>
      <c r="E512" s="5" t="s">
        <v>1655</v>
      </c>
      <c r="F512" s="8">
        <v>1.351732682E9</v>
      </c>
      <c r="G512" s="9" t="str">
        <f>HYPERLINK("https://www.etsy.com/listing/1351732682", "link")</f>
        <v>link</v>
      </c>
      <c r="H512" s="9" t="str">
        <f>HYPERLINK("https://atlas.etsycorp.com/listing/1351732682/lookup", "link")</f>
        <v>link</v>
      </c>
      <c r="I512" s="5" t="s">
        <v>1656</v>
      </c>
      <c r="J512" s="5" t="s">
        <v>1657</v>
      </c>
      <c r="K512" s="5" t="s">
        <v>29</v>
      </c>
      <c r="L512" s="5" t="s">
        <v>30</v>
      </c>
      <c r="M512" s="10" t="s">
        <v>21</v>
      </c>
      <c r="N512" s="10" t="s">
        <v>23</v>
      </c>
      <c r="O512" s="11" t="s">
        <v>478</v>
      </c>
      <c r="P512" s="5"/>
      <c r="Q512" s="5"/>
      <c r="R512" s="5"/>
      <c r="S512" s="5"/>
      <c r="T512" s="5"/>
    </row>
    <row r="513" ht="15.75" customHeight="1">
      <c r="A513" s="6" t="str">
        <f t="shared" si="1"/>
        <v>pillow cases standard, 1611505885</v>
      </c>
      <c r="B513" s="7" t="s">
        <v>15</v>
      </c>
      <c r="C513" s="5"/>
      <c r="D513" s="5" t="s">
        <v>1658</v>
      </c>
      <c r="E513" s="5"/>
      <c r="F513" s="8">
        <v>1.611505885E9</v>
      </c>
      <c r="G513" s="9" t="str">
        <f>HYPERLINK("https://www.etsy.com/listing/1611505885", "link")</f>
        <v>link</v>
      </c>
      <c r="H513" s="9" t="str">
        <f>HYPERLINK("https://atlas.etsycorp.com/listing/1611505885/lookup", "link")</f>
        <v>link</v>
      </c>
      <c r="I513" s="5" t="s">
        <v>1659</v>
      </c>
      <c r="J513" s="5" t="s">
        <v>1660</v>
      </c>
      <c r="K513" s="5" t="s">
        <v>19</v>
      </c>
      <c r="L513" s="5" t="s">
        <v>41</v>
      </c>
      <c r="M513" s="10" t="s">
        <v>21</v>
      </c>
      <c r="N513" s="10" t="s">
        <v>23</v>
      </c>
      <c r="O513" s="11" t="s">
        <v>478</v>
      </c>
      <c r="P513" s="5"/>
      <c r="Q513" s="5"/>
      <c r="R513" s="5"/>
      <c r="S513" s="5"/>
      <c r="T513" s="5"/>
    </row>
    <row r="514" ht="15.75" customHeight="1">
      <c r="A514" s="6" t="str">
        <f t="shared" si="1"/>
        <v>rouge à levres sans titane, 568826244</v>
      </c>
      <c r="B514" s="7" t="s">
        <v>48</v>
      </c>
      <c r="C514" s="5"/>
      <c r="D514" s="5" t="s">
        <v>1661</v>
      </c>
      <c r="E514" s="5" t="s">
        <v>1662</v>
      </c>
      <c r="F514" s="8">
        <v>5.68826244E8</v>
      </c>
      <c r="G514" s="9" t="str">
        <f>HYPERLINK("https://www.etsy.com/listing/568826244", "link")</f>
        <v>link</v>
      </c>
      <c r="H514" s="9" t="str">
        <f>HYPERLINK("https://atlas.etsycorp.com/listing/568826244/lookup", "link")</f>
        <v>link</v>
      </c>
      <c r="I514" s="5" t="s">
        <v>1663</v>
      </c>
      <c r="J514" s="5" t="s">
        <v>1664</v>
      </c>
      <c r="K514" s="5" t="s">
        <v>54</v>
      </c>
      <c r="L514" s="5" t="s">
        <v>55</v>
      </c>
      <c r="M514" s="10" t="s">
        <v>21</v>
      </c>
      <c r="N514" s="10" t="s">
        <v>23</v>
      </c>
      <c r="O514" s="11" t="s">
        <v>478</v>
      </c>
      <c r="P514" s="5"/>
      <c r="Q514" s="5"/>
      <c r="R514" s="5"/>
      <c r="S514" s="5"/>
      <c r="T514" s="5"/>
    </row>
    <row r="515" ht="15.75" customHeight="1">
      <c r="A515" s="6" t="str">
        <f t="shared" si="1"/>
        <v>poltchageist, 696931768</v>
      </c>
      <c r="B515" s="7" t="s">
        <v>24</v>
      </c>
      <c r="C515" s="7" t="s">
        <v>1665</v>
      </c>
      <c r="D515" s="5" t="s">
        <v>1666</v>
      </c>
      <c r="E515" s="5"/>
      <c r="F515" s="8">
        <v>6.96931768E8</v>
      </c>
      <c r="G515" s="9" t="str">
        <f>HYPERLINK("https://www.etsy.com/listing/696931768", "link")</f>
        <v>link</v>
      </c>
      <c r="H515" s="9" t="str">
        <f>HYPERLINK("https://atlas.etsycorp.com/listing/696931768/lookup", "link")</f>
        <v>link</v>
      </c>
      <c r="I515" s="5" t="s">
        <v>1667</v>
      </c>
      <c r="J515" s="5" t="s">
        <v>1668</v>
      </c>
      <c r="K515" s="5" t="s">
        <v>19</v>
      </c>
      <c r="L515" s="5" t="s">
        <v>20</v>
      </c>
      <c r="M515" s="10" t="s">
        <v>21</v>
      </c>
      <c r="N515" s="10" t="s">
        <v>23</v>
      </c>
      <c r="O515" s="11" t="s">
        <v>478</v>
      </c>
      <c r="P515" s="5"/>
      <c r="Q515" s="5"/>
      <c r="R515" s="5"/>
      <c r="S515" s="5"/>
      <c r="T515" s="5"/>
    </row>
    <row r="516" ht="15.75" customHeight="1">
      <c r="A516" s="6" t="str">
        <f t="shared" si="1"/>
        <v>nurse hair clip, 865808492</v>
      </c>
      <c r="B516" s="7" t="s">
        <v>48</v>
      </c>
      <c r="C516" s="5"/>
      <c r="D516" s="5" t="s">
        <v>1669</v>
      </c>
      <c r="E516" s="5"/>
      <c r="F516" s="8">
        <v>8.65808492E8</v>
      </c>
      <c r="G516" s="9" t="str">
        <f>HYPERLINK("https://www.etsy.com/listing/865808492", "link")</f>
        <v>link</v>
      </c>
      <c r="H516" s="9" t="str">
        <f>HYPERLINK("https://atlas.etsycorp.com/listing/865808492/lookup", "link")</f>
        <v>link</v>
      </c>
      <c r="I516" s="5" t="s">
        <v>1670</v>
      </c>
      <c r="J516" s="5" t="s">
        <v>1671</v>
      </c>
      <c r="K516" s="5" t="s">
        <v>120</v>
      </c>
      <c r="L516" s="5" t="s">
        <v>41</v>
      </c>
      <c r="M516" s="10" t="s">
        <v>21</v>
      </c>
      <c r="N516" s="10" t="s">
        <v>23</v>
      </c>
      <c r="O516" s="11" t="s">
        <v>478</v>
      </c>
      <c r="P516" s="5"/>
      <c r="Q516" s="5"/>
      <c r="R516" s="5"/>
      <c r="S516" s="5"/>
      <c r="T516" s="5"/>
    </row>
    <row r="517" ht="15.75" customHeight="1">
      <c r="A517" s="6" t="str">
        <f t="shared" si="1"/>
        <v>echarpe triangle, 921803703</v>
      </c>
      <c r="B517" s="7" t="s">
        <v>15</v>
      </c>
      <c r="C517" s="5"/>
      <c r="D517" s="5" t="s">
        <v>406</v>
      </c>
      <c r="E517" s="5" t="s">
        <v>407</v>
      </c>
      <c r="F517" s="8">
        <v>9.21803703E8</v>
      </c>
      <c r="G517" s="9" t="str">
        <f>HYPERLINK("https://www.etsy.com/listing/921803703", "link")</f>
        <v>link</v>
      </c>
      <c r="H517" s="9" t="str">
        <f>HYPERLINK("https://atlas.etsycorp.com/listing/921803703/lookup", "link")</f>
        <v>link</v>
      </c>
      <c r="I517" s="5" t="s">
        <v>1672</v>
      </c>
      <c r="J517" s="5" t="s">
        <v>409</v>
      </c>
      <c r="K517" s="5" t="s">
        <v>54</v>
      </c>
      <c r="L517" s="5" t="s">
        <v>55</v>
      </c>
      <c r="M517" s="10" t="s">
        <v>21</v>
      </c>
      <c r="N517" s="10" t="s">
        <v>23</v>
      </c>
      <c r="O517" s="11" t="s">
        <v>478</v>
      </c>
      <c r="P517" s="5"/>
      <c r="Q517" s="5"/>
      <c r="R517" s="5"/>
      <c r="S517" s="5"/>
      <c r="T517" s="5"/>
    </row>
    <row r="518" ht="15.75" customHeight="1">
      <c r="A518" s="6" t="str">
        <f t="shared" si="1"/>
        <v>bikini aheer pantie, 1192411803</v>
      </c>
      <c r="B518" s="7" t="s">
        <v>15</v>
      </c>
      <c r="C518" s="5"/>
      <c r="D518" s="5" t="s">
        <v>1673</v>
      </c>
      <c r="E518" s="5" t="s">
        <v>1674</v>
      </c>
      <c r="F518" s="8">
        <v>1.192411803E9</v>
      </c>
      <c r="G518" s="9" t="str">
        <f>HYPERLINK("https://www.etsy.com/listing/1192411803", "link")</f>
        <v>link</v>
      </c>
      <c r="H518" s="9" t="str">
        <f>HYPERLINK("https://atlas.etsycorp.com/listing/1192411803/lookup", "link")</f>
        <v>link</v>
      </c>
      <c r="I518" s="5" t="s">
        <v>1675</v>
      </c>
      <c r="J518" s="5" t="s">
        <v>1676</v>
      </c>
      <c r="K518" s="5" t="s">
        <v>229</v>
      </c>
      <c r="L518" s="5" t="s">
        <v>230</v>
      </c>
      <c r="M518" s="10" t="s">
        <v>21</v>
      </c>
      <c r="N518" s="10" t="s">
        <v>23</v>
      </c>
      <c r="O518" s="11" t="s">
        <v>478</v>
      </c>
      <c r="P518" s="5"/>
      <c r="Q518" s="5"/>
      <c r="R518" s="5"/>
      <c r="S518" s="5"/>
      <c r="T518" s="5"/>
    </row>
    <row r="519" ht="15.75" customHeight="1">
      <c r="A519" s="6" t="str">
        <f t="shared" si="1"/>
        <v>little lamb raleigh tricycle sticker, 1322550064</v>
      </c>
      <c r="B519" s="7" t="s">
        <v>15</v>
      </c>
      <c r="C519" s="5"/>
      <c r="D519" s="5" t="s">
        <v>1677</v>
      </c>
      <c r="E519" s="5"/>
      <c r="F519" s="8">
        <v>1.322550064E9</v>
      </c>
      <c r="G519" s="9" t="str">
        <f>HYPERLINK("https://www.etsy.com/listing/1322550064", "link")</f>
        <v>link</v>
      </c>
      <c r="H519" s="9" t="str">
        <f>HYPERLINK("https://atlas.etsycorp.com/listing/1322550064/lookup", "link")</f>
        <v>link</v>
      </c>
      <c r="I519" s="5" t="s">
        <v>1678</v>
      </c>
      <c r="J519" s="5" t="s">
        <v>1679</v>
      </c>
      <c r="K519" s="5" t="s">
        <v>120</v>
      </c>
      <c r="L519" s="5" t="s">
        <v>73</v>
      </c>
      <c r="M519" s="10" t="s">
        <v>21</v>
      </c>
      <c r="N519" s="10" t="s">
        <v>23</v>
      </c>
      <c r="O519" s="11" t="s">
        <v>478</v>
      </c>
      <c r="P519" s="5"/>
      <c r="Q519" s="5"/>
      <c r="R519" s="5"/>
      <c r="S519" s="5"/>
      <c r="T519" s="5"/>
    </row>
    <row r="520" ht="15.75" customHeight="1">
      <c r="A520" s="6" t="str">
        <f t="shared" si="1"/>
        <v>yellow plant pot, 1031313829</v>
      </c>
      <c r="B520" s="7" t="s">
        <v>15</v>
      </c>
      <c r="C520" s="5"/>
      <c r="D520" s="5" t="s">
        <v>1680</v>
      </c>
      <c r="E520" s="5"/>
      <c r="F520" s="8">
        <v>1.031313829E9</v>
      </c>
      <c r="G520" s="9" t="str">
        <f>HYPERLINK("https://www.etsy.com/listing/1031313829", "link")</f>
        <v>link</v>
      </c>
      <c r="H520" s="9" t="str">
        <f>HYPERLINK("https://atlas.etsycorp.com/listing/1031313829/lookup", "link")</f>
        <v>link</v>
      </c>
      <c r="I520" s="5" t="s">
        <v>1681</v>
      </c>
      <c r="J520" s="5" t="s">
        <v>1682</v>
      </c>
      <c r="K520" s="5" t="s">
        <v>120</v>
      </c>
      <c r="L520" s="5" t="s">
        <v>73</v>
      </c>
      <c r="M520" s="10" t="s">
        <v>21</v>
      </c>
      <c r="N520" s="10" t="s">
        <v>23</v>
      </c>
      <c r="O520" s="11" t="s">
        <v>478</v>
      </c>
      <c r="P520" s="5"/>
      <c r="Q520" s="5"/>
      <c r="R520" s="5"/>
      <c r="S520" s="5"/>
      <c r="T520" s="5"/>
    </row>
    <row r="521" ht="15.75" customHeight="1">
      <c r="A521" s="6" t="str">
        <f t="shared" si="1"/>
        <v>alec monopoly, 1538652664</v>
      </c>
      <c r="B521" s="7" t="s">
        <v>15</v>
      </c>
      <c r="C521" s="5"/>
      <c r="D521" s="5" t="s">
        <v>1683</v>
      </c>
      <c r="E521" s="5" t="s">
        <v>1683</v>
      </c>
      <c r="F521" s="8">
        <v>1.538652664E9</v>
      </c>
      <c r="G521" s="9" t="str">
        <f>HYPERLINK("https://www.etsy.com/listing/1538652664", "link")</f>
        <v>link</v>
      </c>
      <c r="H521" s="9" t="str">
        <f>HYPERLINK("https://atlas.etsycorp.com/listing/1538652664/lookup", "link")</f>
        <v>link</v>
      </c>
      <c r="I521" s="5" t="s">
        <v>1684</v>
      </c>
      <c r="J521" s="5" t="s">
        <v>1685</v>
      </c>
      <c r="K521" s="5" t="s">
        <v>35</v>
      </c>
      <c r="L521" s="5" t="s">
        <v>36</v>
      </c>
      <c r="M521" s="10" t="s">
        <v>21</v>
      </c>
      <c r="N521" s="10" t="s">
        <v>23</v>
      </c>
      <c r="O521" s="11" t="s">
        <v>478</v>
      </c>
      <c r="P521" s="5"/>
      <c r="Q521" s="5"/>
      <c r="R521" s="5"/>
      <c r="S521" s="5"/>
      <c r="T521" s="5"/>
    </row>
    <row r="522" ht="15.75" customHeight="1">
      <c r="A522" s="6" t="str">
        <f t="shared" si="1"/>
        <v>valentines canva, 1376880826</v>
      </c>
      <c r="B522" s="7" t="s">
        <v>15</v>
      </c>
      <c r="C522" s="5"/>
      <c r="D522" s="5" t="s">
        <v>1686</v>
      </c>
      <c r="E522" s="5"/>
      <c r="F522" s="8">
        <v>1.376880826E9</v>
      </c>
      <c r="G522" s="9" t="str">
        <f>HYPERLINK("https://www.etsy.com/listing/1376880826", "link")</f>
        <v>link</v>
      </c>
      <c r="H522" s="9" t="str">
        <f>HYPERLINK("https://atlas.etsycorp.com/listing/1376880826/lookup", "link")</f>
        <v>link</v>
      </c>
      <c r="I522" s="5" t="s">
        <v>1687</v>
      </c>
      <c r="J522" s="5" t="s">
        <v>1688</v>
      </c>
      <c r="K522" s="5" t="s">
        <v>120</v>
      </c>
      <c r="L522" s="5" t="s">
        <v>20</v>
      </c>
      <c r="M522" s="10" t="s">
        <v>21</v>
      </c>
      <c r="N522" s="10" t="s">
        <v>23</v>
      </c>
      <c r="O522" s="11" t="s">
        <v>478</v>
      </c>
      <c r="P522" s="5"/>
      <c r="Q522" s="5"/>
      <c r="R522" s="5"/>
      <c r="S522" s="5"/>
      <c r="T522" s="5"/>
    </row>
    <row r="523" ht="15.75" customHeight="1">
      <c r="A523" s="6" t="str">
        <f t="shared" si="1"/>
        <v>red black and silver party bags, 1622269956</v>
      </c>
      <c r="B523" s="7" t="s">
        <v>24</v>
      </c>
      <c r="C523" s="5"/>
      <c r="D523" s="5" t="s">
        <v>1689</v>
      </c>
      <c r="E523" s="5"/>
      <c r="F523" s="8">
        <v>1.622269956E9</v>
      </c>
      <c r="G523" s="9" t="str">
        <f>HYPERLINK("https://www.etsy.com/listing/1622269956", "link")</f>
        <v>link</v>
      </c>
      <c r="H523" s="9" t="str">
        <f>HYPERLINK("https://atlas.etsycorp.com/listing/1622269956/lookup", "link")</f>
        <v>link</v>
      </c>
      <c r="I523" s="5" t="s">
        <v>1690</v>
      </c>
      <c r="J523" s="5" t="s">
        <v>1691</v>
      </c>
      <c r="K523" s="5" t="s">
        <v>19</v>
      </c>
      <c r="L523" s="5" t="s">
        <v>73</v>
      </c>
      <c r="M523" s="10" t="s">
        <v>21</v>
      </c>
      <c r="N523" s="10" t="s">
        <v>23</v>
      </c>
      <c r="O523" s="11" t="s">
        <v>478</v>
      </c>
      <c r="P523" s="5"/>
      <c r="Q523" s="5"/>
      <c r="R523" s="5"/>
      <c r="S523" s="5"/>
      <c r="T523" s="5"/>
    </row>
    <row r="524" ht="15.75" customHeight="1">
      <c r="A524" s="6" t="str">
        <f t="shared" si="1"/>
        <v>custom portrait, 1551097100</v>
      </c>
      <c r="B524" s="7" t="s">
        <v>15</v>
      </c>
      <c r="C524" s="5"/>
      <c r="D524" s="5" t="s">
        <v>1692</v>
      </c>
      <c r="E524" s="5"/>
      <c r="F524" s="8">
        <v>1.5510971E9</v>
      </c>
      <c r="G524" s="9" t="str">
        <f>HYPERLINK("https://www.etsy.com/listing/1551097100", "link")</f>
        <v>link</v>
      </c>
      <c r="H524" s="9" t="str">
        <f>HYPERLINK("https://atlas.etsycorp.com/listing/1551097100/lookup", "link")</f>
        <v>link</v>
      </c>
      <c r="I524" s="5" t="s">
        <v>1693</v>
      </c>
      <c r="J524" s="5" t="s">
        <v>1694</v>
      </c>
      <c r="K524" s="5" t="s">
        <v>19</v>
      </c>
      <c r="L524" s="5" t="s">
        <v>41</v>
      </c>
      <c r="M524" s="10" t="s">
        <v>21</v>
      </c>
      <c r="N524" s="10" t="s">
        <v>23</v>
      </c>
      <c r="O524" s="11" t="s">
        <v>478</v>
      </c>
      <c r="P524" s="5"/>
      <c r="Q524" s="5"/>
      <c r="R524" s="5"/>
      <c r="S524" s="5"/>
      <c r="T524" s="5"/>
    </row>
    <row r="525" ht="15.75" customHeight="1">
      <c r="A525" s="6" t="str">
        <f t="shared" si="1"/>
        <v>blackstone asset management, 1614981616</v>
      </c>
      <c r="B525" s="7" t="s">
        <v>446</v>
      </c>
      <c r="C525" s="5"/>
      <c r="D525" s="5" t="s">
        <v>1695</v>
      </c>
      <c r="E525" s="5"/>
      <c r="F525" s="8">
        <v>1.614981616E9</v>
      </c>
      <c r="G525" s="9" t="str">
        <f>HYPERLINK("https://www.etsy.com/listing/1614981616", "link")</f>
        <v>link</v>
      </c>
      <c r="H525" s="9" t="str">
        <f>HYPERLINK("https://atlas.etsycorp.com/listing/1614981616/lookup", "link")</f>
        <v>link</v>
      </c>
      <c r="I525" s="5" t="s">
        <v>1696</v>
      </c>
      <c r="J525" s="5" t="s">
        <v>1697</v>
      </c>
      <c r="K525" s="5" t="s">
        <v>19</v>
      </c>
      <c r="L525" s="5" t="s">
        <v>20</v>
      </c>
      <c r="M525" s="10" t="s">
        <v>21</v>
      </c>
      <c r="N525" s="10" t="s">
        <v>23</v>
      </c>
      <c r="O525" s="11" t="s">
        <v>478</v>
      </c>
      <c r="P525" s="5"/>
      <c r="Q525" s="5"/>
      <c r="R525" s="5"/>
      <c r="S525" s="5"/>
      <c r="T525" s="5"/>
    </row>
    <row r="526" ht="15.75" customHeight="1">
      <c r="A526" s="6" t="str">
        <f t="shared" si="1"/>
        <v>10 euro cent, 1339715267</v>
      </c>
      <c r="B526" s="7" t="s">
        <v>24</v>
      </c>
      <c r="C526" s="5"/>
      <c r="D526" s="5" t="s">
        <v>1375</v>
      </c>
      <c r="E526" s="5" t="s">
        <v>1376</v>
      </c>
      <c r="F526" s="8">
        <v>1.339715267E9</v>
      </c>
      <c r="G526" s="9" t="str">
        <f>HYPERLINK("https://www.etsy.com/listing/1339715267", "link")</f>
        <v>link</v>
      </c>
      <c r="H526" s="9" t="str">
        <f>HYPERLINK("https://atlas.etsycorp.com/listing/1339715267/lookup", "link")</f>
        <v>link</v>
      </c>
      <c r="I526" s="5" t="s">
        <v>1698</v>
      </c>
      <c r="J526" s="5" t="s">
        <v>1378</v>
      </c>
      <c r="K526" s="5" t="s">
        <v>35</v>
      </c>
      <c r="L526" s="5" t="s">
        <v>36</v>
      </c>
      <c r="M526" s="10" t="s">
        <v>21</v>
      </c>
      <c r="N526" s="10" t="s">
        <v>23</v>
      </c>
      <c r="O526" s="11" t="s">
        <v>478</v>
      </c>
      <c r="P526" s="5"/>
      <c r="Q526" s="5"/>
      <c r="R526" s="5"/>
      <c r="S526" s="5"/>
      <c r="T526" s="5"/>
    </row>
    <row r="527" ht="15.75" customHeight="1">
      <c r="A527" s="6" t="str">
        <f t="shared" si="1"/>
        <v>matching bracelets, 1600900348</v>
      </c>
      <c r="B527" s="7" t="s">
        <v>15</v>
      </c>
      <c r="C527" s="5"/>
      <c r="D527" s="5" t="s">
        <v>1699</v>
      </c>
      <c r="E527" s="5"/>
      <c r="F527" s="8">
        <v>1.600900348E9</v>
      </c>
      <c r="G527" s="9" t="str">
        <f>HYPERLINK("https://www.etsy.com/listing/1600900348", "link")</f>
        <v>link</v>
      </c>
      <c r="H527" s="9" t="str">
        <f>HYPERLINK("https://atlas.etsycorp.com/listing/1600900348/lookup", "link")</f>
        <v>link</v>
      </c>
      <c r="I527" s="5" t="s">
        <v>1700</v>
      </c>
      <c r="J527" s="5" t="s">
        <v>1701</v>
      </c>
      <c r="K527" s="5" t="s">
        <v>120</v>
      </c>
      <c r="L527" s="5" t="s">
        <v>41</v>
      </c>
      <c r="M527" s="10" t="s">
        <v>21</v>
      </c>
      <c r="N527" s="10" t="s">
        <v>23</v>
      </c>
      <c r="O527" s="11" t="s">
        <v>478</v>
      </c>
      <c r="P527" s="5"/>
      <c r="Q527" s="5"/>
      <c r="R527" s="5"/>
      <c r="S527" s="5"/>
      <c r="T527" s="5"/>
    </row>
    <row r="528" ht="15.75" customHeight="1">
      <c r="A528" s="6" t="str">
        <f t="shared" si="1"/>
        <v>gifts for women, 177585338</v>
      </c>
      <c r="B528" s="7" t="s">
        <v>15</v>
      </c>
      <c r="C528" s="5"/>
      <c r="D528" s="5" t="s">
        <v>641</v>
      </c>
      <c r="E528" s="5"/>
      <c r="F528" s="8">
        <v>1.77585338E8</v>
      </c>
      <c r="G528" s="9" t="str">
        <f>HYPERLINK("https://www.etsy.com/listing/177585338", "link")</f>
        <v>link</v>
      </c>
      <c r="H528" s="9" t="str">
        <f>HYPERLINK("https://atlas.etsycorp.com/listing/177585338/lookup", "link")</f>
        <v>link</v>
      </c>
      <c r="I528" s="5" t="s">
        <v>1702</v>
      </c>
      <c r="J528" s="5" t="s">
        <v>1703</v>
      </c>
      <c r="K528" s="5" t="s">
        <v>120</v>
      </c>
      <c r="L528" s="5" t="s">
        <v>20</v>
      </c>
      <c r="M528" s="10" t="s">
        <v>21</v>
      </c>
      <c r="N528" s="10" t="s">
        <v>23</v>
      </c>
      <c r="O528" s="11" t="s">
        <v>478</v>
      </c>
      <c r="P528" s="5"/>
      <c r="Q528" s="5"/>
      <c r="R528" s="5"/>
      <c r="S528" s="5"/>
      <c r="T528" s="5"/>
    </row>
    <row r="529" ht="15.75" customHeight="1">
      <c r="A529" s="6" t="str">
        <f t="shared" si="1"/>
        <v>personalized jewelry, 1413250200</v>
      </c>
      <c r="B529" s="7" t="s">
        <v>15</v>
      </c>
      <c r="C529" s="5"/>
      <c r="D529" s="5" t="s">
        <v>1704</v>
      </c>
      <c r="E529" s="5"/>
      <c r="F529" s="8">
        <v>1.4132502E9</v>
      </c>
      <c r="G529" s="9" t="str">
        <f>HYPERLINK("https://www.etsy.com/listing/1413250200", "link")</f>
        <v>link</v>
      </c>
      <c r="H529" s="9" t="str">
        <f>HYPERLINK("https://atlas.etsycorp.com/listing/1413250200/lookup", "link")</f>
        <v>link</v>
      </c>
      <c r="I529" s="5" t="s">
        <v>1705</v>
      </c>
      <c r="J529" s="5" t="s">
        <v>1706</v>
      </c>
      <c r="K529" s="5" t="s">
        <v>19</v>
      </c>
      <c r="L529" s="5" t="s">
        <v>20</v>
      </c>
      <c r="M529" s="10" t="s">
        <v>21</v>
      </c>
      <c r="N529" s="10" t="s">
        <v>23</v>
      </c>
      <c r="O529" s="11" t="s">
        <v>478</v>
      </c>
      <c r="P529" s="5"/>
      <c r="Q529" s="5"/>
      <c r="R529" s="5"/>
      <c r="S529" s="5"/>
      <c r="T529" s="5"/>
    </row>
    <row r="530" ht="15.75" customHeight="1">
      <c r="A530" s="6" t="str">
        <f t="shared" si="1"/>
        <v>pantalon linl, 1707767612</v>
      </c>
      <c r="B530" s="7" t="s">
        <v>15</v>
      </c>
      <c r="C530" s="5"/>
      <c r="D530" s="5" t="s">
        <v>331</v>
      </c>
      <c r="E530" s="5" t="s">
        <v>332</v>
      </c>
      <c r="F530" s="8">
        <v>1.707767612E9</v>
      </c>
      <c r="G530" s="9" t="str">
        <f>HYPERLINK("https://www.etsy.com/listing/1707767612", "link")</f>
        <v>link</v>
      </c>
      <c r="H530" s="9" t="str">
        <f>HYPERLINK("https://atlas.etsycorp.com/listing/1707767612/lookup", "link")</f>
        <v>link</v>
      </c>
      <c r="I530" s="5" t="s">
        <v>1707</v>
      </c>
      <c r="J530" s="5" t="s">
        <v>334</v>
      </c>
      <c r="K530" s="5" t="s">
        <v>29</v>
      </c>
      <c r="L530" s="5" t="s">
        <v>30</v>
      </c>
      <c r="M530" s="10" t="s">
        <v>21</v>
      </c>
      <c r="N530" s="10" t="s">
        <v>23</v>
      </c>
      <c r="O530" s="11" t="s">
        <v>478</v>
      </c>
      <c r="P530" s="5"/>
      <c r="Q530" s="5"/>
      <c r="R530" s="5"/>
      <c r="S530" s="5"/>
      <c r="T530" s="5"/>
    </row>
    <row r="531" ht="15.75" customHeight="1">
      <c r="A531" s="6" t="str">
        <f t="shared" si="1"/>
        <v>whore, 798437411</v>
      </c>
      <c r="B531" s="7" t="s">
        <v>15</v>
      </c>
      <c r="C531" s="5"/>
      <c r="D531" s="5" t="s">
        <v>1708</v>
      </c>
      <c r="E531" s="5"/>
      <c r="F531" s="8">
        <v>7.98437411E8</v>
      </c>
      <c r="G531" s="9" t="str">
        <f>HYPERLINK("https://www.etsy.com/listing/798437411", "link")</f>
        <v>link</v>
      </c>
      <c r="H531" s="9" t="str">
        <f>HYPERLINK("https://atlas.etsycorp.com/listing/798437411/lookup", "link")</f>
        <v>link</v>
      </c>
      <c r="I531" s="5" t="s">
        <v>1709</v>
      </c>
      <c r="J531" s="5" t="s">
        <v>1710</v>
      </c>
      <c r="K531" s="5" t="s">
        <v>19</v>
      </c>
      <c r="L531" s="5" t="s">
        <v>20</v>
      </c>
      <c r="M531" s="10" t="s">
        <v>21</v>
      </c>
      <c r="N531" s="10" t="s">
        <v>23</v>
      </c>
      <c r="O531" s="11" t="s">
        <v>478</v>
      </c>
      <c r="P531" s="5"/>
      <c r="Q531" s="5"/>
      <c r="R531" s="5"/>
      <c r="S531" s="5"/>
      <c r="T531" s="5"/>
    </row>
    <row r="532" ht="15.75" customHeight="1">
      <c r="A532" s="6" t="str">
        <f t="shared" si="1"/>
        <v>balloon backdrop stand, 1273802032</v>
      </c>
      <c r="B532" s="7" t="s">
        <v>15</v>
      </c>
      <c r="C532" s="5"/>
      <c r="D532" s="5" t="s">
        <v>1711</v>
      </c>
      <c r="E532" s="5"/>
      <c r="F532" s="8">
        <v>1.273802032E9</v>
      </c>
      <c r="G532" s="9" t="str">
        <f>HYPERLINK("https://www.etsy.com/listing/1273802032", "link")</f>
        <v>link</v>
      </c>
      <c r="H532" s="9" t="str">
        <f>HYPERLINK("https://atlas.etsycorp.com/listing/1273802032/lookup", "link")</f>
        <v>link</v>
      </c>
      <c r="I532" s="5" t="s">
        <v>1712</v>
      </c>
      <c r="J532" s="5" t="s">
        <v>1713</v>
      </c>
      <c r="K532" s="5" t="s">
        <v>120</v>
      </c>
      <c r="L532" s="5" t="s">
        <v>41</v>
      </c>
      <c r="M532" s="10" t="s">
        <v>21</v>
      </c>
      <c r="N532" s="10" t="s">
        <v>23</v>
      </c>
      <c r="O532" s="11" t="s">
        <v>478</v>
      </c>
      <c r="P532" s="5"/>
      <c r="Q532" s="5"/>
      <c r="R532" s="5"/>
      <c r="S532" s="5"/>
      <c r="T532" s="5"/>
    </row>
    <row r="533" ht="15.75" customHeight="1">
      <c r="A533" s="6" t="str">
        <f t="shared" si="1"/>
        <v>master chief armor, 1577920253</v>
      </c>
      <c r="B533" s="7" t="s">
        <v>24</v>
      </c>
      <c r="C533" s="5"/>
      <c r="D533" s="5" t="s">
        <v>1714</v>
      </c>
      <c r="E533" s="5"/>
      <c r="F533" s="8">
        <v>1.577920253E9</v>
      </c>
      <c r="G533" s="9" t="str">
        <f>HYPERLINK("https://www.etsy.com/listing/1577920253", "link")</f>
        <v>link</v>
      </c>
      <c r="H533" s="9" t="str">
        <f>HYPERLINK("https://atlas.etsycorp.com/listing/1577920253/lookup", "link")</f>
        <v>link</v>
      </c>
      <c r="I533" s="5" t="s">
        <v>1715</v>
      </c>
      <c r="J533" s="5" t="s">
        <v>1716</v>
      </c>
      <c r="K533" s="5" t="s">
        <v>19</v>
      </c>
      <c r="L533" s="5" t="s">
        <v>41</v>
      </c>
      <c r="M533" s="10" t="s">
        <v>21</v>
      </c>
      <c r="N533" s="10" t="s">
        <v>23</v>
      </c>
      <c r="O533" s="11" t="s">
        <v>478</v>
      </c>
      <c r="P533" s="5"/>
      <c r="Q533" s="5"/>
      <c r="R533" s="5"/>
      <c r="S533" s="5"/>
      <c r="T533" s="5"/>
    </row>
    <row r="534" ht="15.75" customHeight="1">
      <c r="A534" s="6" t="str">
        <f t="shared" si="1"/>
        <v>25 inch chain, 1276405727</v>
      </c>
      <c r="B534" s="7" t="s">
        <v>48</v>
      </c>
      <c r="C534" s="5"/>
      <c r="D534" s="5" t="s">
        <v>1717</v>
      </c>
      <c r="E534" s="5"/>
      <c r="F534" s="8">
        <v>1.276405727E9</v>
      </c>
      <c r="G534" s="9" t="str">
        <f>HYPERLINK("https://www.etsy.com/listing/1276405727", "link")</f>
        <v>link</v>
      </c>
      <c r="H534" s="9" t="str">
        <f>HYPERLINK("https://atlas.etsycorp.com/listing/1276405727/lookup", "link")</f>
        <v>link</v>
      </c>
      <c r="I534" s="5" t="s">
        <v>1718</v>
      </c>
      <c r="J534" s="5" t="s">
        <v>1719</v>
      </c>
      <c r="K534" s="5" t="s">
        <v>19</v>
      </c>
      <c r="L534" s="5" t="s">
        <v>73</v>
      </c>
      <c r="M534" s="10" t="s">
        <v>21</v>
      </c>
      <c r="N534" s="10" t="s">
        <v>23</v>
      </c>
      <c r="O534" s="11" t="s">
        <v>478</v>
      </c>
      <c r="P534" s="5"/>
      <c r="Q534" s="5"/>
      <c r="R534" s="5"/>
      <c r="S534" s="5"/>
      <c r="T534" s="5"/>
    </row>
    <row r="535" ht="15.75" customHeight="1">
      <c r="A535" s="6" t="str">
        <f t="shared" si="1"/>
        <v>bob esponja invitacion, 1674037748</v>
      </c>
      <c r="B535" s="7" t="s">
        <v>24</v>
      </c>
      <c r="C535" s="7" t="s">
        <v>1720</v>
      </c>
      <c r="D535" s="5" t="s">
        <v>894</v>
      </c>
      <c r="E535" s="5" t="s">
        <v>895</v>
      </c>
      <c r="F535" s="8">
        <v>1.674037748E9</v>
      </c>
      <c r="G535" s="9" t="str">
        <f>HYPERLINK("https://www.etsy.com/listing/1674037748", "link")</f>
        <v>link</v>
      </c>
      <c r="H535" s="9" t="str">
        <f>HYPERLINK("https://atlas.etsycorp.com/listing/1674037748/lookup", "link")</f>
        <v>link</v>
      </c>
      <c r="I535" s="5" t="s">
        <v>1721</v>
      </c>
      <c r="J535" s="5" t="s">
        <v>897</v>
      </c>
      <c r="K535" s="5" t="s">
        <v>29</v>
      </c>
      <c r="L535" s="5" t="s">
        <v>30</v>
      </c>
      <c r="M535" s="10" t="s">
        <v>21</v>
      </c>
      <c r="N535" s="10" t="s">
        <v>23</v>
      </c>
      <c r="O535" s="11" t="s">
        <v>478</v>
      </c>
      <c r="P535" s="5"/>
      <c r="Q535" s="5"/>
      <c r="R535" s="5"/>
      <c r="S535" s="5"/>
      <c r="T535" s="5"/>
    </row>
    <row r="536" ht="15.75" customHeight="1">
      <c r="A536" s="6" t="str">
        <f t="shared" si="1"/>
        <v>best friend birthday gift, 1508477124</v>
      </c>
      <c r="B536" s="7" t="s">
        <v>15</v>
      </c>
      <c r="C536" s="5"/>
      <c r="D536" s="5" t="s">
        <v>1722</v>
      </c>
      <c r="E536" s="5"/>
      <c r="F536" s="8">
        <v>1.508477124E9</v>
      </c>
      <c r="G536" s="9" t="str">
        <f>HYPERLINK("https://www.etsy.com/listing/1508477124", "link")</f>
        <v>link</v>
      </c>
      <c r="H536" s="9" t="str">
        <f>HYPERLINK("https://atlas.etsycorp.com/listing/1508477124/lookup", "link")</f>
        <v>link</v>
      </c>
      <c r="I536" s="5" t="s">
        <v>1723</v>
      </c>
      <c r="J536" s="5" t="s">
        <v>1724</v>
      </c>
      <c r="K536" s="5" t="s">
        <v>19</v>
      </c>
      <c r="L536" s="5" t="s">
        <v>100</v>
      </c>
      <c r="M536" s="10" t="s">
        <v>21</v>
      </c>
      <c r="N536" s="10" t="s">
        <v>23</v>
      </c>
      <c r="O536" s="11" t="s">
        <v>478</v>
      </c>
      <c r="P536" s="5"/>
      <c r="Q536" s="5"/>
      <c r="R536" s="5"/>
      <c r="S536" s="5"/>
      <c r="T536" s="5"/>
    </row>
    <row r="537" ht="15.75" customHeight="1">
      <c r="A537" s="6" t="str">
        <f t="shared" si="1"/>
        <v>personalized, 1570241640</v>
      </c>
      <c r="B537" s="7" t="s">
        <v>48</v>
      </c>
      <c r="C537" s="7" t="s">
        <v>1725</v>
      </c>
      <c r="D537" s="5" t="s">
        <v>1726</v>
      </c>
      <c r="E537" s="5"/>
      <c r="F537" s="8">
        <v>1.57024164E9</v>
      </c>
      <c r="G537" s="9" t="str">
        <f>HYPERLINK("https://www.etsy.com/listing/1570241640", "link")</f>
        <v>link</v>
      </c>
      <c r="H537" s="9" t="str">
        <f>HYPERLINK("https://atlas.etsycorp.com/listing/1570241640/lookup", "link")</f>
        <v>link</v>
      </c>
      <c r="I537" s="5" t="s">
        <v>1727</v>
      </c>
      <c r="J537" s="5" t="s">
        <v>1728</v>
      </c>
      <c r="K537" s="5" t="s">
        <v>19</v>
      </c>
      <c r="L537" s="5" t="s">
        <v>20</v>
      </c>
      <c r="M537" s="10" t="s">
        <v>21</v>
      </c>
      <c r="N537" s="10" t="s">
        <v>23</v>
      </c>
      <c r="O537" s="11" t="s">
        <v>478</v>
      </c>
      <c r="P537" s="5"/>
      <c r="Q537" s="5"/>
      <c r="R537" s="5"/>
      <c r="S537" s="5"/>
      <c r="T537" s="5"/>
    </row>
    <row r="538" ht="15.75" customHeight="1">
      <c r="A538" s="6" t="str">
        <f t="shared" si="1"/>
        <v>nursery bookshelf, 1227907655</v>
      </c>
      <c r="B538" s="7" t="s">
        <v>48</v>
      </c>
      <c r="C538" s="5"/>
      <c r="D538" s="5" t="s">
        <v>1729</v>
      </c>
      <c r="E538" s="5"/>
      <c r="F538" s="8">
        <v>1.227907655E9</v>
      </c>
      <c r="G538" s="9" t="str">
        <f>HYPERLINK("https://www.etsy.com/listing/1227907655", "link")</f>
        <v>link</v>
      </c>
      <c r="H538" s="9" t="str">
        <f>HYPERLINK("https://atlas.etsycorp.com/listing/1227907655/lookup", "link")</f>
        <v>link</v>
      </c>
      <c r="I538" s="5" t="s">
        <v>1730</v>
      </c>
      <c r="J538" s="5" t="s">
        <v>1731</v>
      </c>
      <c r="K538" s="5" t="s">
        <v>120</v>
      </c>
      <c r="L538" s="5" t="s">
        <v>41</v>
      </c>
      <c r="M538" s="10" t="s">
        <v>21</v>
      </c>
      <c r="N538" s="10" t="s">
        <v>23</v>
      </c>
      <c r="O538" s="11" t="s">
        <v>478</v>
      </c>
      <c r="P538" s="5"/>
      <c r="Q538" s="5"/>
      <c r="R538" s="5"/>
      <c r="S538" s="5"/>
      <c r="T538" s="5"/>
    </row>
    <row r="539" ht="15.75" customHeight="1">
      <c r="A539" s="6" t="str">
        <f t="shared" si="1"/>
        <v>sarape decoración de mesa, 563566030</v>
      </c>
      <c r="B539" s="7" t="s">
        <v>24</v>
      </c>
      <c r="C539" s="5"/>
      <c r="D539" s="5" t="s">
        <v>201</v>
      </c>
      <c r="E539" s="5" t="s">
        <v>202</v>
      </c>
      <c r="F539" s="8">
        <v>5.6356603E8</v>
      </c>
      <c r="G539" s="9" t="str">
        <f>HYPERLINK("https://www.etsy.com/listing/563566030", "link")</f>
        <v>link</v>
      </c>
      <c r="H539" s="9" t="str">
        <f>HYPERLINK("https://atlas.etsycorp.com/listing/563566030/lookup", "link")</f>
        <v>link</v>
      </c>
      <c r="I539" s="5" t="s">
        <v>1732</v>
      </c>
      <c r="J539" s="5" t="s">
        <v>204</v>
      </c>
      <c r="K539" s="5" t="s">
        <v>29</v>
      </c>
      <c r="L539" s="5" t="s">
        <v>30</v>
      </c>
      <c r="M539" s="10" t="s">
        <v>21</v>
      </c>
      <c r="N539" s="10" t="s">
        <v>23</v>
      </c>
      <c r="O539" s="11" t="s">
        <v>478</v>
      </c>
      <c r="P539" s="5"/>
      <c r="Q539" s="5"/>
      <c r="R539" s="5"/>
      <c r="S539" s="5"/>
      <c r="T539" s="5"/>
    </row>
    <row r="540" ht="15.75" customHeight="1">
      <c r="A540" s="6" t="str">
        <f t="shared" si="1"/>
        <v>climbing panel 36 inch, 1581189609</v>
      </c>
      <c r="B540" s="7" t="s">
        <v>24</v>
      </c>
      <c r="C540" s="5"/>
      <c r="D540" s="5" t="s">
        <v>1733</v>
      </c>
      <c r="E540" s="5"/>
      <c r="F540" s="8">
        <v>1.581189609E9</v>
      </c>
      <c r="G540" s="9" t="str">
        <f>HYPERLINK("https://www.etsy.com/listing/1581189609", "link")</f>
        <v>link</v>
      </c>
      <c r="H540" s="9" t="str">
        <f>HYPERLINK("https://atlas.etsycorp.com/listing/1581189609/lookup", "link")</f>
        <v>link</v>
      </c>
      <c r="I540" s="5" t="s">
        <v>1734</v>
      </c>
      <c r="J540" s="5" t="s">
        <v>1735</v>
      </c>
      <c r="K540" s="5" t="s">
        <v>19</v>
      </c>
      <c r="L540" s="5" t="s">
        <v>41</v>
      </c>
      <c r="M540" s="10" t="s">
        <v>21</v>
      </c>
      <c r="N540" s="10" t="s">
        <v>23</v>
      </c>
      <c r="O540" s="11" t="s">
        <v>478</v>
      </c>
      <c r="P540" s="5"/>
      <c r="Q540" s="5"/>
      <c r="R540" s="5"/>
      <c r="S540" s="5"/>
      <c r="T540" s="5"/>
    </row>
    <row r="541" ht="15.75" customHeight="1">
      <c r="A541" s="6" t="str">
        <f t="shared" si="1"/>
        <v>60th birthday cards for women, 1164337655</v>
      </c>
      <c r="B541" s="7" t="s">
        <v>15</v>
      </c>
      <c r="C541" s="5"/>
      <c r="D541" s="5" t="s">
        <v>1736</v>
      </c>
      <c r="E541" s="5"/>
      <c r="F541" s="8">
        <v>1.164337655E9</v>
      </c>
      <c r="G541" s="9" t="str">
        <f>HYPERLINK("https://www.etsy.com/listing/1164337655", "link")</f>
        <v>link</v>
      </c>
      <c r="H541" s="9" t="str">
        <f>HYPERLINK("https://atlas.etsycorp.com/listing/1164337655/lookup", "link")</f>
        <v>link</v>
      </c>
      <c r="I541" s="5" t="s">
        <v>1737</v>
      </c>
      <c r="J541" s="5" t="s">
        <v>1738</v>
      </c>
      <c r="K541" s="5" t="s">
        <v>120</v>
      </c>
      <c r="L541" s="5" t="s">
        <v>41</v>
      </c>
      <c r="M541" s="10" t="s">
        <v>21</v>
      </c>
      <c r="N541" s="10" t="s">
        <v>23</v>
      </c>
      <c r="O541" s="11" t="s">
        <v>478</v>
      </c>
      <c r="P541" s="5"/>
      <c r="Q541" s="5"/>
      <c r="R541" s="5"/>
      <c r="S541" s="5"/>
      <c r="T541" s="5"/>
    </row>
    <row r="542" ht="15.75" customHeight="1">
      <c r="A542" s="6" t="str">
        <f t="shared" si="1"/>
        <v>trofeo primer grado, 1033119703</v>
      </c>
      <c r="B542" s="7" t="s">
        <v>24</v>
      </c>
      <c r="C542" s="5"/>
      <c r="D542" s="5" t="s">
        <v>1739</v>
      </c>
      <c r="E542" s="5" t="s">
        <v>1740</v>
      </c>
      <c r="F542" s="8">
        <v>1.033119703E9</v>
      </c>
      <c r="G542" s="9" t="str">
        <f>HYPERLINK("https://www.etsy.com/listing/1033119703", "link")</f>
        <v>link</v>
      </c>
      <c r="H542" s="9" t="str">
        <f>HYPERLINK("https://atlas.etsycorp.com/listing/1033119703/lookup", "link")</f>
        <v>link</v>
      </c>
      <c r="I542" s="5" t="s">
        <v>1741</v>
      </c>
      <c r="J542" s="5" t="s">
        <v>1742</v>
      </c>
      <c r="K542" s="5" t="s">
        <v>29</v>
      </c>
      <c r="L542" s="5" t="s">
        <v>30</v>
      </c>
      <c r="M542" s="10" t="s">
        <v>21</v>
      </c>
      <c r="N542" s="10" t="s">
        <v>23</v>
      </c>
      <c r="O542" s="11" t="s">
        <v>478</v>
      </c>
      <c r="P542" s="5"/>
      <c r="Q542" s="5"/>
      <c r="R542" s="5"/>
      <c r="S542" s="5"/>
      <c r="T542" s="5"/>
    </row>
    <row r="543" ht="15.75" customHeight="1">
      <c r="A543" s="6" t="str">
        <f t="shared" si="1"/>
        <v>apple decor, 1219641905</v>
      </c>
      <c r="B543" s="7" t="s">
        <v>24</v>
      </c>
      <c r="C543" s="5"/>
      <c r="D543" s="5" t="s">
        <v>1743</v>
      </c>
      <c r="E543" s="5"/>
      <c r="F543" s="8">
        <v>1.219641905E9</v>
      </c>
      <c r="G543" s="9" t="str">
        <f>HYPERLINK("https://www.etsy.com/listing/1219641905", "link")</f>
        <v>link</v>
      </c>
      <c r="H543" s="9" t="str">
        <f>HYPERLINK("https://atlas.etsycorp.com/listing/1219641905/lookup", "link")</f>
        <v>link</v>
      </c>
      <c r="I543" s="5" t="s">
        <v>1744</v>
      </c>
      <c r="J543" s="5" t="s">
        <v>1745</v>
      </c>
      <c r="K543" s="5" t="s">
        <v>19</v>
      </c>
      <c r="L543" s="5" t="s">
        <v>20</v>
      </c>
      <c r="M543" s="10" t="s">
        <v>21</v>
      </c>
      <c r="N543" s="10" t="s">
        <v>23</v>
      </c>
      <c r="O543" s="11" t="s">
        <v>478</v>
      </c>
      <c r="P543" s="5"/>
      <c r="Q543" s="5"/>
      <c r="R543" s="5"/>
      <c r="S543" s="5"/>
      <c r="T543" s="5"/>
    </row>
    <row r="544" ht="15.75" customHeight="1">
      <c r="A544" s="6" t="str">
        <f t="shared" si="1"/>
        <v>set of 3 paintings Flowers painting abstraction, 1660747977</v>
      </c>
      <c r="B544" s="7" t="s">
        <v>15</v>
      </c>
      <c r="C544" s="5"/>
      <c r="D544" s="5" t="s">
        <v>1746</v>
      </c>
      <c r="E544" s="5" t="s">
        <v>1746</v>
      </c>
      <c r="F544" s="8">
        <v>1.660747977E9</v>
      </c>
      <c r="G544" s="9" t="str">
        <f>HYPERLINK("https://www.etsy.com/listing/1660747977", "link")</f>
        <v>link</v>
      </c>
      <c r="H544" s="9" t="str">
        <f>HYPERLINK("https://atlas.etsycorp.com/listing/1660747977/lookup", "link")</f>
        <v>link</v>
      </c>
      <c r="I544" s="5" t="s">
        <v>1747</v>
      </c>
      <c r="J544" s="5" t="s">
        <v>1748</v>
      </c>
      <c r="K544" s="5" t="s">
        <v>1350</v>
      </c>
      <c r="L544" s="5" t="s">
        <v>1351</v>
      </c>
      <c r="M544" s="10" t="s">
        <v>21</v>
      </c>
      <c r="N544" s="10" t="s">
        <v>23</v>
      </c>
      <c r="O544" s="11" t="s">
        <v>478</v>
      </c>
      <c r="P544" s="5"/>
      <c r="Q544" s="5"/>
      <c r="R544" s="5"/>
      <c r="S544" s="5"/>
      <c r="T544" s="5"/>
    </row>
    <row r="545" ht="15.75" customHeight="1">
      <c r="A545" s="6" t="str">
        <f t="shared" si="1"/>
        <v>gem stones, 1615804914</v>
      </c>
      <c r="B545" s="7" t="s">
        <v>15</v>
      </c>
      <c r="C545" s="5"/>
      <c r="D545" s="5" t="s">
        <v>1749</v>
      </c>
      <c r="E545" s="5"/>
      <c r="F545" s="8">
        <v>1.615804914E9</v>
      </c>
      <c r="G545" s="9" t="str">
        <f>HYPERLINK("https://www.etsy.com/listing/1615804914", "link")</f>
        <v>link</v>
      </c>
      <c r="H545" s="9" t="str">
        <f>HYPERLINK("https://atlas.etsycorp.com/listing/1615804914/lookup", "link")</f>
        <v>link</v>
      </c>
      <c r="I545" s="5" t="s">
        <v>1750</v>
      </c>
      <c r="J545" s="5" t="s">
        <v>1751</v>
      </c>
      <c r="K545" s="5" t="s">
        <v>19</v>
      </c>
      <c r="L545" s="5" t="s">
        <v>41</v>
      </c>
      <c r="M545" s="10" t="s">
        <v>21</v>
      </c>
      <c r="N545" s="10" t="s">
        <v>23</v>
      </c>
      <c r="O545" s="11" t="s">
        <v>478</v>
      </c>
      <c r="P545" s="5"/>
      <c r="Q545" s="5"/>
      <c r="R545" s="5"/>
      <c r="S545" s="5"/>
      <c r="T545" s="5"/>
    </row>
    <row r="546" ht="15.75" customHeight="1">
      <c r="A546" s="6" t="str">
        <f t="shared" si="1"/>
        <v>appa plush keychain, 1618925652</v>
      </c>
      <c r="B546" s="7" t="s">
        <v>24</v>
      </c>
      <c r="C546" s="7" t="s">
        <v>1752</v>
      </c>
      <c r="D546" s="5" t="s">
        <v>1753</v>
      </c>
      <c r="E546" s="5"/>
      <c r="F546" s="8">
        <v>1.618925652E9</v>
      </c>
      <c r="G546" s="9" t="str">
        <f>HYPERLINK("https://www.etsy.com/listing/1618925652", "link")</f>
        <v>link</v>
      </c>
      <c r="H546" s="9" t="str">
        <f>HYPERLINK("https://atlas.etsycorp.com/listing/1618925652/lookup", "link")</f>
        <v>link</v>
      </c>
      <c r="I546" s="5" t="s">
        <v>1754</v>
      </c>
      <c r="J546" s="5" t="s">
        <v>1755</v>
      </c>
      <c r="K546" s="5" t="s">
        <v>19</v>
      </c>
      <c r="L546" s="5" t="s">
        <v>73</v>
      </c>
      <c r="M546" s="10" t="s">
        <v>21</v>
      </c>
      <c r="N546" s="10" t="s">
        <v>23</v>
      </c>
      <c r="O546" s="11" t="s">
        <v>478</v>
      </c>
      <c r="P546" s="5"/>
      <c r="Q546" s="5"/>
      <c r="R546" s="5"/>
      <c r="S546" s="5"/>
      <c r="T546" s="5"/>
    </row>
    <row r="547" ht="15.75" customHeight="1">
      <c r="A547" s="6" t="str">
        <f t="shared" si="1"/>
        <v>a7 spaarchallenge, 1667036860</v>
      </c>
      <c r="B547" s="7" t="s">
        <v>15</v>
      </c>
      <c r="C547" s="5"/>
      <c r="D547" s="5" t="s">
        <v>1756</v>
      </c>
      <c r="E547" s="5" t="s">
        <v>1757</v>
      </c>
      <c r="F547" s="8">
        <v>1.66703686E9</v>
      </c>
      <c r="G547" s="9" t="str">
        <f>HYPERLINK("https://www.etsy.com/listing/1667036860", "link")</f>
        <v>link</v>
      </c>
      <c r="H547" s="9" t="str">
        <f>HYPERLINK("https://atlas.etsycorp.com/listing/1667036860/lookup", "link")</f>
        <v>link</v>
      </c>
      <c r="I547" s="5" t="s">
        <v>1758</v>
      </c>
      <c r="J547" s="5" t="s">
        <v>1759</v>
      </c>
      <c r="K547" s="5" t="s">
        <v>35</v>
      </c>
      <c r="L547" s="5" t="s">
        <v>36</v>
      </c>
      <c r="M547" s="10" t="s">
        <v>21</v>
      </c>
      <c r="N547" s="10" t="s">
        <v>23</v>
      </c>
      <c r="O547" s="11" t="s">
        <v>478</v>
      </c>
      <c r="P547" s="5"/>
      <c r="Q547" s="5"/>
      <c r="R547" s="5"/>
      <c r="S547" s="5"/>
      <c r="T547" s="5"/>
    </row>
    <row r="548" ht="15.75" customHeight="1">
      <c r="A548" s="6" t="str">
        <f t="shared" si="1"/>
        <v>BIRTHDay card for him northern soul, 936057596</v>
      </c>
      <c r="B548" s="7" t="s">
        <v>24</v>
      </c>
      <c r="C548" s="5"/>
      <c r="D548" s="5" t="s">
        <v>1760</v>
      </c>
      <c r="E548" s="5"/>
      <c r="F548" s="8">
        <v>9.36057596E8</v>
      </c>
      <c r="G548" s="9" t="str">
        <f>HYPERLINK("https://www.etsy.com/listing/936057596", "link")</f>
        <v>link</v>
      </c>
      <c r="H548" s="9" t="str">
        <f>HYPERLINK("https://atlas.etsycorp.com/listing/936057596/lookup", "link")</f>
        <v>link</v>
      </c>
      <c r="I548" s="5" t="s">
        <v>1761</v>
      </c>
      <c r="J548" s="5" t="s">
        <v>1762</v>
      </c>
      <c r="K548" s="5" t="s">
        <v>120</v>
      </c>
      <c r="L548" s="5" t="s">
        <v>100</v>
      </c>
      <c r="M548" s="10" t="s">
        <v>21</v>
      </c>
      <c r="N548" s="10" t="s">
        <v>23</v>
      </c>
      <c r="O548" s="11" t="s">
        <v>478</v>
      </c>
      <c r="P548" s="5"/>
      <c r="Q548" s="5"/>
      <c r="R548" s="5"/>
      <c r="S548" s="5"/>
      <c r="T548" s="5"/>
    </row>
    <row r="549" ht="15.75" customHeight="1">
      <c r="A549" s="6" t="str">
        <f t="shared" si="1"/>
        <v>mtg yu gi oh, 1447336698</v>
      </c>
      <c r="B549" s="7" t="s">
        <v>15</v>
      </c>
      <c r="C549" s="5"/>
      <c r="D549" s="5" t="s">
        <v>264</v>
      </c>
      <c r="E549" s="5" t="s">
        <v>264</v>
      </c>
      <c r="F549" s="8">
        <v>1.447336698E9</v>
      </c>
      <c r="G549" s="9" t="str">
        <f>HYPERLINK("https://www.etsy.com/listing/1447336698", "link")</f>
        <v>link</v>
      </c>
      <c r="H549" s="9" t="str">
        <f>HYPERLINK("https://atlas.etsycorp.com/listing/1447336698/lookup", "link")</f>
        <v>link</v>
      </c>
      <c r="I549" s="5" t="s">
        <v>1763</v>
      </c>
      <c r="J549" s="5" t="s">
        <v>266</v>
      </c>
      <c r="K549" s="5" t="s">
        <v>54</v>
      </c>
      <c r="L549" s="5" t="s">
        <v>55</v>
      </c>
      <c r="M549" s="10" t="s">
        <v>21</v>
      </c>
      <c r="N549" s="10" t="s">
        <v>23</v>
      </c>
      <c r="O549" s="11" t="s">
        <v>478</v>
      </c>
      <c r="P549" s="5"/>
      <c r="Q549" s="5"/>
      <c r="R549" s="5"/>
      <c r="S549" s="5"/>
      <c r="T549" s="5"/>
    </row>
    <row r="550" ht="15.75" customHeight="1">
      <c r="A550" s="6" t="str">
        <f t="shared" si="1"/>
        <v>home gifts, 1419531545</v>
      </c>
      <c r="B550" s="7" t="s">
        <v>15</v>
      </c>
      <c r="C550" s="5"/>
      <c r="D550" s="5" t="s">
        <v>435</v>
      </c>
      <c r="E550" s="5"/>
      <c r="F550" s="8">
        <v>1.419531545E9</v>
      </c>
      <c r="G550" s="9" t="str">
        <f>HYPERLINK("https://www.etsy.com/listing/1419531545", "link")</f>
        <v>link</v>
      </c>
      <c r="H550" s="9" t="str">
        <f>HYPERLINK("https://atlas.etsycorp.com/listing/1419531545/lookup", "link")</f>
        <v>link</v>
      </c>
      <c r="I550" s="5" t="s">
        <v>1764</v>
      </c>
      <c r="J550" s="5" t="s">
        <v>1765</v>
      </c>
      <c r="K550" s="5" t="s">
        <v>19</v>
      </c>
      <c r="L550" s="5" t="s">
        <v>100</v>
      </c>
      <c r="M550" s="10" t="s">
        <v>21</v>
      </c>
      <c r="N550" s="10" t="s">
        <v>23</v>
      </c>
      <c r="O550" s="11" t="s">
        <v>478</v>
      </c>
      <c r="P550" s="5"/>
      <c r="Q550" s="5"/>
      <c r="R550" s="5"/>
      <c r="S550" s="5"/>
      <c r="T550" s="5"/>
    </row>
    <row r="551" ht="15.75" customHeight="1">
      <c r="A551" s="6" t="str">
        <f t="shared" si="1"/>
        <v>monalisa prendedor, 1617837977</v>
      </c>
      <c r="B551" s="7" t="s">
        <v>48</v>
      </c>
      <c r="C551" s="5"/>
      <c r="D551" s="5" t="s">
        <v>420</v>
      </c>
      <c r="E551" s="5" t="s">
        <v>421</v>
      </c>
      <c r="F551" s="8">
        <v>1.617837977E9</v>
      </c>
      <c r="G551" s="9" t="str">
        <f>HYPERLINK("https://www.etsy.com/listing/1617837977", "link")</f>
        <v>link</v>
      </c>
      <c r="H551" s="9" t="str">
        <f>HYPERLINK("https://atlas.etsycorp.com/listing/1617837977/lookup", "link")</f>
        <v>link</v>
      </c>
      <c r="I551" s="5" t="s">
        <v>1766</v>
      </c>
      <c r="J551" s="5" t="s">
        <v>423</v>
      </c>
      <c r="K551" s="5" t="s">
        <v>229</v>
      </c>
      <c r="L551" s="5" t="s">
        <v>230</v>
      </c>
      <c r="M551" s="10" t="s">
        <v>21</v>
      </c>
      <c r="N551" s="10" t="s">
        <v>23</v>
      </c>
      <c r="O551" s="11" t="s">
        <v>478</v>
      </c>
      <c r="P551" s="5"/>
      <c r="Q551" s="5"/>
      <c r="R551" s="5"/>
      <c r="S551" s="5"/>
      <c r="T551" s="5"/>
    </row>
    <row r="552" ht="15.75" customHeight="1">
      <c r="A552" s="6" t="str">
        <f t="shared" si="1"/>
        <v>stickers, 1519472187</v>
      </c>
      <c r="B552" s="7" t="s">
        <v>15</v>
      </c>
      <c r="C552" s="5"/>
      <c r="D552" s="5" t="s">
        <v>1767</v>
      </c>
      <c r="E552" s="5"/>
      <c r="F552" s="8">
        <v>1.519472187E9</v>
      </c>
      <c r="G552" s="9" t="str">
        <f>HYPERLINK("https://www.etsy.com/listing/1519472187", "link")</f>
        <v>link</v>
      </c>
      <c r="H552" s="9" t="str">
        <f>HYPERLINK("https://atlas.etsycorp.com/listing/1519472187/lookup", "link")</f>
        <v>link</v>
      </c>
      <c r="I552" s="5" t="s">
        <v>1768</v>
      </c>
      <c r="J552" s="5" t="s">
        <v>1769</v>
      </c>
      <c r="K552" s="5" t="s">
        <v>19</v>
      </c>
      <c r="L552" s="5" t="s">
        <v>41</v>
      </c>
      <c r="M552" s="10" t="s">
        <v>21</v>
      </c>
      <c r="N552" s="10" t="s">
        <v>23</v>
      </c>
      <c r="O552" s="11" t="s">
        <v>478</v>
      </c>
      <c r="P552" s="5"/>
      <c r="Q552" s="5"/>
      <c r="R552" s="5"/>
      <c r="S552" s="5"/>
      <c r="T552" s="5"/>
    </row>
    <row r="553" ht="15.75" customHeight="1">
      <c r="A553" s="6" t="str">
        <f t="shared" si="1"/>
        <v>horse stained glass pattern, 1328884218</v>
      </c>
      <c r="B553" s="7" t="s">
        <v>24</v>
      </c>
      <c r="C553" s="7" t="s">
        <v>1770</v>
      </c>
      <c r="D553" s="5" t="s">
        <v>1771</v>
      </c>
      <c r="E553" s="5"/>
      <c r="F553" s="8">
        <v>1.328884218E9</v>
      </c>
      <c r="G553" s="9" t="str">
        <f>HYPERLINK("https://www.etsy.com/listing/1328884218", "link")</f>
        <v>link</v>
      </c>
      <c r="H553" s="9" t="str">
        <f>HYPERLINK("https://atlas.etsycorp.com/listing/1328884218/lookup", "link")</f>
        <v>link</v>
      </c>
      <c r="I553" s="5" t="s">
        <v>1772</v>
      </c>
      <c r="J553" s="5" t="s">
        <v>1773</v>
      </c>
      <c r="K553" s="5" t="s">
        <v>19</v>
      </c>
      <c r="L553" s="5" t="s">
        <v>73</v>
      </c>
      <c r="M553" s="10" t="s">
        <v>21</v>
      </c>
      <c r="N553" s="10" t="s">
        <v>23</v>
      </c>
      <c r="O553" s="11" t="s">
        <v>478</v>
      </c>
      <c r="P553" s="5"/>
      <c r="Q553" s="5"/>
      <c r="R553" s="5"/>
      <c r="S553" s="5"/>
      <c r="T553" s="5"/>
    </row>
    <row r="554" ht="15.75" customHeight="1">
      <c r="A554" s="6" t="str">
        <f t="shared" si="1"/>
        <v>personalized party decor, 1454676692</v>
      </c>
      <c r="B554" s="7" t="s">
        <v>15</v>
      </c>
      <c r="C554" s="5"/>
      <c r="D554" s="5" t="s">
        <v>298</v>
      </c>
      <c r="E554" s="5" t="s">
        <v>298</v>
      </c>
      <c r="F554" s="8">
        <v>1.454676692E9</v>
      </c>
      <c r="G554" s="9" t="str">
        <f>HYPERLINK("https://www.etsy.com/listing/1454676692", "link")</f>
        <v>link</v>
      </c>
      <c r="H554" s="9" t="str">
        <f>HYPERLINK("https://atlas.etsycorp.com/listing/1454676692/lookup", "link")</f>
        <v>link</v>
      </c>
      <c r="I554" s="5" t="s">
        <v>1774</v>
      </c>
      <c r="J554" s="5" t="s">
        <v>300</v>
      </c>
      <c r="K554" s="5" t="s">
        <v>29</v>
      </c>
      <c r="L554" s="5" t="s">
        <v>30</v>
      </c>
      <c r="M554" s="10" t="s">
        <v>21</v>
      </c>
      <c r="N554" s="10" t="s">
        <v>23</v>
      </c>
      <c r="O554" s="11" t="s">
        <v>478</v>
      </c>
      <c r="P554" s="5"/>
      <c r="Q554" s="5"/>
      <c r="R554" s="5"/>
      <c r="S554" s="5"/>
      <c r="T554" s="5"/>
    </row>
    <row r="555" ht="15.75" customHeight="1">
      <c r="A555" s="6" t="str">
        <f t="shared" si="1"/>
        <v>funny door sticker, 814883678</v>
      </c>
      <c r="B555" s="7" t="s">
        <v>24</v>
      </c>
      <c r="C555" s="7" t="s">
        <v>1775</v>
      </c>
      <c r="D555" s="5" t="s">
        <v>1776</v>
      </c>
      <c r="E555" s="5" t="s">
        <v>1777</v>
      </c>
      <c r="F555" s="8">
        <v>8.14883678E8</v>
      </c>
      <c r="G555" s="9" t="str">
        <f>HYPERLINK("https://www.etsy.com/listing/814883678", "link")</f>
        <v>link</v>
      </c>
      <c r="H555" s="9" t="str">
        <f>HYPERLINK("https://atlas.etsycorp.com/listing/814883678/lookup", "link")</f>
        <v>link</v>
      </c>
      <c r="I555" s="5" t="s">
        <v>1778</v>
      </c>
      <c r="J555" s="5" t="s">
        <v>1779</v>
      </c>
      <c r="K555" s="5" t="s">
        <v>35</v>
      </c>
      <c r="L555" s="5" t="s">
        <v>36</v>
      </c>
      <c r="M555" s="10" t="s">
        <v>21</v>
      </c>
      <c r="N555" s="10" t="s">
        <v>23</v>
      </c>
      <c r="O555" s="11" t="s">
        <v>478</v>
      </c>
      <c r="P555" s="5"/>
      <c r="Q555" s="5"/>
      <c r="R555" s="5"/>
      <c r="S555" s="5"/>
      <c r="T555" s="5"/>
    </row>
    <row r="556" ht="15.75" customHeight="1">
      <c r="A556" s="6" t="str">
        <f t="shared" si="1"/>
        <v>vintage wallpaper peel and stick, 1564068248</v>
      </c>
      <c r="B556" s="7" t="s">
        <v>15</v>
      </c>
      <c r="C556" s="5"/>
      <c r="D556" s="5" t="s">
        <v>1780</v>
      </c>
      <c r="E556" s="5" t="s">
        <v>1780</v>
      </c>
      <c r="F556" s="8">
        <v>1.564068248E9</v>
      </c>
      <c r="G556" s="9" t="str">
        <f>HYPERLINK("https://www.etsy.com/listing/1564068248", "link")</f>
        <v>link</v>
      </c>
      <c r="H556" s="9" t="str">
        <f>HYPERLINK("https://atlas.etsycorp.com/listing/1564068248/lookup", "link")</f>
        <v>link</v>
      </c>
      <c r="I556" s="5" t="s">
        <v>1781</v>
      </c>
      <c r="J556" s="5" t="s">
        <v>1782</v>
      </c>
      <c r="K556" s="5" t="s">
        <v>29</v>
      </c>
      <c r="L556" s="5" t="s">
        <v>30</v>
      </c>
      <c r="M556" s="10" t="s">
        <v>21</v>
      </c>
      <c r="N556" s="10" t="s">
        <v>23</v>
      </c>
      <c r="O556" s="11" t="s">
        <v>478</v>
      </c>
      <c r="P556" s="5"/>
      <c r="Q556" s="5"/>
      <c r="R556" s="5"/>
      <c r="S556" s="5"/>
      <c r="T556" s="5"/>
    </row>
    <row r="557" ht="15.75" customHeight="1">
      <c r="A557" s="6" t="str">
        <f t="shared" si="1"/>
        <v>debra schoch, 1040480875</v>
      </c>
      <c r="B557" s="7" t="s">
        <v>48</v>
      </c>
      <c r="C557" s="5"/>
      <c r="D557" s="5" t="s">
        <v>1783</v>
      </c>
      <c r="E557" s="5"/>
      <c r="F557" s="8">
        <v>1.040480875E9</v>
      </c>
      <c r="G557" s="9" t="str">
        <f>HYPERLINK("https://www.etsy.com/listing/1040480875", "link")</f>
        <v>link</v>
      </c>
      <c r="H557" s="9" t="str">
        <f>HYPERLINK("https://atlas.etsycorp.com/listing/1040480875/lookup", "link")</f>
        <v>link</v>
      </c>
      <c r="I557" s="5" t="s">
        <v>1784</v>
      </c>
      <c r="J557" s="5" t="s">
        <v>1785</v>
      </c>
      <c r="K557" s="5" t="s">
        <v>19</v>
      </c>
      <c r="L557" s="5" t="s">
        <v>20</v>
      </c>
      <c r="M557" s="10" t="s">
        <v>21</v>
      </c>
      <c r="N557" s="10" t="s">
        <v>23</v>
      </c>
      <c r="O557" s="11" t="s">
        <v>478</v>
      </c>
      <c r="P557" s="5"/>
      <c r="Q557" s="5"/>
      <c r="R557" s="5"/>
      <c r="S557" s="5"/>
      <c r="T557" s="5"/>
    </row>
    <row r="558" ht="15.75" customHeight="1">
      <c r="A558" s="6" t="str">
        <f t="shared" si="1"/>
        <v>personalized wedding gifts christmas ornaments, 1142187270</v>
      </c>
      <c r="B558" s="7" t="s">
        <v>24</v>
      </c>
      <c r="C558" s="7" t="s">
        <v>1786</v>
      </c>
      <c r="D558" s="5" t="s">
        <v>1787</v>
      </c>
      <c r="E558" s="5"/>
      <c r="F558" s="8">
        <v>1.14218727E9</v>
      </c>
      <c r="G558" s="9" t="str">
        <f>HYPERLINK("https://www.etsy.com/listing/1142187270", "link")</f>
        <v>link</v>
      </c>
      <c r="H558" s="9" t="str">
        <f>HYPERLINK("https://atlas.etsycorp.com/listing/1142187270/lookup", "link")</f>
        <v>link</v>
      </c>
      <c r="I558" s="5" t="s">
        <v>1788</v>
      </c>
      <c r="J558" s="5" t="s">
        <v>1789</v>
      </c>
      <c r="K558" s="5" t="s">
        <v>120</v>
      </c>
      <c r="L558" s="5" t="s">
        <v>100</v>
      </c>
      <c r="M558" s="10" t="s">
        <v>21</v>
      </c>
      <c r="N558" s="10" t="s">
        <v>23</v>
      </c>
      <c r="O558" s="11" t="s">
        <v>478</v>
      </c>
      <c r="P558" s="5"/>
      <c r="Q558" s="5"/>
      <c r="R558" s="5"/>
      <c r="S558" s="5"/>
      <c r="T558" s="5"/>
    </row>
    <row r="559" ht="15.75" customHeight="1">
      <c r="A559" s="6" t="str">
        <f t="shared" si="1"/>
        <v>targhetta non toccare passeggino, 1499858402</v>
      </c>
      <c r="B559" s="7" t="s">
        <v>48</v>
      </c>
      <c r="C559" s="5"/>
      <c r="D559" s="5" t="s">
        <v>1790</v>
      </c>
      <c r="E559" s="5" t="s">
        <v>1791</v>
      </c>
      <c r="F559" s="8">
        <v>1.499858402E9</v>
      </c>
      <c r="G559" s="9" t="str">
        <f>HYPERLINK("https://www.etsy.com/listing/1499858402", "link")</f>
        <v>link</v>
      </c>
      <c r="H559" s="9" t="str">
        <f>HYPERLINK("https://atlas.etsycorp.com/listing/1499858402/lookup", "link")</f>
        <v>link</v>
      </c>
      <c r="I559" s="5" t="s">
        <v>1792</v>
      </c>
      <c r="J559" s="5" t="s">
        <v>1793</v>
      </c>
      <c r="K559" s="5" t="s">
        <v>80</v>
      </c>
      <c r="L559" s="5" t="s">
        <v>81</v>
      </c>
      <c r="M559" s="10" t="s">
        <v>21</v>
      </c>
      <c r="N559" s="10" t="s">
        <v>23</v>
      </c>
      <c r="O559" s="11" t="s">
        <v>478</v>
      </c>
      <c r="P559" s="5"/>
      <c r="Q559" s="5"/>
      <c r="R559" s="5"/>
      <c r="S559" s="5"/>
      <c r="T559" s="5"/>
    </row>
    <row r="560" ht="15.75" customHeight="1">
      <c r="A560" s="6" t="str">
        <f t="shared" si="1"/>
        <v>valentines goodie bags, 1625166632</v>
      </c>
      <c r="B560" s="7" t="s">
        <v>24</v>
      </c>
      <c r="C560" s="5"/>
      <c r="D560" s="5" t="s">
        <v>1794</v>
      </c>
      <c r="E560" s="5"/>
      <c r="F560" s="8">
        <v>1.625166632E9</v>
      </c>
      <c r="G560" s="9" t="str">
        <f>HYPERLINK("https://www.etsy.com/listing/1625166632", "link")</f>
        <v>link</v>
      </c>
      <c r="H560" s="9" t="str">
        <f>HYPERLINK("https://atlas.etsycorp.com/listing/1625166632/lookup", "link")</f>
        <v>link</v>
      </c>
      <c r="I560" s="5" t="s">
        <v>1795</v>
      </c>
      <c r="J560" s="5" t="s">
        <v>1796</v>
      </c>
      <c r="K560" s="5" t="s">
        <v>19</v>
      </c>
      <c r="L560" s="5" t="s">
        <v>41</v>
      </c>
      <c r="M560" s="10" t="s">
        <v>21</v>
      </c>
      <c r="N560" s="10" t="s">
        <v>23</v>
      </c>
      <c r="O560" s="11" t="s">
        <v>478</v>
      </c>
      <c r="P560" s="5"/>
      <c r="Q560" s="5"/>
      <c r="R560" s="5"/>
      <c r="S560" s="5"/>
      <c r="T560" s="5"/>
    </row>
    <row r="561" ht="15.75" customHeight="1">
      <c r="A561" s="6" t="str">
        <f t="shared" si="1"/>
        <v>bonvon, 724865774</v>
      </c>
      <c r="B561" s="7" t="s">
        <v>459</v>
      </c>
      <c r="C561" s="7" t="s">
        <v>595</v>
      </c>
      <c r="D561" s="5" t="s">
        <v>898</v>
      </c>
      <c r="E561" s="5" t="s">
        <v>899</v>
      </c>
      <c r="F561" s="8">
        <v>7.24865774E8</v>
      </c>
      <c r="G561" s="9" t="str">
        <f>HYPERLINK("https://www.etsy.com/listing/724865774", "link")</f>
        <v>link</v>
      </c>
      <c r="H561" s="9" t="str">
        <f>HYPERLINK("https://atlas.etsycorp.com/listing/724865774/lookup", "link")</f>
        <v>link</v>
      </c>
      <c r="I561" s="5" t="s">
        <v>1797</v>
      </c>
      <c r="J561" s="5" t="s">
        <v>901</v>
      </c>
      <c r="K561" s="5" t="s">
        <v>54</v>
      </c>
      <c r="L561" s="5" t="s">
        <v>55</v>
      </c>
      <c r="M561" s="10" t="s">
        <v>21</v>
      </c>
      <c r="N561" s="10" t="s">
        <v>23</v>
      </c>
      <c r="O561" s="11" t="s">
        <v>478</v>
      </c>
      <c r="P561" s="5"/>
      <c r="Q561" s="5"/>
      <c r="R561" s="5"/>
      <c r="S561" s="5"/>
      <c r="T561" s="5"/>
    </row>
    <row r="562" ht="15.75" customHeight="1">
      <c r="A562" s="6" t="str">
        <f t="shared" si="1"/>
        <v>herramientas carpinteria, 1332729648</v>
      </c>
      <c r="B562" s="7" t="s">
        <v>15</v>
      </c>
      <c r="C562" s="5"/>
      <c r="D562" s="5" t="s">
        <v>1216</v>
      </c>
      <c r="E562" s="5" t="s">
        <v>1217</v>
      </c>
      <c r="F562" s="8">
        <v>1.332729648E9</v>
      </c>
      <c r="G562" s="9" t="str">
        <f>HYPERLINK("https://www.etsy.com/listing/1332729648", "link")</f>
        <v>link</v>
      </c>
      <c r="H562" s="9" t="str">
        <f>HYPERLINK("https://atlas.etsycorp.com/listing/1332729648/lookup", "link")</f>
        <v>link</v>
      </c>
      <c r="I562" s="5" t="s">
        <v>1798</v>
      </c>
      <c r="J562" s="5" t="s">
        <v>1219</v>
      </c>
      <c r="K562" s="5" t="s">
        <v>29</v>
      </c>
      <c r="L562" s="5" t="s">
        <v>30</v>
      </c>
      <c r="M562" s="10" t="s">
        <v>21</v>
      </c>
      <c r="N562" s="10" t="s">
        <v>23</v>
      </c>
      <c r="O562" s="11" t="s">
        <v>478</v>
      </c>
      <c r="P562" s="5"/>
      <c r="Q562" s="5"/>
      <c r="R562" s="5"/>
      <c r="S562" s="5"/>
      <c r="T562" s="5"/>
    </row>
    <row r="563" ht="15.75" customHeight="1">
      <c r="A563" s="6" t="str">
        <f t="shared" si="1"/>
        <v>knitting gifts for women, 1279419723</v>
      </c>
      <c r="B563" s="7" t="s">
        <v>15</v>
      </c>
      <c r="C563" s="5"/>
      <c r="D563" s="5" t="s">
        <v>1799</v>
      </c>
      <c r="E563" s="5"/>
      <c r="F563" s="8">
        <v>1.279419723E9</v>
      </c>
      <c r="G563" s="9" t="str">
        <f>HYPERLINK("https://www.etsy.com/listing/1279419723", "link")</f>
        <v>link</v>
      </c>
      <c r="H563" s="9" t="str">
        <f>HYPERLINK("https://atlas.etsycorp.com/listing/1279419723/lookup", "link")</f>
        <v>link</v>
      </c>
      <c r="I563" s="5" t="s">
        <v>1800</v>
      </c>
      <c r="J563" s="5" t="s">
        <v>1801</v>
      </c>
      <c r="K563" s="5" t="s">
        <v>19</v>
      </c>
      <c r="L563" s="5" t="s">
        <v>100</v>
      </c>
      <c r="M563" s="10" t="s">
        <v>21</v>
      </c>
      <c r="N563" s="10" t="s">
        <v>23</v>
      </c>
      <c r="O563" s="11" t="s">
        <v>478</v>
      </c>
      <c r="P563" s="5"/>
      <c r="Q563" s="5"/>
      <c r="R563" s="5"/>
      <c r="S563" s="5"/>
      <c r="T563" s="5"/>
    </row>
    <row r="564" ht="15.75" customHeight="1">
      <c r="A564" s="6" t="str">
        <f t="shared" si="1"/>
        <v>produit digital, 1349118533</v>
      </c>
      <c r="B564" s="7" t="s">
        <v>15</v>
      </c>
      <c r="C564" s="5"/>
      <c r="D564" s="5" t="s">
        <v>1802</v>
      </c>
      <c r="E564" s="5" t="s">
        <v>1803</v>
      </c>
      <c r="F564" s="8">
        <v>1.349118533E9</v>
      </c>
      <c r="G564" s="9" t="str">
        <f>HYPERLINK("https://www.etsy.com/listing/1349118533", "link")</f>
        <v>link</v>
      </c>
      <c r="H564" s="9" t="str">
        <f>HYPERLINK("https://atlas.etsycorp.com/listing/1349118533/lookup", "link")</f>
        <v>link</v>
      </c>
      <c r="I564" s="5" t="s">
        <v>1804</v>
      </c>
      <c r="J564" s="5" t="s">
        <v>1805</v>
      </c>
      <c r="K564" s="5" t="s">
        <v>54</v>
      </c>
      <c r="L564" s="5" t="s">
        <v>55</v>
      </c>
      <c r="M564" s="10" t="s">
        <v>21</v>
      </c>
      <c r="N564" s="10" t="s">
        <v>23</v>
      </c>
      <c r="O564" s="11" t="s">
        <v>478</v>
      </c>
      <c r="P564" s="5"/>
      <c r="Q564" s="5"/>
      <c r="R564" s="5"/>
      <c r="S564" s="5"/>
      <c r="T564" s="5"/>
    </row>
    <row r="565" ht="15.75" customHeight="1">
      <c r="A565" s="6" t="str">
        <f t="shared" si="1"/>
        <v>pillow persona 5, 1152110703</v>
      </c>
      <c r="B565" s="7" t="s">
        <v>24</v>
      </c>
      <c r="C565" s="7" t="s">
        <v>1806</v>
      </c>
      <c r="D565" s="5" t="s">
        <v>1807</v>
      </c>
      <c r="E565" s="5"/>
      <c r="F565" s="8">
        <v>1.152110703E9</v>
      </c>
      <c r="G565" s="9" t="str">
        <f>HYPERLINK("https://www.etsy.com/listing/1152110703", "link")</f>
        <v>link</v>
      </c>
      <c r="H565" s="9" t="str">
        <f>HYPERLINK("https://atlas.etsycorp.com/listing/1152110703/lookup", "link")</f>
        <v>link</v>
      </c>
      <c r="I565" s="5" t="s">
        <v>1808</v>
      </c>
      <c r="J565" s="5" t="s">
        <v>1809</v>
      </c>
      <c r="K565" s="5" t="s">
        <v>120</v>
      </c>
      <c r="L565" s="5" t="s">
        <v>41</v>
      </c>
      <c r="M565" s="10" t="s">
        <v>21</v>
      </c>
      <c r="N565" s="10" t="s">
        <v>23</v>
      </c>
      <c r="O565" s="11" t="s">
        <v>478</v>
      </c>
      <c r="P565" s="5"/>
      <c r="Q565" s="5"/>
      <c r="R565" s="5"/>
      <c r="S565" s="5"/>
      <c r="T565" s="5"/>
    </row>
    <row r="566" ht="15.75" customHeight="1">
      <c r="A566" s="6" t="str">
        <f t="shared" si="1"/>
        <v>Personalized birthday gift mug, 1002351653</v>
      </c>
      <c r="B566" s="7" t="s">
        <v>24</v>
      </c>
      <c r="C566" s="7" t="s">
        <v>1810</v>
      </c>
      <c r="D566" s="5" t="s">
        <v>1811</v>
      </c>
      <c r="E566" s="5"/>
      <c r="F566" s="8">
        <v>1.002351653E9</v>
      </c>
      <c r="G566" s="9" t="str">
        <f>HYPERLINK("https://www.etsy.com/listing/1002351653", "link")</f>
        <v>link</v>
      </c>
      <c r="H566" s="9" t="str">
        <f>HYPERLINK("https://atlas.etsycorp.com/listing/1002351653/lookup", "link")</f>
        <v>link</v>
      </c>
      <c r="I566" s="5" t="s">
        <v>1812</v>
      </c>
      <c r="J566" s="5" t="s">
        <v>1813</v>
      </c>
      <c r="K566" s="5" t="s">
        <v>19</v>
      </c>
      <c r="L566" s="5" t="s">
        <v>100</v>
      </c>
      <c r="M566" s="10" t="s">
        <v>21</v>
      </c>
      <c r="N566" s="10" t="s">
        <v>23</v>
      </c>
      <c r="O566" s="11" t="s">
        <v>478</v>
      </c>
      <c r="P566" s="5"/>
      <c r="Q566" s="5"/>
      <c r="R566" s="5"/>
      <c r="S566" s="5"/>
      <c r="T566" s="5"/>
    </row>
    <row r="567" ht="15.75" customHeight="1">
      <c r="A567" s="6" t="str">
        <f t="shared" si="1"/>
        <v>unique gifts for her, 1470951207</v>
      </c>
      <c r="B567" s="7" t="s">
        <v>15</v>
      </c>
      <c r="C567" s="5"/>
      <c r="D567" s="5" t="s">
        <v>327</v>
      </c>
      <c r="E567" s="5" t="s">
        <v>327</v>
      </c>
      <c r="F567" s="8">
        <v>1.470951207E9</v>
      </c>
      <c r="G567" s="9" t="str">
        <f>HYPERLINK("https://www.etsy.com/listing/1470951207", "link")</f>
        <v>link</v>
      </c>
      <c r="H567" s="9" t="str">
        <f>HYPERLINK("https://atlas.etsycorp.com/listing/1470951207/lookup", "link")</f>
        <v>link</v>
      </c>
      <c r="I567" s="5" t="s">
        <v>1814</v>
      </c>
      <c r="J567" s="5" t="s">
        <v>1815</v>
      </c>
      <c r="K567" s="5" t="s">
        <v>54</v>
      </c>
      <c r="L567" s="5" t="s">
        <v>55</v>
      </c>
      <c r="M567" s="10" t="s">
        <v>21</v>
      </c>
      <c r="N567" s="10" t="s">
        <v>23</v>
      </c>
      <c r="O567" s="11" t="s">
        <v>478</v>
      </c>
      <c r="P567" s="5"/>
      <c r="Q567" s="5"/>
      <c r="R567" s="5"/>
      <c r="S567" s="5"/>
      <c r="T567" s="5"/>
    </row>
    <row r="568" ht="15.75" customHeight="1">
      <c r="A568" s="6" t="str">
        <f t="shared" si="1"/>
        <v>botão de volume de teclado, 1274198477</v>
      </c>
      <c r="B568" s="7" t="s">
        <v>48</v>
      </c>
      <c r="C568" s="5"/>
      <c r="D568" s="5" t="s">
        <v>1194</v>
      </c>
      <c r="E568" s="5" t="s">
        <v>1195</v>
      </c>
      <c r="F568" s="8">
        <v>1.274198477E9</v>
      </c>
      <c r="G568" s="9" t="str">
        <f>HYPERLINK("https://www.etsy.com/listing/1274198477", "link")</f>
        <v>link</v>
      </c>
      <c r="H568" s="9" t="str">
        <f>HYPERLINK("https://atlas.etsycorp.com/listing/1274198477/lookup", "link")</f>
        <v>link</v>
      </c>
      <c r="I568" s="5" t="s">
        <v>1816</v>
      </c>
      <c r="J568" s="5" t="s">
        <v>1197</v>
      </c>
      <c r="K568" s="5" t="s">
        <v>229</v>
      </c>
      <c r="L568" s="5" t="s">
        <v>230</v>
      </c>
      <c r="M568" s="10" t="s">
        <v>21</v>
      </c>
      <c r="N568" s="10" t="s">
        <v>23</v>
      </c>
      <c r="O568" s="11" t="s">
        <v>478</v>
      </c>
      <c r="P568" s="5"/>
      <c r="Q568" s="5"/>
      <c r="R568" s="5"/>
      <c r="S568" s="5"/>
      <c r="T568" s="5"/>
    </row>
    <row r="569" ht="15.75" customHeight="1">
      <c r="A569" s="6" t="str">
        <f t="shared" si="1"/>
        <v>happy birthday floral pop up, 1331888767</v>
      </c>
      <c r="B569" s="7" t="s">
        <v>24</v>
      </c>
      <c r="C569" s="5"/>
      <c r="D569" s="5" t="s">
        <v>1817</v>
      </c>
      <c r="E569" s="5"/>
      <c r="F569" s="8">
        <v>1.331888767E9</v>
      </c>
      <c r="G569" s="9" t="str">
        <f>HYPERLINK("https://www.etsy.com/listing/1331888767", "link")</f>
        <v>link</v>
      </c>
      <c r="H569" s="9" t="str">
        <f>HYPERLINK("https://atlas.etsycorp.com/listing/1331888767/lookup", "link")</f>
        <v>link</v>
      </c>
      <c r="I569" s="5" t="s">
        <v>1818</v>
      </c>
      <c r="J569" s="5" t="s">
        <v>1819</v>
      </c>
      <c r="K569" s="5" t="s">
        <v>120</v>
      </c>
      <c r="L569" s="5" t="s">
        <v>20</v>
      </c>
      <c r="M569" s="10" t="s">
        <v>21</v>
      </c>
      <c r="N569" s="10" t="s">
        <v>23</v>
      </c>
      <c r="O569" s="11" t="s">
        <v>478</v>
      </c>
      <c r="P569" s="5"/>
      <c r="Q569" s="5"/>
      <c r="R569" s="5"/>
      <c r="S569" s="5"/>
      <c r="T569" s="5"/>
    </row>
    <row r="570" ht="15.75" customHeight="1">
      <c r="A570" s="6" t="str">
        <f t="shared" si="1"/>
        <v>dekko nordisch, 1652872879</v>
      </c>
      <c r="B570" s="7" t="s">
        <v>15</v>
      </c>
      <c r="C570" s="5"/>
      <c r="D570" s="5" t="s">
        <v>1820</v>
      </c>
      <c r="E570" s="5" t="s">
        <v>1821</v>
      </c>
      <c r="F570" s="8">
        <v>1.652872879E9</v>
      </c>
      <c r="G570" s="9" t="str">
        <f>HYPERLINK("https://www.etsy.com/listing/1652872879", "link")</f>
        <v>link</v>
      </c>
      <c r="H570" s="9" t="str">
        <f>HYPERLINK("https://atlas.etsycorp.com/listing/1652872879/lookup", "link")</f>
        <v>link</v>
      </c>
      <c r="I570" s="5" t="s">
        <v>1822</v>
      </c>
      <c r="J570" s="5" t="s">
        <v>1823</v>
      </c>
      <c r="K570" s="5" t="s">
        <v>46</v>
      </c>
      <c r="L570" s="5" t="s">
        <v>47</v>
      </c>
      <c r="M570" s="10" t="s">
        <v>21</v>
      </c>
      <c r="N570" s="10" t="s">
        <v>23</v>
      </c>
      <c r="O570" s="11" t="s">
        <v>478</v>
      </c>
      <c r="P570" s="5"/>
      <c r="Q570" s="5"/>
      <c r="R570" s="5"/>
      <c r="S570" s="5"/>
      <c r="T570" s="5"/>
    </row>
    <row r="571" ht="15.75" customHeight="1">
      <c r="A571" s="6" t="str">
        <f t="shared" si="1"/>
        <v>zone 9, 1566775476</v>
      </c>
      <c r="B571" s="7" t="s">
        <v>15</v>
      </c>
      <c r="C571" s="5"/>
      <c r="D571" s="5" t="s">
        <v>1824</v>
      </c>
      <c r="E571" s="5"/>
      <c r="F571" s="8">
        <v>1.566775476E9</v>
      </c>
      <c r="G571" s="9" t="str">
        <f>HYPERLINK("https://www.etsy.com/listing/1566775476", "link")</f>
        <v>link</v>
      </c>
      <c r="H571" s="9" t="str">
        <f>HYPERLINK("https://atlas.etsycorp.com/listing/1566775476/lookup", "link")</f>
        <v>link</v>
      </c>
      <c r="I571" s="5" t="s">
        <v>1825</v>
      </c>
      <c r="J571" s="5" t="s">
        <v>1826</v>
      </c>
      <c r="K571" s="5" t="s">
        <v>19</v>
      </c>
      <c r="L571" s="5" t="s">
        <v>20</v>
      </c>
      <c r="M571" s="10" t="s">
        <v>21</v>
      </c>
      <c r="N571" s="10" t="s">
        <v>23</v>
      </c>
      <c r="O571" s="11" t="s">
        <v>478</v>
      </c>
      <c r="P571" s="5"/>
      <c r="Q571" s="5"/>
      <c r="R571" s="5"/>
      <c r="S571" s="5"/>
      <c r="T571" s="5"/>
    </row>
    <row r="572" ht="15.75" customHeight="1">
      <c r="A572" s="6" t="str">
        <f t="shared" si="1"/>
        <v>lego gifts, 1337649000</v>
      </c>
      <c r="B572" s="7" t="s">
        <v>15</v>
      </c>
      <c r="C572" s="5"/>
      <c r="D572" s="5" t="s">
        <v>1827</v>
      </c>
      <c r="E572" s="5"/>
      <c r="F572" s="8">
        <v>1.337649E9</v>
      </c>
      <c r="G572" s="9" t="str">
        <f>HYPERLINK("https://www.etsy.com/listing/1337649000", "link")</f>
        <v>link</v>
      </c>
      <c r="H572" s="9" t="str">
        <f>HYPERLINK("https://atlas.etsycorp.com/listing/1337649000/lookup", "link")</f>
        <v>link</v>
      </c>
      <c r="I572" s="5" t="s">
        <v>1828</v>
      </c>
      <c r="J572" s="5" t="s">
        <v>1829</v>
      </c>
      <c r="K572" s="5" t="s">
        <v>19</v>
      </c>
      <c r="L572" s="5" t="s">
        <v>100</v>
      </c>
      <c r="M572" s="10" t="s">
        <v>21</v>
      </c>
      <c r="N572" s="10" t="s">
        <v>23</v>
      </c>
      <c r="O572" s="11" t="s">
        <v>478</v>
      </c>
      <c r="P572" s="5"/>
      <c r="Q572" s="5"/>
      <c r="R572" s="5"/>
      <c r="S572" s="5"/>
      <c r="T572" s="5"/>
    </row>
    <row r="573" ht="15.75" customHeight="1">
      <c r="A573" s="6" t="str">
        <f t="shared" si="1"/>
        <v>Find shirts, 1571009774</v>
      </c>
      <c r="B573" s="7" t="s">
        <v>15</v>
      </c>
      <c r="C573" s="5"/>
      <c r="D573" s="5" t="s">
        <v>89</v>
      </c>
      <c r="E573" s="5" t="s">
        <v>89</v>
      </c>
      <c r="F573" s="8">
        <v>1.571009774E9</v>
      </c>
      <c r="G573" s="9" t="str">
        <f>HYPERLINK("https://www.etsy.com/listing/1571009774", "link")</f>
        <v>link</v>
      </c>
      <c r="H573" s="9" t="str">
        <f>HYPERLINK("https://atlas.etsycorp.com/listing/1571009774/lookup", "link")</f>
        <v>link</v>
      </c>
      <c r="I573" s="5" t="s">
        <v>1830</v>
      </c>
      <c r="J573" s="5" t="s">
        <v>1831</v>
      </c>
      <c r="K573" s="5" t="s">
        <v>29</v>
      </c>
      <c r="L573" s="5" t="s">
        <v>30</v>
      </c>
      <c r="M573" s="10" t="s">
        <v>21</v>
      </c>
      <c r="N573" s="10" t="s">
        <v>23</v>
      </c>
      <c r="O573" s="11" t="s">
        <v>478</v>
      </c>
      <c r="P573" s="5"/>
      <c r="Q573" s="5"/>
      <c r="R573" s="5"/>
      <c r="S573" s="5"/>
      <c r="T573" s="5"/>
    </row>
    <row r="574" ht="15.75" customHeight="1">
      <c r="A574" s="6" t="str">
        <f t="shared" si="1"/>
        <v>schwebender nachttisch schwarz schmal, 1725655924</v>
      </c>
      <c r="B574" s="7" t="s">
        <v>15</v>
      </c>
      <c r="C574" s="5"/>
      <c r="D574" s="5" t="s">
        <v>61</v>
      </c>
      <c r="E574" s="5" t="s">
        <v>62</v>
      </c>
      <c r="F574" s="8">
        <v>1.725655924E9</v>
      </c>
      <c r="G574" s="9" t="str">
        <f>HYPERLINK("https://www.etsy.com/listing/1725655924", "link")</f>
        <v>link</v>
      </c>
      <c r="H574" s="9" t="str">
        <f>HYPERLINK("https://atlas.etsycorp.com/listing/1725655924/lookup", "link")</f>
        <v>link</v>
      </c>
      <c r="I574" s="5" t="s">
        <v>1832</v>
      </c>
      <c r="J574" s="5" t="s">
        <v>64</v>
      </c>
      <c r="K574" s="5" t="s">
        <v>46</v>
      </c>
      <c r="L574" s="5" t="s">
        <v>47</v>
      </c>
      <c r="M574" s="10" t="s">
        <v>21</v>
      </c>
      <c r="N574" s="10" t="s">
        <v>23</v>
      </c>
      <c r="O574" s="11" t="s">
        <v>478</v>
      </c>
      <c r="P574" s="5"/>
      <c r="Q574" s="5"/>
      <c r="R574" s="5"/>
      <c r="S574" s="5"/>
      <c r="T574" s="5"/>
    </row>
    <row r="575" ht="15.75" customHeight="1">
      <c r="A575" s="6" t="str">
        <f t="shared" si="1"/>
        <v>charles and colvard moissanite 6mm, 1255731600</v>
      </c>
      <c r="B575" s="7" t="s">
        <v>24</v>
      </c>
      <c r="C575" s="7" t="s">
        <v>1833</v>
      </c>
      <c r="D575" s="5" t="s">
        <v>1834</v>
      </c>
      <c r="E575" s="5"/>
      <c r="F575" s="8">
        <v>1.2557316E9</v>
      </c>
      <c r="G575" s="9" t="str">
        <f>HYPERLINK("https://www.etsy.com/listing/1255731600", "link")</f>
        <v>link</v>
      </c>
      <c r="H575" s="9" t="str">
        <f>HYPERLINK("https://atlas.etsycorp.com/listing/1255731600/lookup", "link")</f>
        <v>link</v>
      </c>
      <c r="I575" s="5" t="s">
        <v>1835</v>
      </c>
      <c r="J575" s="5" t="s">
        <v>1836</v>
      </c>
      <c r="K575" s="5" t="s">
        <v>19</v>
      </c>
      <c r="L575" s="5" t="s">
        <v>20</v>
      </c>
      <c r="M575" s="10" t="s">
        <v>21</v>
      </c>
      <c r="N575" s="10" t="s">
        <v>23</v>
      </c>
      <c r="O575" s="11" t="s">
        <v>478</v>
      </c>
      <c r="P575" s="5"/>
      <c r="Q575" s="5"/>
      <c r="R575" s="5"/>
      <c r="S575" s="5"/>
      <c r="T575" s="5"/>
    </row>
    <row r="576" ht="15.75" customHeight="1">
      <c r="A576" s="6" t="str">
        <f t="shared" si="1"/>
        <v>sewn items, 502003564</v>
      </c>
      <c r="B576" s="7" t="s">
        <v>15</v>
      </c>
      <c r="C576" s="5"/>
      <c r="D576" s="5" t="s">
        <v>1837</v>
      </c>
      <c r="E576" s="5"/>
      <c r="F576" s="8">
        <v>5.02003564E8</v>
      </c>
      <c r="G576" s="9" t="str">
        <f>HYPERLINK("https://www.etsy.com/listing/502003564", "link")</f>
        <v>link</v>
      </c>
      <c r="H576" s="9" t="str">
        <f>HYPERLINK("https://atlas.etsycorp.com/listing/502003564/lookup", "link")</f>
        <v>link</v>
      </c>
      <c r="I576" s="5" t="s">
        <v>1838</v>
      </c>
      <c r="J576" s="5" t="s">
        <v>1839</v>
      </c>
      <c r="K576" s="5" t="s">
        <v>120</v>
      </c>
      <c r="L576" s="5" t="s">
        <v>41</v>
      </c>
      <c r="M576" s="10" t="s">
        <v>21</v>
      </c>
      <c r="N576" s="10" t="s">
        <v>23</v>
      </c>
      <c r="O576" s="11" t="s">
        <v>478</v>
      </c>
      <c r="P576" s="5"/>
      <c r="Q576" s="5"/>
      <c r="R576" s="5"/>
      <c r="S576" s="5"/>
      <c r="T576" s="5"/>
    </row>
    <row r="577" ht="15.75" customHeight="1">
      <c r="A577" s="6" t="str">
        <f t="shared" si="1"/>
        <v>reusable perfume bottle, 1536392546</v>
      </c>
      <c r="B577" s="7" t="s">
        <v>15</v>
      </c>
      <c r="C577" s="5"/>
      <c r="D577" s="5" t="s">
        <v>1840</v>
      </c>
      <c r="E577" s="5"/>
      <c r="F577" s="8">
        <v>1.536392546E9</v>
      </c>
      <c r="G577" s="9" t="str">
        <f>HYPERLINK("https://www.etsy.com/listing/1536392546", "link")</f>
        <v>link</v>
      </c>
      <c r="H577" s="9" t="str">
        <f>HYPERLINK("https://atlas.etsycorp.com/listing/1536392546/lookup", "link")</f>
        <v>link</v>
      </c>
      <c r="I577" s="5" t="s">
        <v>1841</v>
      </c>
      <c r="J577" s="5" t="s">
        <v>1842</v>
      </c>
      <c r="K577" s="5" t="s">
        <v>120</v>
      </c>
      <c r="L577" s="5" t="s">
        <v>41</v>
      </c>
      <c r="M577" s="10" t="s">
        <v>21</v>
      </c>
      <c r="N577" s="10" t="s">
        <v>23</v>
      </c>
      <c r="O577" s="11" t="s">
        <v>478</v>
      </c>
      <c r="P577" s="5"/>
      <c r="Q577" s="5"/>
      <c r="R577" s="5"/>
      <c r="S577" s="5"/>
      <c r="T577" s="5"/>
    </row>
    <row r="578" ht="15.75" customHeight="1">
      <c r="A578" s="6" t="str">
        <f t="shared" si="1"/>
        <v>vintage usa trucker hat, 1038834967</v>
      </c>
      <c r="B578" s="7" t="s">
        <v>24</v>
      </c>
      <c r="C578" s="7" t="s">
        <v>1843</v>
      </c>
      <c r="D578" s="5" t="s">
        <v>1844</v>
      </c>
      <c r="E578" s="5"/>
      <c r="F578" s="8">
        <v>1.038834967E9</v>
      </c>
      <c r="G578" s="9" t="str">
        <f>HYPERLINK("https://www.etsy.com/listing/1038834967", "link")</f>
        <v>link</v>
      </c>
      <c r="H578" s="9" t="str">
        <f>HYPERLINK("https://atlas.etsycorp.com/listing/1038834967/lookup", "link")</f>
        <v>link</v>
      </c>
      <c r="I578" s="5" t="s">
        <v>1845</v>
      </c>
      <c r="J578" s="5" t="s">
        <v>1846</v>
      </c>
      <c r="K578" s="5" t="s">
        <v>19</v>
      </c>
      <c r="L578" s="5" t="s">
        <v>73</v>
      </c>
      <c r="M578" s="10" t="s">
        <v>21</v>
      </c>
      <c r="N578" s="10" t="s">
        <v>23</v>
      </c>
      <c r="O578" s="11" t="s">
        <v>478</v>
      </c>
      <c r="P578" s="5"/>
      <c r="Q578" s="5"/>
      <c r="R578" s="5"/>
      <c r="S578" s="5"/>
      <c r="T578" s="5"/>
    </row>
    <row r="579" ht="15.75" customHeight="1">
      <c r="A579" s="6" t="str">
        <f t="shared" si="1"/>
        <v>emballage tablette  papa, 934411679</v>
      </c>
      <c r="B579" s="7" t="s">
        <v>48</v>
      </c>
      <c r="C579" s="5"/>
      <c r="D579" s="5" t="s">
        <v>424</v>
      </c>
      <c r="E579" s="5" t="s">
        <v>425</v>
      </c>
      <c r="F579" s="8">
        <v>9.34411679E8</v>
      </c>
      <c r="G579" s="9" t="str">
        <f>HYPERLINK("https://www.etsy.com/listing/934411679", "link")</f>
        <v>link</v>
      </c>
      <c r="H579" s="9" t="str">
        <f>HYPERLINK("https://atlas.etsycorp.com/listing/934411679/lookup", "link")</f>
        <v>link</v>
      </c>
      <c r="I579" s="5" t="s">
        <v>1847</v>
      </c>
      <c r="J579" s="5" t="s">
        <v>427</v>
      </c>
      <c r="K579" s="5" t="s">
        <v>54</v>
      </c>
      <c r="L579" s="5" t="s">
        <v>55</v>
      </c>
      <c r="M579" s="10" t="s">
        <v>21</v>
      </c>
      <c r="N579" s="10" t="s">
        <v>23</v>
      </c>
      <c r="O579" s="11" t="s">
        <v>478</v>
      </c>
      <c r="P579" s="5"/>
      <c r="Q579" s="5"/>
      <c r="R579" s="5"/>
      <c r="S579" s="5"/>
      <c r="T579" s="5"/>
    </row>
    <row r="580" ht="15.75" customHeight="1">
      <c r="A580" s="6" t="str">
        <f t="shared" si="1"/>
        <v>cadre personnalise main, 1592014481</v>
      </c>
      <c r="B580" s="7" t="s">
        <v>48</v>
      </c>
      <c r="C580" s="7" t="s">
        <v>1848</v>
      </c>
      <c r="D580" s="5" t="s">
        <v>413</v>
      </c>
      <c r="E580" s="5" t="s">
        <v>414</v>
      </c>
      <c r="F580" s="8">
        <v>1.592014481E9</v>
      </c>
      <c r="G580" s="9" t="str">
        <f>HYPERLINK("https://www.etsy.com/listing/1592014481", "link")</f>
        <v>link</v>
      </c>
      <c r="H580" s="9" t="str">
        <f>HYPERLINK("https://atlas.etsycorp.com/listing/1592014481/lookup", "link")</f>
        <v>link</v>
      </c>
      <c r="I580" s="5" t="s">
        <v>1849</v>
      </c>
      <c r="J580" s="5" t="s">
        <v>416</v>
      </c>
      <c r="K580" s="5" t="s">
        <v>54</v>
      </c>
      <c r="L580" s="5" t="s">
        <v>55</v>
      </c>
      <c r="M580" s="10" t="s">
        <v>21</v>
      </c>
      <c r="N580" s="10" t="s">
        <v>23</v>
      </c>
      <c r="O580" s="11" t="s">
        <v>478</v>
      </c>
      <c r="P580" s="5"/>
      <c r="Q580" s="5"/>
      <c r="R580" s="5"/>
      <c r="S580" s="5"/>
      <c r="T580" s="5"/>
    </row>
    <row r="581" ht="15.75" customHeight="1">
      <c r="A581" s="6" t="str">
        <f t="shared" si="1"/>
        <v>personalized gift, 1215408499</v>
      </c>
      <c r="B581" s="7" t="s">
        <v>15</v>
      </c>
      <c r="C581" s="5"/>
      <c r="D581" s="5" t="s">
        <v>117</v>
      </c>
      <c r="E581" s="5"/>
      <c r="F581" s="8">
        <v>1.215408499E9</v>
      </c>
      <c r="G581" s="9" t="str">
        <f>HYPERLINK("https://www.etsy.com/listing/1215408499", "link")</f>
        <v>link</v>
      </c>
      <c r="H581" s="9" t="str">
        <f>HYPERLINK("https://atlas.etsycorp.com/listing/1215408499/lookup", "link")</f>
        <v>link</v>
      </c>
      <c r="I581" s="5" t="s">
        <v>1850</v>
      </c>
      <c r="J581" s="5" t="s">
        <v>1851</v>
      </c>
      <c r="K581" s="5" t="s">
        <v>19</v>
      </c>
      <c r="L581" s="5" t="s">
        <v>100</v>
      </c>
      <c r="M581" s="10" t="s">
        <v>21</v>
      </c>
      <c r="N581" s="10" t="s">
        <v>23</v>
      </c>
      <c r="O581" s="11" t="s">
        <v>478</v>
      </c>
      <c r="P581" s="5"/>
      <c r="Q581" s="5"/>
      <c r="R581" s="5"/>
      <c r="S581" s="5"/>
      <c r="T581" s="5"/>
    </row>
    <row r="582" ht="15.75" customHeight="1">
      <c r="A582" s="6" t="str">
        <f t="shared" si="1"/>
        <v>tweedelig shorts blazer, 1220616976</v>
      </c>
      <c r="B582" s="7" t="s">
        <v>48</v>
      </c>
      <c r="C582" s="5"/>
      <c r="D582" s="5" t="s">
        <v>1852</v>
      </c>
      <c r="E582" s="5" t="s">
        <v>1853</v>
      </c>
      <c r="F582" s="8">
        <v>1.220616976E9</v>
      </c>
      <c r="G582" s="9" t="str">
        <f>HYPERLINK("https://www.etsy.com/listing/1220616976", "link")</f>
        <v>link</v>
      </c>
      <c r="H582" s="9" t="str">
        <f>HYPERLINK("https://atlas.etsycorp.com/listing/1220616976/lookup", "link")</f>
        <v>link</v>
      </c>
      <c r="I582" s="5" t="s">
        <v>1854</v>
      </c>
      <c r="J582" s="5" t="s">
        <v>1855</v>
      </c>
      <c r="K582" s="5" t="s">
        <v>35</v>
      </c>
      <c r="L582" s="5" t="s">
        <v>36</v>
      </c>
      <c r="M582" s="10" t="s">
        <v>21</v>
      </c>
      <c r="N582" s="10" t="s">
        <v>23</v>
      </c>
      <c r="O582" s="11" t="s">
        <v>478</v>
      </c>
      <c r="P582" s="5"/>
      <c r="Q582" s="5"/>
      <c r="R582" s="5"/>
      <c r="S582" s="5"/>
      <c r="T582" s="5"/>
    </row>
    <row r="583" ht="15.75" customHeight="1">
      <c r="A583" s="6" t="str">
        <f t="shared" si="1"/>
        <v>curta calculator, 836912017</v>
      </c>
      <c r="B583" s="7" t="s">
        <v>48</v>
      </c>
      <c r="C583" s="5"/>
      <c r="D583" s="5" t="s">
        <v>1856</v>
      </c>
      <c r="E583" s="5"/>
      <c r="F583" s="8">
        <v>8.36912017E8</v>
      </c>
      <c r="G583" s="9" t="str">
        <f>HYPERLINK("https://www.etsy.com/listing/836912017", "link")</f>
        <v>link</v>
      </c>
      <c r="H583" s="9" t="str">
        <f>HYPERLINK("https://atlas.etsycorp.com/listing/836912017/lookup", "link")</f>
        <v>link</v>
      </c>
      <c r="I583" s="5" t="s">
        <v>1857</v>
      </c>
      <c r="J583" s="5" t="s">
        <v>1858</v>
      </c>
      <c r="K583" s="5" t="s">
        <v>19</v>
      </c>
      <c r="L583" s="5" t="s">
        <v>41</v>
      </c>
      <c r="M583" s="10" t="s">
        <v>21</v>
      </c>
      <c r="N583" s="10" t="s">
        <v>23</v>
      </c>
      <c r="O583" s="11" t="s">
        <v>478</v>
      </c>
      <c r="P583" s="5"/>
      <c r="Q583" s="5"/>
      <c r="R583" s="5"/>
      <c r="S583" s="5"/>
      <c r="T583" s="5"/>
    </row>
    <row r="584" ht="15.75" customHeight="1">
      <c r="A584" s="6" t="str">
        <f t="shared" si="1"/>
        <v>iinside my head, 1461679994</v>
      </c>
      <c r="B584" s="7" t="s">
        <v>15</v>
      </c>
      <c r="C584" s="5"/>
      <c r="D584" s="5" t="s">
        <v>1499</v>
      </c>
      <c r="E584" s="5" t="s">
        <v>1500</v>
      </c>
      <c r="F584" s="8">
        <v>1.461679994E9</v>
      </c>
      <c r="G584" s="9" t="str">
        <f>HYPERLINK("https://www.etsy.com/listing/1461679994", "link")</f>
        <v>link</v>
      </c>
      <c r="H584" s="9" t="str">
        <f>HYPERLINK("https://atlas.etsycorp.com/listing/1461679994/lookup", "link")</f>
        <v>link</v>
      </c>
      <c r="I584" s="5" t="s">
        <v>1859</v>
      </c>
      <c r="J584" s="5" t="s">
        <v>1502</v>
      </c>
      <c r="K584" s="5" t="s">
        <v>35</v>
      </c>
      <c r="L584" s="5" t="s">
        <v>36</v>
      </c>
      <c r="M584" s="10" t="s">
        <v>21</v>
      </c>
      <c r="N584" s="10" t="s">
        <v>23</v>
      </c>
      <c r="O584" s="11" t="s">
        <v>478</v>
      </c>
      <c r="P584" s="5"/>
      <c r="Q584" s="5"/>
      <c r="R584" s="5"/>
      <c r="S584" s="5"/>
      <c r="T584" s="5"/>
    </row>
    <row r="585" ht="15.75" customHeight="1">
      <c r="A585" s="6" t="str">
        <f t="shared" si="1"/>
        <v>movie prop kits, 1092683169</v>
      </c>
      <c r="B585" s="7" t="s">
        <v>15</v>
      </c>
      <c r="C585" s="5"/>
      <c r="D585" s="5" t="s">
        <v>1547</v>
      </c>
      <c r="E585" s="5"/>
      <c r="F585" s="8">
        <v>1.092683169E9</v>
      </c>
      <c r="G585" s="9" t="str">
        <f>HYPERLINK("https://www.etsy.com/listing/1092683169", "link")</f>
        <v>link</v>
      </c>
      <c r="H585" s="9" t="str">
        <f>HYPERLINK("https://atlas.etsycorp.com/listing/1092683169/lookup", "link")</f>
        <v>link</v>
      </c>
      <c r="I585" s="5" t="s">
        <v>1860</v>
      </c>
      <c r="J585" s="5" t="s">
        <v>1549</v>
      </c>
      <c r="K585" s="5" t="s">
        <v>120</v>
      </c>
      <c r="L585" s="5" t="s">
        <v>41</v>
      </c>
      <c r="M585" s="10" t="s">
        <v>21</v>
      </c>
      <c r="N585" s="10" t="s">
        <v>23</v>
      </c>
      <c r="O585" s="11" t="s">
        <v>478</v>
      </c>
      <c r="P585" s="5"/>
      <c r="Q585" s="5"/>
      <c r="R585" s="5"/>
      <c r="S585" s="5"/>
      <c r="T585" s="5"/>
    </row>
    <row r="586" ht="15.75" customHeight="1">
      <c r="A586" s="6" t="str">
        <f t="shared" si="1"/>
        <v>travel accessories, 1079978628</v>
      </c>
      <c r="B586" s="7" t="s">
        <v>24</v>
      </c>
      <c r="C586" s="7" t="s">
        <v>1861</v>
      </c>
      <c r="D586" s="5" t="s">
        <v>506</v>
      </c>
      <c r="E586" s="5" t="s">
        <v>506</v>
      </c>
      <c r="F586" s="8">
        <v>1.079978628E9</v>
      </c>
      <c r="G586" s="9" t="str">
        <f>HYPERLINK("https://www.etsy.com/listing/1079978628", "link")</f>
        <v>link</v>
      </c>
      <c r="H586" s="9" t="str">
        <f>HYPERLINK("https://atlas.etsycorp.com/listing/1079978628/lookup", "link")</f>
        <v>link</v>
      </c>
      <c r="I586" s="5" t="s">
        <v>1862</v>
      </c>
      <c r="J586" s="5" t="s">
        <v>1863</v>
      </c>
      <c r="K586" s="5" t="s">
        <v>80</v>
      </c>
      <c r="L586" s="5" t="s">
        <v>81</v>
      </c>
      <c r="M586" s="10" t="s">
        <v>21</v>
      </c>
      <c r="N586" s="10" t="s">
        <v>23</v>
      </c>
      <c r="O586" s="11" t="s">
        <v>478</v>
      </c>
      <c r="P586" s="5"/>
      <c r="Q586" s="5"/>
      <c r="R586" s="5"/>
      <c r="S586" s="5"/>
      <c r="T586" s="5"/>
    </row>
    <row r="587" ht="15.75" customHeight="1">
      <c r="A587" s="6" t="str">
        <f t="shared" si="1"/>
        <v>digital download prints, 1513309231</v>
      </c>
      <c r="B587" s="7" t="s">
        <v>15</v>
      </c>
      <c r="C587" s="5"/>
      <c r="D587" s="5" t="s">
        <v>1864</v>
      </c>
      <c r="E587" s="5"/>
      <c r="F587" s="8">
        <v>1.513309231E9</v>
      </c>
      <c r="G587" s="9" t="str">
        <f>HYPERLINK("https://www.etsy.com/listing/1513309231", "link")</f>
        <v>link</v>
      </c>
      <c r="H587" s="9" t="str">
        <f>HYPERLINK("https://atlas.etsycorp.com/listing/1513309231/lookup", "link")</f>
        <v>link</v>
      </c>
      <c r="I587" s="5" t="s">
        <v>1865</v>
      </c>
      <c r="J587" s="5" t="s">
        <v>1866</v>
      </c>
      <c r="K587" s="5" t="s">
        <v>19</v>
      </c>
      <c r="L587" s="5" t="s">
        <v>41</v>
      </c>
      <c r="M587" s="10" t="s">
        <v>21</v>
      </c>
      <c r="N587" s="10" t="s">
        <v>23</v>
      </c>
      <c r="O587" s="11" t="s">
        <v>478</v>
      </c>
      <c r="P587" s="5"/>
      <c r="Q587" s="5"/>
      <c r="R587" s="5"/>
      <c r="S587" s="5"/>
      <c r="T587" s="5"/>
    </row>
    <row r="588" ht="15.75" customHeight="1">
      <c r="A588" s="6" t="str">
        <f t="shared" si="1"/>
        <v>ohrringe, 1119471818</v>
      </c>
      <c r="B588" s="7" t="s">
        <v>15</v>
      </c>
      <c r="C588" s="5"/>
      <c r="D588" s="5" t="s">
        <v>528</v>
      </c>
      <c r="E588" s="5" t="s">
        <v>529</v>
      </c>
      <c r="F588" s="8">
        <v>1.119471818E9</v>
      </c>
      <c r="G588" s="9" t="str">
        <f>HYPERLINK("https://www.etsy.com/listing/1119471818", "link")</f>
        <v>link</v>
      </c>
      <c r="H588" s="9" t="str">
        <f>HYPERLINK("https://atlas.etsycorp.com/listing/1119471818/lookup", "link")</f>
        <v>link</v>
      </c>
      <c r="I588" s="5" t="s">
        <v>1867</v>
      </c>
      <c r="J588" s="5" t="s">
        <v>1868</v>
      </c>
      <c r="K588" s="5" t="s">
        <v>46</v>
      </c>
      <c r="L588" s="5" t="s">
        <v>47</v>
      </c>
      <c r="M588" s="10" t="s">
        <v>21</v>
      </c>
      <c r="N588" s="10" t="s">
        <v>23</v>
      </c>
      <c r="O588" s="11" t="s">
        <v>478</v>
      </c>
      <c r="P588" s="5"/>
      <c r="Q588" s="5"/>
      <c r="R588" s="5"/>
      <c r="S588" s="5"/>
      <c r="T588" s="5"/>
    </row>
    <row r="589" ht="15.75" customHeight="1">
      <c r="A589" s="6" t="str">
        <f t="shared" si="1"/>
        <v>trakers budget, 1684482441</v>
      </c>
      <c r="B589" s="7" t="s">
        <v>15</v>
      </c>
      <c r="C589" s="5"/>
      <c r="D589" s="5" t="s">
        <v>1001</v>
      </c>
      <c r="E589" s="5" t="s">
        <v>1002</v>
      </c>
      <c r="F589" s="8">
        <v>1.684482441E9</v>
      </c>
      <c r="G589" s="9" t="str">
        <f>HYPERLINK("https://www.etsy.com/listing/1684482441", "link")</f>
        <v>link</v>
      </c>
      <c r="H589" s="9" t="str">
        <f>HYPERLINK("https://atlas.etsycorp.com/listing/1684482441/lookup", "link")</f>
        <v>link</v>
      </c>
      <c r="I589" s="5" t="s">
        <v>1869</v>
      </c>
      <c r="J589" s="5" t="s">
        <v>1004</v>
      </c>
      <c r="K589" s="5" t="s">
        <v>54</v>
      </c>
      <c r="L589" s="5" t="s">
        <v>55</v>
      </c>
      <c r="M589" s="10" t="s">
        <v>21</v>
      </c>
      <c r="N589" s="10" t="s">
        <v>23</v>
      </c>
      <c r="O589" s="11" t="s">
        <v>478</v>
      </c>
      <c r="P589" s="5"/>
      <c r="Q589" s="5"/>
      <c r="R589" s="5"/>
      <c r="S589" s="5"/>
      <c r="T589" s="5"/>
    </row>
    <row r="590" ht="15.75" customHeight="1">
      <c r="A590" s="6" t="str">
        <f t="shared" si="1"/>
        <v>baby hair slides, 1253748573</v>
      </c>
      <c r="B590" s="7" t="s">
        <v>15</v>
      </c>
      <c r="C590" s="5"/>
      <c r="D590" s="5" t="s">
        <v>1870</v>
      </c>
      <c r="E590" s="5"/>
      <c r="F590" s="8">
        <v>1.253748573E9</v>
      </c>
      <c r="G590" s="9" t="str">
        <f>HYPERLINK("https://www.etsy.com/listing/1253748573", "link")</f>
        <v>link</v>
      </c>
      <c r="H590" s="9" t="str">
        <f>HYPERLINK("https://atlas.etsycorp.com/listing/1253748573/lookup", "link")</f>
        <v>link</v>
      </c>
      <c r="I590" s="5" t="s">
        <v>1871</v>
      </c>
      <c r="J590" s="5" t="s">
        <v>1872</v>
      </c>
      <c r="K590" s="5" t="s">
        <v>120</v>
      </c>
      <c r="L590" s="5" t="s">
        <v>41</v>
      </c>
      <c r="M590" s="10" t="s">
        <v>21</v>
      </c>
      <c r="N590" s="10" t="s">
        <v>23</v>
      </c>
      <c r="O590" s="11" t="s">
        <v>478</v>
      </c>
      <c r="P590" s="5"/>
      <c r="Q590" s="5"/>
      <c r="R590" s="5"/>
      <c r="S590" s="5"/>
      <c r="T590" s="5"/>
    </row>
    <row r="591" ht="15.75" customHeight="1">
      <c r="A591" s="6" t="str">
        <f t="shared" si="1"/>
        <v>metal camisetas, 1254550363</v>
      </c>
      <c r="B591" s="7" t="s">
        <v>15</v>
      </c>
      <c r="C591" s="5"/>
      <c r="D591" s="5" t="s">
        <v>1873</v>
      </c>
      <c r="E591" s="5" t="s">
        <v>1874</v>
      </c>
      <c r="F591" s="8">
        <v>1.254550363E9</v>
      </c>
      <c r="G591" s="9" t="str">
        <f>HYPERLINK("https://www.etsy.com/listing/1254550363", "link")</f>
        <v>link</v>
      </c>
      <c r="H591" s="9" t="str">
        <f>HYPERLINK("https://atlas.etsycorp.com/listing/1254550363/lookup", "link")</f>
        <v>link</v>
      </c>
      <c r="I591" s="5" t="s">
        <v>1875</v>
      </c>
      <c r="J591" s="5" t="s">
        <v>1876</v>
      </c>
      <c r="K591" s="5" t="s">
        <v>29</v>
      </c>
      <c r="L591" s="5" t="s">
        <v>30</v>
      </c>
      <c r="M591" s="10" t="s">
        <v>21</v>
      </c>
      <c r="N591" s="10" t="s">
        <v>23</v>
      </c>
      <c r="O591" s="11" t="s">
        <v>478</v>
      </c>
      <c r="P591" s="5"/>
      <c r="Q591" s="5"/>
      <c r="R591" s="5"/>
      <c r="S591" s="5"/>
      <c r="T591" s="5"/>
    </row>
    <row r="592" ht="15.75" customHeight="1">
      <c r="A592" s="6" t="str">
        <f t="shared" si="1"/>
        <v>abschiedsgeschenk kollegen, 1499956409</v>
      </c>
      <c r="B592" s="7" t="s">
        <v>15</v>
      </c>
      <c r="C592" s="5"/>
      <c r="D592" s="5" t="s">
        <v>1525</v>
      </c>
      <c r="E592" s="5" t="s">
        <v>1526</v>
      </c>
      <c r="F592" s="8">
        <v>1.499956409E9</v>
      </c>
      <c r="G592" s="9" t="str">
        <f>HYPERLINK("https://www.etsy.com/listing/1499956409", "link")</f>
        <v>link</v>
      </c>
      <c r="H592" s="9" t="str">
        <f>HYPERLINK("https://atlas.etsycorp.com/listing/1499956409/lookup", "link")</f>
        <v>link</v>
      </c>
      <c r="I592" s="5" t="s">
        <v>1877</v>
      </c>
      <c r="J592" s="5" t="s">
        <v>1528</v>
      </c>
      <c r="K592" s="5" t="s">
        <v>46</v>
      </c>
      <c r="L592" s="5" t="s">
        <v>47</v>
      </c>
      <c r="M592" s="10" t="s">
        <v>21</v>
      </c>
      <c r="N592" s="10" t="s">
        <v>23</v>
      </c>
      <c r="O592" s="11" t="s">
        <v>478</v>
      </c>
      <c r="P592" s="5"/>
      <c r="Q592" s="5"/>
      <c r="R592" s="5"/>
      <c r="S592" s="5"/>
      <c r="T592" s="5"/>
    </row>
    <row r="593" ht="15.75" customHeight="1">
      <c r="A593" s="6" t="str">
        <f t="shared" si="1"/>
        <v>sidewalk sign, 1196149610</v>
      </c>
      <c r="B593" s="7" t="s">
        <v>15</v>
      </c>
      <c r="C593" s="5"/>
      <c r="D593" s="5" t="s">
        <v>1878</v>
      </c>
      <c r="E593" s="5" t="s">
        <v>1878</v>
      </c>
      <c r="F593" s="8">
        <v>1.19614961E9</v>
      </c>
      <c r="G593" s="9" t="str">
        <f>HYPERLINK("https://www.etsy.com/listing/1196149610", "link")</f>
        <v>link</v>
      </c>
      <c r="H593" s="9" t="str">
        <f>HYPERLINK("https://atlas.etsycorp.com/listing/1196149610/lookup", "link")</f>
        <v>link</v>
      </c>
      <c r="I593" s="5" t="s">
        <v>1879</v>
      </c>
      <c r="J593" s="5" t="s">
        <v>1880</v>
      </c>
      <c r="K593" s="5" t="s">
        <v>35</v>
      </c>
      <c r="L593" s="5" t="s">
        <v>36</v>
      </c>
      <c r="M593" s="10" t="s">
        <v>21</v>
      </c>
      <c r="N593" s="10" t="s">
        <v>23</v>
      </c>
      <c r="O593" s="11" t="s">
        <v>478</v>
      </c>
      <c r="P593" s="5"/>
      <c r="Q593" s="5"/>
      <c r="R593" s="5"/>
      <c r="S593" s="5"/>
      <c r="T593" s="5"/>
    </row>
    <row r="594" ht="15.75" customHeight="1">
      <c r="A594" s="6" t="str">
        <f t="shared" si="1"/>
        <v>elephant crochet, 1417419069</v>
      </c>
      <c r="B594" s="7" t="s">
        <v>24</v>
      </c>
      <c r="C594" s="7" t="s">
        <v>971</v>
      </c>
      <c r="D594" s="5" t="s">
        <v>1881</v>
      </c>
      <c r="E594" s="5" t="s">
        <v>1881</v>
      </c>
      <c r="F594" s="8">
        <v>1.417419069E9</v>
      </c>
      <c r="G594" s="9" t="str">
        <f>HYPERLINK("https://www.etsy.com/listing/1417419069", "link")</f>
        <v>link</v>
      </c>
      <c r="H594" s="9" t="str">
        <f>HYPERLINK("https://atlas.etsycorp.com/listing/1417419069/lookup", "link")</f>
        <v>link</v>
      </c>
      <c r="I594" s="5" t="s">
        <v>1882</v>
      </c>
      <c r="J594" s="5" t="s">
        <v>1883</v>
      </c>
      <c r="K594" s="5" t="s">
        <v>29</v>
      </c>
      <c r="L594" s="5" t="s">
        <v>30</v>
      </c>
      <c r="M594" s="10" t="s">
        <v>21</v>
      </c>
      <c r="N594" s="10" t="s">
        <v>23</v>
      </c>
      <c r="O594" s="11" t="s">
        <v>478</v>
      </c>
      <c r="P594" s="5"/>
      <c r="Q594" s="5"/>
      <c r="R594" s="5"/>
      <c r="S594" s="5"/>
      <c r="T594" s="5"/>
    </row>
    <row r="595" ht="15.75" customHeight="1">
      <c r="A595" s="6" t="str">
        <f t="shared" si="1"/>
        <v>bracelet pour montre femme 1cm, 1042075811</v>
      </c>
      <c r="B595" s="7" t="s">
        <v>15</v>
      </c>
      <c r="C595" s="5"/>
      <c r="D595" s="5" t="s">
        <v>126</v>
      </c>
      <c r="E595" s="5" t="s">
        <v>127</v>
      </c>
      <c r="F595" s="8">
        <v>1.042075811E9</v>
      </c>
      <c r="G595" s="9" t="str">
        <f>HYPERLINK("https://www.etsy.com/listing/1042075811", "link")</f>
        <v>link</v>
      </c>
      <c r="H595" s="9" t="str">
        <f>HYPERLINK("https://atlas.etsycorp.com/listing/1042075811/lookup", "link")</f>
        <v>link</v>
      </c>
      <c r="I595" s="5" t="s">
        <v>1884</v>
      </c>
      <c r="J595" s="5" t="s">
        <v>129</v>
      </c>
      <c r="K595" s="5" t="s">
        <v>54</v>
      </c>
      <c r="L595" s="5" t="s">
        <v>55</v>
      </c>
      <c r="M595" s="10" t="s">
        <v>21</v>
      </c>
      <c r="N595" s="10" t="s">
        <v>23</v>
      </c>
      <c r="O595" s="11" t="s">
        <v>478</v>
      </c>
      <c r="P595" s="5"/>
      <c r="Q595" s="5"/>
      <c r="R595" s="5"/>
      <c r="S595" s="5"/>
      <c r="T595" s="5"/>
    </row>
    <row r="596" ht="15.75" customHeight="1">
      <c r="A596" s="6" t="str">
        <f t="shared" si="1"/>
        <v>logo R300, 1670750627</v>
      </c>
      <c r="B596" s="7" t="s">
        <v>48</v>
      </c>
      <c r="C596" s="5"/>
      <c r="D596" s="5" t="s">
        <v>935</v>
      </c>
      <c r="E596" s="5" t="s">
        <v>936</v>
      </c>
      <c r="F596" s="8">
        <v>1.670750627E9</v>
      </c>
      <c r="G596" s="9" t="str">
        <f>HYPERLINK("https://www.etsy.com/listing/1670750627", "link")</f>
        <v>link</v>
      </c>
      <c r="H596" s="9" t="str">
        <f>HYPERLINK("https://atlas.etsycorp.com/listing/1670750627/lookup", "link")</f>
        <v>link</v>
      </c>
      <c r="I596" s="5" t="s">
        <v>1885</v>
      </c>
      <c r="J596" s="5" t="s">
        <v>938</v>
      </c>
      <c r="K596" s="5" t="s">
        <v>54</v>
      </c>
      <c r="L596" s="5" t="s">
        <v>55</v>
      </c>
      <c r="M596" s="10" t="s">
        <v>21</v>
      </c>
      <c r="N596" s="10" t="s">
        <v>23</v>
      </c>
      <c r="O596" s="11" t="s">
        <v>478</v>
      </c>
      <c r="P596" s="5"/>
      <c r="Q596" s="5"/>
      <c r="R596" s="5"/>
      <c r="S596" s="5"/>
      <c r="T596" s="5"/>
    </row>
    <row r="597" ht="15.75" customHeight="1">
      <c r="A597" s="6" t="str">
        <f t="shared" si="1"/>
        <v>fallout 4 onsie, 1515350100</v>
      </c>
      <c r="B597" s="7" t="s">
        <v>24</v>
      </c>
      <c r="C597" s="7" t="s">
        <v>971</v>
      </c>
      <c r="D597" s="5" t="s">
        <v>1886</v>
      </c>
      <c r="E597" s="5"/>
      <c r="F597" s="8">
        <v>1.5153501E9</v>
      </c>
      <c r="G597" s="9" t="str">
        <f>HYPERLINK("https://www.etsy.com/listing/1515350100", "link")</f>
        <v>link</v>
      </c>
      <c r="H597" s="9" t="str">
        <f>HYPERLINK("https://atlas.etsycorp.com/listing/1515350100/lookup", "link")</f>
        <v>link</v>
      </c>
      <c r="I597" s="5" t="s">
        <v>1887</v>
      </c>
      <c r="J597" s="5" t="s">
        <v>1888</v>
      </c>
      <c r="K597" s="5" t="s">
        <v>19</v>
      </c>
      <c r="L597" s="5" t="s">
        <v>20</v>
      </c>
      <c r="M597" s="10" t="s">
        <v>21</v>
      </c>
      <c r="N597" s="10" t="s">
        <v>23</v>
      </c>
      <c r="O597" s="11" t="s">
        <v>478</v>
      </c>
      <c r="P597" s="5"/>
      <c r="Q597" s="5"/>
      <c r="R597" s="5"/>
      <c r="S597" s="5"/>
      <c r="T597" s="5"/>
    </row>
    <row r="598" ht="15.75" customHeight="1">
      <c r="A598" s="6" t="str">
        <f t="shared" si="1"/>
        <v>wood dragon pin, 1101260234</v>
      </c>
      <c r="B598" s="7" t="s">
        <v>24</v>
      </c>
      <c r="C598" s="5"/>
      <c r="D598" s="5" t="s">
        <v>1889</v>
      </c>
      <c r="E598" s="5"/>
      <c r="F598" s="8">
        <v>1.101260234E9</v>
      </c>
      <c r="G598" s="9" t="str">
        <f>HYPERLINK("https://www.etsy.com/listing/1101260234", "link")</f>
        <v>link</v>
      </c>
      <c r="H598" s="9" t="str">
        <f>HYPERLINK("https://atlas.etsycorp.com/listing/1101260234/lookup", "link")</f>
        <v>link</v>
      </c>
      <c r="I598" s="5" t="s">
        <v>1890</v>
      </c>
      <c r="J598" s="5" t="s">
        <v>1891</v>
      </c>
      <c r="K598" s="5" t="s">
        <v>120</v>
      </c>
      <c r="L598" s="5" t="s">
        <v>73</v>
      </c>
      <c r="M598" s="10" t="s">
        <v>21</v>
      </c>
      <c r="N598" s="10" t="s">
        <v>23</v>
      </c>
      <c r="O598" s="11" t="s">
        <v>478</v>
      </c>
      <c r="P598" s="5"/>
      <c r="Q598" s="5"/>
      <c r="R598" s="5"/>
      <c r="S598" s="5"/>
      <c r="T598" s="5"/>
    </row>
    <row r="599" ht="15.75" customHeight="1">
      <c r="A599" s="6" t="str">
        <f t="shared" si="1"/>
        <v>savon mariage, 1688201497</v>
      </c>
      <c r="B599" s="7" t="s">
        <v>15</v>
      </c>
      <c r="C599" s="5"/>
      <c r="D599" s="5" t="s">
        <v>1892</v>
      </c>
      <c r="E599" s="5" t="s">
        <v>1893</v>
      </c>
      <c r="F599" s="8">
        <v>1.688201497E9</v>
      </c>
      <c r="G599" s="9" t="str">
        <f>HYPERLINK("https://www.etsy.com/listing/1688201497", "link")</f>
        <v>link</v>
      </c>
      <c r="H599" s="9" t="str">
        <f>HYPERLINK("https://atlas.etsycorp.com/listing/1688201497/lookup", "link")</f>
        <v>link</v>
      </c>
      <c r="I599" s="5" t="s">
        <v>1894</v>
      </c>
      <c r="J599" s="5" t="s">
        <v>1895</v>
      </c>
      <c r="K599" s="5" t="s">
        <v>54</v>
      </c>
      <c r="L599" s="5" t="s">
        <v>55</v>
      </c>
      <c r="M599" s="10" t="s">
        <v>21</v>
      </c>
      <c r="N599" s="10" t="s">
        <v>23</v>
      </c>
      <c r="O599" s="11" t="s">
        <v>478</v>
      </c>
      <c r="P599" s="5"/>
      <c r="Q599" s="5"/>
      <c r="R599" s="5"/>
      <c r="S599" s="5"/>
      <c r="T599" s="5"/>
    </row>
    <row r="600" ht="15.75" customHeight="1">
      <c r="A600" s="6" t="str">
        <f t="shared" si="1"/>
        <v>sarape decoración de mesa, 1687718968</v>
      </c>
      <c r="B600" s="7" t="s">
        <v>48</v>
      </c>
      <c r="C600" s="5"/>
      <c r="D600" s="5" t="s">
        <v>201</v>
      </c>
      <c r="E600" s="5" t="s">
        <v>202</v>
      </c>
      <c r="F600" s="8">
        <v>1.687718968E9</v>
      </c>
      <c r="G600" s="9" t="str">
        <f>HYPERLINK("https://www.etsy.com/listing/1687718968", "link")</f>
        <v>link</v>
      </c>
      <c r="H600" s="9" t="str">
        <f>HYPERLINK("https://atlas.etsycorp.com/listing/1687718968/lookup", "link")</f>
        <v>link</v>
      </c>
      <c r="I600" s="5" t="s">
        <v>1896</v>
      </c>
      <c r="J600" s="5" t="s">
        <v>204</v>
      </c>
      <c r="K600" s="5" t="s">
        <v>29</v>
      </c>
      <c r="L600" s="5" t="s">
        <v>30</v>
      </c>
      <c r="M600" s="10" t="s">
        <v>21</v>
      </c>
      <c r="N600" s="10" t="s">
        <v>23</v>
      </c>
      <c r="O600" s="11" t="s">
        <v>478</v>
      </c>
      <c r="P600" s="5"/>
      <c r="Q600" s="5"/>
      <c r="R600" s="5"/>
      <c r="S600" s="5"/>
      <c r="T600" s="5"/>
    </row>
    <row r="601" ht="15.75" customHeight="1">
      <c r="A601" s="6" t="str">
        <f t="shared" si="1"/>
        <v>point de croix abeille, 1678821998</v>
      </c>
      <c r="B601" s="7" t="s">
        <v>15</v>
      </c>
      <c r="C601" s="5"/>
      <c r="D601" s="5" t="s">
        <v>1897</v>
      </c>
      <c r="E601" s="5" t="s">
        <v>1898</v>
      </c>
      <c r="F601" s="8">
        <v>1.678821998E9</v>
      </c>
      <c r="G601" s="9" t="str">
        <f>HYPERLINK("https://www.etsy.com/listing/1678821998", "link")</f>
        <v>link</v>
      </c>
      <c r="H601" s="9" t="str">
        <f>HYPERLINK("https://atlas.etsycorp.com/listing/1678821998/lookup", "link")</f>
        <v>link</v>
      </c>
      <c r="I601" s="5" t="s">
        <v>1899</v>
      </c>
      <c r="J601" s="5" t="s">
        <v>1900</v>
      </c>
      <c r="K601" s="5" t="s">
        <v>54</v>
      </c>
      <c r="L601" s="5" t="s">
        <v>55</v>
      </c>
      <c r="M601" s="10" t="s">
        <v>21</v>
      </c>
      <c r="N601" s="10" t="s">
        <v>23</v>
      </c>
      <c r="O601" s="11" t="s">
        <v>478</v>
      </c>
      <c r="P601" s="5"/>
      <c r="Q601" s="5"/>
      <c r="R601" s="5"/>
      <c r="S601" s="5"/>
      <c r="T601" s="5"/>
    </row>
    <row r="602" ht="15.75" customHeight="1">
      <c r="A602" s="6" t="str">
        <f t="shared" si="1"/>
        <v>barcelona, 1472974500</v>
      </c>
      <c r="B602" s="7" t="s">
        <v>15</v>
      </c>
      <c r="C602" s="5"/>
      <c r="D602" s="5" t="s">
        <v>1901</v>
      </c>
      <c r="E602" s="5"/>
      <c r="F602" s="8">
        <v>1.4729745E9</v>
      </c>
      <c r="G602" s="9" t="str">
        <f>HYPERLINK("https://www.etsy.com/listing/1472974500", "link")</f>
        <v>link</v>
      </c>
      <c r="H602" s="9" t="str">
        <f>HYPERLINK("https://atlas.etsycorp.com/listing/1472974500/lookup", "link")</f>
        <v>link</v>
      </c>
      <c r="I602" s="5" t="s">
        <v>1902</v>
      </c>
      <c r="J602" s="5" t="s">
        <v>1903</v>
      </c>
      <c r="K602" s="5" t="s">
        <v>19</v>
      </c>
      <c r="L602" s="5" t="s">
        <v>20</v>
      </c>
      <c r="M602" s="10" t="s">
        <v>21</v>
      </c>
      <c r="N602" s="10" t="s">
        <v>478</v>
      </c>
      <c r="O602" s="11" t="s">
        <v>877</v>
      </c>
      <c r="P602" s="5"/>
      <c r="Q602" s="5"/>
      <c r="R602" s="5"/>
      <c r="S602" s="5"/>
      <c r="T602" s="5"/>
    </row>
    <row r="603" ht="15.75" customHeight="1">
      <c r="A603" s="6" t="str">
        <f t="shared" si="1"/>
        <v>custom printed insoles, 1541501487</v>
      </c>
      <c r="B603" s="7" t="s">
        <v>48</v>
      </c>
      <c r="C603" s="5"/>
      <c r="D603" s="5" t="s">
        <v>1904</v>
      </c>
      <c r="E603" s="5"/>
      <c r="F603" s="8">
        <v>1.541501487E9</v>
      </c>
      <c r="G603" s="9" t="str">
        <f>HYPERLINK("https://www.etsy.com/listing/1541501487", "link")</f>
        <v>link</v>
      </c>
      <c r="H603" s="9" t="str">
        <f>HYPERLINK("https://atlas.etsycorp.com/listing/1541501487/lookup", "link")</f>
        <v>link</v>
      </c>
      <c r="I603" s="5" t="s">
        <v>1905</v>
      </c>
      <c r="J603" s="5" t="s">
        <v>1906</v>
      </c>
      <c r="K603" s="5" t="s">
        <v>19</v>
      </c>
      <c r="L603" s="5" t="s">
        <v>73</v>
      </c>
      <c r="M603" s="10" t="s">
        <v>21</v>
      </c>
      <c r="N603" s="10" t="s">
        <v>478</v>
      </c>
      <c r="O603" s="11" t="s">
        <v>877</v>
      </c>
      <c r="P603" s="5"/>
      <c r="Q603" s="5"/>
      <c r="R603" s="5"/>
      <c r="S603" s="5"/>
      <c r="T603" s="5"/>
    </row>
    <row r="604" ht="15.75" customHeight="1">
      <c r="A604" s="6" t="str">
        <f t="shared" si="1"/>
        <v>Find shirts, 1250129035</v>
      </c>
      <c r="B604" s="7" t="s">
        <v>24</v>
      </c>
      <c r="C604" s="5"/>
      <c r="D604" s="5" t="s">
        <v>89</v>
      </c>
      <c r="E604" s="5" t="s">
        <v>89</v>
      </c>
      <c r="F604" s="8">
        <v>1.250129035E9</v>
      </c>
      <c r="G604" s="9" t="str">
        <f>HYPERLINK("https://www.etsy.com/listing/1250129035", "link")</f>
        <v>link</v>
      </c>
      <c r="H604" s="9" t="str">
        <f>HYPERLINK("https://atlas.etsycorp.com/listing/1250129035/lookup", "link")</f>
        <v>link</v>
      </c>
      <c r="I604" s="5" t="s">
        <v>1907</v>
      </c>
      <c r="J604" s="5" t="s">
        <v>248</v>
      </c>
      <c r="K604" s="5" t="s">
        <v>29</v>
      </c>
      <c r="L604" s="5" t="s">
        <v>30</v>
      </c>
      <c r="M604" s="10" t="s">
        <v>21</v>
      </c>
      <c r="N604" s="10" t="s">
        <v>478</v>
      </c>
      <c r="O604" s="11" t="s">
        <v>877</v>
      </c>
      <c r="P604" s="5"/>
      <c r="Q604" s="5"/>
      <c r="R604" s="5"/>
      <c r="S604" s="5"/>
      <c r="T604" s="5"/>
    </row>
    <row r="605" ht="15.75" customHeight="1">
      <c r="A605" s="6" t="str">
        <f t="shared" si="1"/>
        <v>womens clergy stole, 941256127</v>
      </c>
      <c r="B605" s="7" t="s">
        <v>15</v>
      </c>
      <c r="C605" s="5"/>
      <c r="D605" s="5" t="s">
        <v>1908</v>
      </c>
      <c r="E605" s="5"/>
      <c r="F605" s="8">
        <v>9.41256127E8</v>
      </c>
      <c r="G605" s="9" t="str">
        <f>HYPERLINK("https://www.etsy.com/listing/941256127", "link")</f>
        <v>link</v>
      </c>
      <c r="H605" s="9" t="str">
        <f>HYPERLINK("https://atlas.etsycorp.com/listing/941256127/lookup", "link")</f>
        <v>link</v>
      </c>
      <c r="I605" s="5" t="s">
        <v>1909</v>
      </c>
      <c r="J605" s="5" t="s">
        <v>1910</v>
      </c>
      <c r="K605" s="5" t="s">
        <v>19</v>
      </c>
      <c r="L605" s="5" t="s">
        <v>41</v>
      </c>
      <c r="M605" s="10" t="s">
        <v>21</v>
      </c>
      <c r="N605" s="10" t="s">
        <v>478</v>
      </c>
      <c r="O605" s="11" t="s">
        <v>877</v>
      </c>
      <c r="P605" s="5"/>
      <c r="Q605" s="5"/>
      <c r="R605" s="5"/>
      <c r="S605" s="5"/>
      <c r="T605" s="5"/>
    </row>
    <row r="606" ht="15.75" customHeight="1">
      <c r="A606" s="6" t="str">
        <f t="shared" si="1"/>
        <v>botão de volume de teclado, 522390424</v>
      </c>
      <c r="B606" s="7" t="s">
        <v>48</v>
      </c>
      <c r="C606" s="5"/>
      <c r="D606" s="5" t="s">
        <v>1194</v>
      </c>
      <c r="E606" s="5" t="s">
        <v>1195</v>
      </c>
      <c r="F606" s="8">
        <v>5.22390424E8</v>
      </c>
      <c r="G606" s="9" t="str">
        <f>HYPERLINK("https://www.etsy.com/listing/522390424", "link")</f>
        <v>link</v>
      </c>
      <c r="H606" s="9" t="str">
        <f>HYPERLINK("https://atlas.etsycorp.com/listing/522390424/lookup", "link")</f>
        <v>link</v>
      </c>
      <c r="I606" s="5" t="s">
        <v>1911</v>
      </c>
      <c r="J606" s="5" t="s">
        <v>1197</v>
      </c>
      <c r="K606" s="5" t="s">
        <v>229</v>
      </c>
      <c r="L606" s="5" t="s">
        <v>230</v>
      </c>
      <c r="M606" s="10" t="s">
        <v>21</v>
      </c>
      <c r="N606" s="10" t="s">
        <v>478</v>
      </c>
      <c r="O606" s="11" t="s">
        <v>877</v>
      </c>
      <c r="P606" s="5"/>
      <c r="Q606" s="5"/>
      <c r="R606" s="5"/>
      <c r="S606" s="5"/>
      <c r="T606" s="5"/>
    </row>
    <row r="607" ht="15.75" customHeight="1">
      <c r="A607" s="6" t="str">
        <f t="shared" si="1"/>
        <v>gifts for women, 885066911</v>
      </c>
      <c r="B607" s="7" t="s">
        <v>15</v>
      </c>
      <c r="C607" s="5"/>
      <c r="D607" s="5" t="s">
        <v>641</v>
      </c>
      <c r="E607" s="5"/>
      <c r="F607" s="8">
        <v>8.85066911E8</v>
      </c>
      <c r="G607" s="9" t="str">
        <f>HYPERLINK("https://www.etsy.com/listing/885066911", "link")</f>
        <v>link</v>
      </c>
      <c r="H607" s="9" t="str">
        <f>HYPERLINK("https://atlas.etsycorp.com/listing/885066911/lookup", "link")</f>
        <v>link</v>
      </c>
      <c r="I607" s="5" t="s">
        <v>1912</v>
      </c>
      <c r="J607" s="5" t="s">
        <v>1913</v>
      </c>
      <c r="K607" s="5" t="s">
        <v>120</v>
      </c>
      <c r="L607" s="5" t="s">
        <v>100</v>
      </c>
      <c r="M607" s="10" t="s">
        <v>21</v>
      </c>
      <c r="N607" s="10" t="s">
        <v>478</v>
      </c>
      <c r="O607" s="11" t="s">
        <v>877</v>
      </c>
      <c r="P607" s="5"/>
      <c r="Q607" s="5"/>
      <c r="R607" s="5"/>
      <c r="S607" s="5"/>
      <c r="T607" s="5"/>
    </row>
    <row r="608" ht="15.75" customHeight="1">
      <c r="A608" s="6" t="str">
        <f t="shared" si="1"/>
        <v>cowgirl brooches, 938679039</v>
      </c>
      <c r="B608" s="7" t="s">
        <v>15</v>
      </c>
      <c r="C608" s="5"/>
      <c r="D608" s="5" t="s">
        <v>1914</v>
      </c>
      <c r="E608" s="5"/>
      <c r="F608" s="8">
        <v>9.38679039E8</v>
      </c>
      <c r="G608" s="9" t="str">
        <f>HYPERLINK("https://www.etsy.com/listing/938679039", "link")</f>
        <v>link</v>
      </c>
      <c r="H608" s="9" t="str">
        <f>HYPERLINK("https://atlas.etsycorp.com/listing/938679039/lookup", "link")</f>
        <v>link</v>
      </c>
      <c r="I608" s="5" t="s">
        <v>1915</v>
      </c>
      <c r="J608" s="5" t="s">
        <v>1916</v>
      </c>
      <c r="K608" s="5" t="s">
        <v>19</v>
      </c>
      <c r="L608" s="5" t="s">
        <v>41</v>
      </c>
      <c r="M608" s="10" t="s">
        <v>21</v>
      </c>
      <c r="N608" s="10" t="s">
        <v>478</v>
      </c>
      <c r="O608" s="11" t="s">
        <v>877</v>
      </c>
      <c r="P608" s="5"/>
      <c r="Q608" s="5"/>
      <c r="R608" s="5"/>
      <c r="S608" s="5"/>
      <c r="T608" s="5"/>
    </row>
    <row r="609" ht="15.75" customHeight="1">
      <c r="A609" s="6" t="str">
        <f t="shared" si="1"/>
        <v>cigar band ribg, 1359208120</v>
      </c>
      <c r="B609" s="7" t="s">
        <v>48</v>
      </c>
      <c r="C609" s="5"/>
      <c r="D609" s="5" t="s">
        <v>1917</v>
      </c>
      <c r="E609" s="5" t="s">
        <v>1917</v>
      </c>
      <c r="F609" s="8">
        <v>1.35920812E9</v>
      </c>
      <c r="G609" s="9" t="str">
        <f>HYPERLINK("https://www.etsy.com/listing/1359208120", "link")</f>
        <v>link</v>
      </c>
      <c r="H609" s="9" t="str">
        <f>HYPERLINK("https://atlas.etsycorp.com/listing/1359208120/lookup", "link")</f>
        <v>link</v>
      </c>
      <c r="I609" s="5" t="s">
        <v>1918</v>
      </c>
      <c r="J609" s="5" t="s">
        <v>1919</v>
      </c>
      <c r="K609" s="5" t="s">
        <v>35</v>
      </c>
      <c r="L609" s="5" t="s">
        <v>36</v>
      </c>
      <c r="M609" s="10" t="s">
        <v>21</v>
      </c>
      <c r="N609" s="10" t="s">
        <v>478</v>
      </c>
      <c r="O609" s="11" t="s">
        <v>877</v>
      </c>
      <c r="P609" s="5"/>
      <c r="Q609" s="5"/>
      <c r="R609" s="5"/>
      <c r="S609" s="5"/>
      <c r="T609" s="5"/>
    </row>
    <row r="610" ht="15.75" customHeight="1">
      <c r="A610" s="6" t="str">
        <f t="shared" si="1"/>
        <v>family calendar, 1646175071</v>
      </c>
      <c r="B610" s="7" t="s">
        <v>24</v>
      </c>
      <c r="C610" s="5"/>
      <c r="D610" s="5" t="s">
        <v>1920</v>
      </c>
      <c r="E610" s="5"/>
      <c r="F610" s="8">
        <v>1.646175071E9</v>
      </c>
      <c r="G610" s="9" t="str">
        <f>HYPERLINK("https://www.etsy.com/listing/1646175071", "link")</f>
        <v>link</v>
      </c>
      <c r="H610" s="9" t="str">
        <f>HYPERLINK("https://atlas.etsycorp.com/listing/1646175071/lookup", "link")</f>
        <v>link</v>
      </c>
      <c r="I610" s="5" t="s">
        <v>1921</v>
      </c>
      <c r="J610" s="5" t="s">
        <v>1922</v>
      </c>
      <c r="K610" s="5" t="s">
        <v>19</v>
      </c>
      <c r="L610" s="5" t="s">
        <v>41</v>
      </c>
      <c r="M610" s="10" t="s">
        <v>21</v>
      </c>
      <c r="N610" s="10" t="s">
        <v>478</v>
      </c>
      <c r="O610" s="11" t="s">
        <v>877</v>
      </c>
      <c r="P610" s="5"/>
      <c r="Q610" s="5"/>
      <c r="R610" s="5"/>
      <c r="S610" s="5"/>
      <c r="T610" s="5"/>
    </row>
    <row r="611" ht="15.75" customHeight="1">
      <c r="A611" s="6" t="str">
        <f t="shared" si="1"/>
        <v>g initial necklace, 736358883</v>
      </c>
      <c r="B611" s="7" t="s">
        <v>24</v>
      </c>
      <c r="C611" s="7" t="s">
        <v>1923</v>
      </c>
      <c r="D611" s="5" t="s">
        <v>1924</v>
      </c>
      <c r="E611" s="5"/>
      <c r="F611" s="8">
        <v>7.36358883E8</v>
      </c>
      <c r="G611" s="9" t="str">
        <f>HYPERLINK("https://www.etsy.com/listing/736358883", "link")</f>
        <v>link</v>
      </c>
      <c r="H611" s="9" t="str">
        <f>HYPERLINK("https://atlas.etsycorp.com/listing/736358883/lookup", "link")</f>
        <v>link</v>
      </c>
      <c r="I611" s="5" t="s">
        <v>1925</v>
      </c>
      <c r="J611" s="5" t="s">
        <v>1926</v>
      </c>
      <c r="K611" s="5" t="s">
        <v>19</v>
      </c>
      <c r="L611" s="5" t="s">
        <v>73</v>
      </c>
      <c r="M611" s="10" t="s">
        <v>21</v>
      </c>
      <c r="N611" s="10" t="s">
        <v>478</v>
      </c>
      <c r="O611" s="11" t="s">
        <v>877</v>
      </c>
      <c r="P611" s="5"/>
      <c r="Q611" s="5"/>
      <c r="R611" s="5"/>
      <c r="S611" s="5"/>
      <c r="T611" s="5"/>
    </row>
    <row r="612" ht="15.75" customHeight="1">
      <c r="A612" s="6" t="str">
        <f t="shared" si="1"/>
        <v>dog tshirt, 1645941962</v>
      </c>
      <c r="B612" s="7" t="s">
        <v>15</v>
      </c>
      <c r="C612" s="5"/>
      <c r="D612" s="5" t="s">
        <v>1927</v>
      </c>
      <c r="E612" s="5"/>
      <c r="F612" s="8">
        <v>1.645941962E9</v>
      </c>
      <c r="G612" s="9" t="str">
        <f>HYPERLINK("https://www.etsy.com/listing/1645941962", "link")</f>
        <v>link</v>
      </c>
      <c r="H612" s="9" t="str">
        <f>HYPERLINK("https://atlas.etsycorp.com/listing/1645941962/lookup", "link")</f>
        <v>link</v>
      </c>
      <c r="I612" s="5" t="s">
        <v>1928</v>
      </c>
      <c r="J612" s="5" t="s">
        <v>1929</v>
      </c>
      <c r="K612" s="5" t="s">
        <v>120</v>
      </c>
      <c r="L612" s="5" t="s">
        <v>41</v>
      </c>
      <c r="M612" s="10" t="s">
        <v>21</v>
      </c>
      <c r="N612" s="10" t="s">
        <v>478</v>
      </c>
      <c r="O612" s="11" t="s">
        <v>877</v>
      </c>
      <c r="P612" s="5"/>
      <c r="Q612" s="5"/>
      <c r="R612" s="5"/>
      <c r="S612" s="5"/>
      <c r="T612" s="5"/>
    </row>
    <row r="613" ht="15.75" customHeight="1">
      <c r="A613" s="6" t="str">
        <f t="shared" si="1"/>
        <v>gold herringbone necklace, 1264225822</v>
      </c>
      <c r="B613" s="7" t="s">
        <v>24</v>
      </c>
      <c r="C613" s="5"/>
      <c r="D613" s="5" t="s">
        <v>1930</v>
      </c>
      <c r="E613" s="5"/>
      <c r="F613" s="8">
        <v>1.264225822E9</v>
      </c>
      <c r="G613" s="9" t="str">
        <f>HYPERLINK("https://www.etsy.com/listing/1264225822", "link")</f>
        <v>link</v>
      </c>
      <c r="H613" s="9" t="str">
        <f>HYPERLINK("https://atlas.etsycorp.com/listing/1264225822/lookup", "link")</f>
        <v>link</v>
      </c>
      <c r="I613" s="5" t="s">
        <v>1931</v>
      </c>
      <c r="J613" s="5" t="s">
        <v>1932</v>
      </c>
      <c r="K613" s="5" t="s">
        <v>19</v>
      </c>
      <c r="L613" s="5" t="s">
        <v>73</v>
      </c>
      <c r="M613" s="10" t="s">
        <v>21</v>
      </c>
      <c r="N613" s="10" t="s">
        <v>478</v>
      </c>
      <c r="O613" s="11" t="s">
        <v>877</v>
      </c>
      <c r="P613" s="5"/>
      <c r="Q613" s="5"/>
      <c r="R613" s="5"/>
      <c r="S613" s="5"/>
      <c r="T613" s="5"/>
    </row>
    <row r="614" ht="15.75" customHeight="1">
      <c r="A614" s="6" t="str">
        <f t="shared" si="1"/>
        <v>crash dummies toy, 1154402739</v>
      </c>
      <c r="B614" s="7" t="s">
        <v>48</v>
      </c>
      <c r="C614" s="5"/>
      <c r="D614" s="5" t="s">
        <v>1933</v>
      </c>
      <c r="E614" s="5" t="s">
        <v>1933</v>
      </c>
      <c r="F614" s="8">
        <v>1.154402739E9</v>
      </c>
      <c r="G614" s="9" t="str">
        <f>HYPERLINK("https://www.etsy.com/listing/1154402739", "link")</f>
        <v>link</v>
      </c>
      <c r="H614" s="9" t="str">
        <f>HYPERLINK("https://atlas.etsycorp.com/listing/1154402739/lookup", "link")</f>
        <v>link</v>
      </c>
      <c r="I614" s="5" t="s">
        <v>1934</v>
      </c>
      <c r="J614" s="5" t="s">
        <v>1935</v>
      </c>
      <c r="K614" s="5" t="s">
        <v>35</v>
      </c>
      <c r="L614" s="5" t="s">
        <v>36</v>
      </c>
      <c r="M614" s="10" t="s">
        <v>21</v>
      </c>
      <c r="N614" s="10" t="s">
        <v>478</v>
      </c>
      <c r="O614" s="11" t="s">
        <v>877</v>
      </c>
      <c r="P614" s="5"/>
      <c r="Q614" s="5"/>
      <c r="R614" s="5"/>
      <c r="S614" s="5"/>
      <c r="T614" s="5"/>
    </row>
    <row r="615" ht="15.75" customHeight="1">
      <c r="A615" s="6" t="str">
        <f t="shared" si="1"/>
        <v>savon mariage, 1321793361</v>
      </c>
      <c r="B615" s="7" t="s">
        <v>24</v>
      </c>
      <c r="C615" s="5"/>
      <c r="D615" s="5" t="s">
        <v>1892</v>
      </c>
      <c r="E615" s="5" t="s">
        <v>1893</v>
      </c>
      <c r="F615" s="8">
        <v>1.321793361E9</v>
      </c>
      <c r="G615" s="9" t="str">
        <f>HYPERLINK("https://www.etsy.com/listing/1321793361", "link")</f>
        <v>link</v>
      </c>
      <c r="H615" s="9" t="str">
        <f>HYPERLINK("https://atlas.etsycorp.com/listing/1321793361/lookup", "link")</f>
        <v>link</v>
      </c>
      <c r="I615" s="5" t="s">
        <v>1936</v>
      </c>
      <c r="J615" s="5" t="s">
        <v>1895</v>
      </c>
      <c r="K615" s="5" t="s">
        <v>54</v>
      </c>
      <c r="L615" s="5" t="s">
        <v>55</v>
      </c>
      <c r="M615" s="10" t="s">
        <v>21</v>
      </c>
      <c r="N615" s="10" t="s">
        <v>478</v>
      </c>
      <c r="O615" s="11" t="s">
        <v>877</v>
      </c>
      <c r="P615" s="5"/>
      <c r="Q615" s="5"/>
      <c r="R615" s="5"/>
      <c r="S615" s="5"/>
      <c r="T615" s="5"/>
    </row>
    <row r="616" ht="15.75" customHeight="1">
      <c r="A616" s="6" t="str">
        <f t="shared" si="1"/>
        <v>procreate brushes desert, 1298347746</v>
      </c>
      <c r="B616" s="7" t="s">
        <v>24</v>
      </c>
      <c r="C616" s="5"/>
      <c r="D616" s="5" t="s">
        <v>1937</v>
      </c>
      <c r="E616" s="5"/>
      <c r="F616" s="8">
        <v>1.298347746E9</v>
      </c>
      <c r="G616" s="9" t="str">
        <f>HYPERLINK("https://www.etsy.com/listing/1298347746", "link")</f>
        <v>link</v>
      </c>
      <c r="H616" s="9" t="str">
        <f>HYPERLINK("https://atlas.etsycorp.com/listing/1298347746/lookup", "link")</f>
        <v>link</v>
      </c>
      <c r="I616" s="5" t="s">
        <v>1938</v>
      </c>
      <c r="J616" s="5" t="s">
        <v>1939</v>
      </c>
      <c r="K616" s="5" t="s">
        <v>19</v>
      </c>
      <c r="L616" s="5" t="s">
        <v>73</v>
      </c>
      <c r="M616" s="10" t="s">
        <v>21</v>
      </c>
      <c r="N616" s="10" t="s">
        <v>478</v>
      </c>
      <c r="O616" s="11" t="s">
        <v>877</v>
      </c>
      <c r="P616" s="5"/>
      <c r="Q616" s="5"/>
      <c r="R616" s="5"/>
      <c r="S616" s="5"/>
      <c r="T616" s="5"/>
    </row>
    <row r="617" ht="15.75" customHeight="1">
      <c r="A617" s="6" t="str">
        <f t="shared" si="1"/>
        <v>pip boy, 1421989142</v>
      </c>
      <c r="B617" s="7" t="s">
        <v>24</v>
      </c>
      <c r="C617" s="7" t="s">
        <v>1940</v>
      </c>
      <c r="D617" s="5" t="s">
        <v>1941</v>
      </c>
      <c r="E617" s="5"/>
      <c r="F617" s="8">
        <v>1.421989142E9</v>
      </c>
      <c r="G617" s="9" t="str">
        <f>HYPERLINK("https://www.etsy.com/listing/1421989142", "link")</f>
        <v>link</v>
      </c>
      <c r="H617" s="9" t="str">
        <f>HYPERLINK("https://atlas.etsycorp.com/listing/1421989142/lookup", "link")</f>
        <v>link</v>
      </c>
      <c r="I617" s="5" t="s">
        <v>1942</v>
      </c>
      <c r="J617" s="5" t="s">
        <v>1943</v>
      </c>
      <c r="K617" s="5" t="s">
        <v>19</v>
      </c>
      <c r="L617" s="5" t="s">
        <v>20</v>
      </c>
      <c r="M617" s="10" t="s">
        <v>21</v>
      </c>
      <c r="N617" s="10" t="s">
        <v>478</v>
      </c>
      <c r="O617" s="11" t="s">
        <v>877</v>
      </c>
      <c r="P617" s="5"/>
      <c r="Q617" s="5"/>
      <c r="R617" s="5"/>
      <c r="S617" s="5"/>
      <c r="T617" s="5"/>
    </row>
    <row r="618" ht="15.75" customHeight="1">
      <c r="A618" s="6" t="str">
        <f t="shared" si="1"/>
        <v>vintage style, 1040638617</v>
      </c>
      <c r="B618" s="7" t="s">
        <v>15</v>
      </c>
      <c r="C618" s="5"/>
      <c r="D618" s="5" t="s">
        <v>1277</v>
      </c>
      <c r="E618" s="5" t="s">
        <v>1277</v>
      </c>
      <c r="F618" s="8">
        <v>1.040638617E9</v>
      </c>
      <c r="G618" s="9" t="str">
        <f>HYPERLINK("https://www.etsy.com/listing/1040638617", "link")</f>
        <v>link</v>
      </c>
      <c r="H618" s="9" t="str">
        <f>HYPERLINK("https://atlas.etsycorp.com/listing/1040638617/lookup", "link")</f>
        <v>link</v>
      </c>
      <c r="I618" s="5" t="s">
        <v>1944</v>
      </c>
      <c r="J618" s="5" t="s">
        <v>1945</v>
      </c>
      <c r="K618" s="5" t="s">
        <v>80</v>
      </c>
      <c r="L618" s="5" t="s">
        <v>81</v>
      </c>
      <c r="M618" s="10" t="s">
        <v>21</v>
      </c>
      <c r="N618" s="10" t="s">
        <v>478</v>
      </c>
      <c r="O618" s="11" t="s">
        <v>877</v>
      </c>
      <c r="P618" s="5"/>
      <c r="Q618" s="5"/>
      <c r="R618" s="5"/>
      <c r="S618" s="5"/>
      <c r="T618" s="5"/>
    </row>
    <row r="619" ht="15.75" customHeight="1">
      <c r="A619" s="6" t="str">
        <f t="shared" si="1"/>
        <v>paper theater anime, 1165102602</v>
      </c>
      <c r="B619" s="7" t="s">
        <v>24</v>
      </c>
      <c r="C619" s="5"/>
      <c r="D619" s="5" t="s">
        <v>1946</v>
      </c>
      <c r="E619" s="5" t="s">
        <v>1946</v>
      </c>
      <c r="F619" s="8">
        <v>1.165102602E9</v>
      </c>
      <c r="G619" s="9" t="str">
        <f>HYPERLINK("https://www.etsy.com/listing/1165102602", "link")</f>
        <v>link</v>
      </c>
      <c r="H619" s="9" t="str">
        <f>HYPERLINK("https://atlas.etsycorp.com/listing/1165102602/lookup", "link")</f>
        <v>link</v>
      </c>
      <c r="I619" s="5" t="s">
        <v>1947</v>
      </c>
      <c r="J619" s="5" t="s">
        <v>1948</v>
      </c>
      <c r="K619" s="5" t="s">
        <v>29</v>
      </c>
      <c r="L619" s="5" t="s">
        <v>30</v>
      </c>
      <c r="M619" s="10" t="s">
        <v>21</v>
      </c>
      <c r="N619" s="10" t="s">
        <v>478</v>
      </c>
      <c r="O619" s="11" t="s">
        <v>877</v>
      </c>
      <c r="P619" s="5"/>
      <c r="Q619" s="5"/>
      <c r="R619" s="5"/>
      <c r="S619" s="5"/>
      <c r="T619" s="5"/>
    </row>
    <row r="620" ht="15.75" customHeight="1">
      <c r="A620" s="6" t="str">
        <f t="shared" si="1"/>
        <v>ephod ring, 591946766</v>
      </c>
      <c r="B620" s="7" t="s">
        <v>24</v>
      </c>
      <c r="C620" s="5"/>
      <c r="D620" s="5" t="s">
        <v>1949</v>
      </c>
      <c r="E620" s="5"/>
      <c r="F620" s="8">
        <v>5.91946766E8</v>
      </c>
      <c r="G620" s="9" t="str">
        <f>HYPERLINK("https://www.etsy.com/listing/591946766", "link")</f>
        <v>link</v>
      </c>
      <c r="H620" s="9" t="str">
        <f>HYPERLINK("https://atlas.etsycorp.com/listing/591946766/lookup", "link")</f>
        <v>link</v>
      </c>
      <c r="I620" s="5" t="s">
        <v>1950</v>
      </c>
      <c r="J620" s="5" t="s">
        <v>1951</v>
      </c>
      <c r="K620" s="5" t="s">
        <v>19</v>
      </c>
      <c r="L620" s="5" t="s">
        <v>41</v>
      </c>
      <c r="M620" s="10" t="s">
        <v>21</v>
      </c>
      <c r="N620" s="10" t="s">
        <v>478</v>
      </c>
      <c r="O620" s="11" t="s">
        <v>877</v>
      </c>
      <c r="P620" s="5"/>
      <c r="Q620" s="5"/>
      <c r="R620" s="5"/>
      <c r="S620" s="5"/>
      <c r="T620" s="5"/>
    </row>
    <row r="621" ht="15.75" customHeight="1">
      <c r="A621" s="6" t="str">
        <f t="shared" si="1"/>
        <v>mosaic art, 1064204365</v>
      </c>
      <c r="B621" s="7" t="s">
        <v>24</v>
      </c>
      <c r="C621" s="5"/>
      <c r="D621" s="5" t="s">
        <v>1952</v>
      </c>
      <c r="E621" s="5"/>
      <c r="F621" s="8">
        <v>1.064204365E9</v>
      </c>
      <c r="G621" s="9" t="str">
        <f>HYPERLINK("https://www.etsy.com/listing/1064204365", "link")</f>
        <v>link</v>
      </c>
      <c r="H621" s="9" t="str">
        <f>HYPERLINK("https://atlas.etsycorp.com/listing/1064204365/lookup", "link")</f>
        <v>link</v>
      </c>
      <c r="I621" s="5" t="s">
        <v>1953</v>
      </c>
      <c r="J621" s="5" t="s">
        <v>1954</v>
      </c>
      <c r="K621" s="5" t="s">
        <v>19</v>
      </c>
      <c r="L621" s="5" t="s">
        <v>73</v>
      </c>
      <c r="M621" s="10" t="s">
        <v>21</v>
      </c>
      <c r="N621" s="10" t="s">
        <v>478</v>
      </c>
      <c r="O621" s="11" t="s">
        <v>877</v>
      </c>
      <c r="P621" s="5"/>
      <c r="Q621" s="5"/>
      <c r="R621" s="5"/>
      <c r="S621" s="5"/>
      <c r="T621" s="5"/>
    </row>
    <row r="622" ht="15.75" customHeight="1">
      <c r="A622" s="6" t="str">
        <f t="shared" si="1"/>
        <v>ottoman vest, 1401990309</v>
      </c>
      <c r="B622" s="7" t="s">
        <v>24</v>
      </c>
      <c r="C622" s="5"/>
      <c r="D622" s="5" t="s">
        <v>1955</v>
      </c>
      <c r="E622" s="5"/>
      <c r="F622" s="8">
        <v>1.401990309E9</v>
      </c>
      <c r="G622" s="9" t="str">
        <f>HYPERLINK("https://www.etsy.com/listing/1401990309", "link")</f>
        <v>link</v>
      </c>
      <c r="H622" s="9" t="str">
        <f>HYPERLINK("https://atlas.etsycorp.com/listing/1401990309/lookup", "link")</f>
        <v>link</v>
      </c>
      <c r="I622" s="5" t="s">
        <v>1956</v>
      </c>
      <c r="J622" s="5" t="s">
        <v>1957</v>
      </c>
      <c r="K622" s="5" t="s">
        <v>120</v>
      </c>
      <c r="L622" s="5" t="s">
        <v>41</v>
      </c>
      <c r="M622" s="10" t="s">
        <v>21</v>
      </c>
      <c r="N622" s="10" t="s">
        <v>478</v>
      </c>
      <c r="O622" s="11" t="s">
        <v>877</v>
      </c>
      <c r="P622" s="5"/>
      <c r="Q622" s="5"/>
      <c r="R622" s="5"/>
      <c r="S622" s="5"/>
      <c r="T622" s="5"/>
    </row>
    <row r="623" ht="15.75" customHeight="1">
      <c r="A623" s="6" t="str">
        <f t="shared" si="1"/>
        <v>swedish candy bubs, 1569624786</v>
      </c>
      <c r="B623" s="7" t="s">
        <v>24</v>
      </c>
      <c r="C623" s="7" t="s">
        <v>1958</v>
      </c>
      <c r="D623" s="5" t="s">
        <v>1959</v>
      </c>
      <c r="E623" s="5"/>
      <c r="F623" s="8">
        <v>1.569624786E9</v>
      </c>
      <c r="G623" s="9" t="str">
        <f>HYPERLINK("https://www.etsy.com/listing/1569624786", "link")</f>
        <v>link</v>
      </c>
      <c r="H623" s="9" t="str">
        <f>HYPERLINK("https://atlas.etsycorp.com/listing/1569624786/lookup", "link")</f>
        <v>link</v>
      </c>
      <c r="I623" s="5" t="s">
        <v>1960</v>
      </c>
      <c r="J623" s="5" t="s">
        <v>1961</v>
      </c>
      <c r="K623" s="5" t="s">
        <v>19</v>
      </c>
      <c r="L623" s="5" t="s">
        <v>73</v>
      </c>
      <c r="M623" s="10" t="s">
        <v>21</v>
      </c>
      <c r="N623" s="10" t="s">
        <v>478</v>
      </c>
      <c r="O623" s="11" t="s">
        <v>877</v>
      </c>
      <c r="P623" s="5"/>
      <c r="Q623" s="5"/>
      <c r="R623" s="5"/>
      <c r="S623" s="5"/>
      <c r="T623" s="5"/>
    </row>
    <row r="624" ht="15.75" customHeight="1">
      <c r="A624" s="6" t="str">
        <f t="shared" si="1"/>
        <v>wish disney, 1566991850</v>
      </c>
      <c r="B624" s="7" t="s">
        <v>24</v>
      </c>
      <c r="C624" s="5"/>
      <c r="D624" s="5" t="s">
        <v>650</v>
      </c>
      <c r="E624" s="5" t="s">
        <v>650</v>
      </c>
      <c r="F624" s="8">
        <v>1.56699185E9</v>
      </c>
      <c r="G624" s="9" t="str">
        <f>HYPERLINK("https://www.etsy.com/listing/1566991850", "link")</f>
        <v>link</v>
      </c>
      <c r="H624" s="9" t="str">
        <f>HYPERLINK("https://atlas.etsycorp.com/listing/1566991850/lookup", "link")</f>
        <v>link</v>
      </c>
      <c r="I624" s="5" t="s">
        <v>1962</v>
      </c>
      <c r="J624" s="5" t="s">
        <v>652</v>
      </c>
      <c r="K624" s="5" t="s">
        <v>54</v>
      </c>
      <c r="L624" s="5" t="s">
        <v>55</v>
      </c>
      <c r="M624" s="10" t="s">
        <v>21</v>
      </c>
      <c r="N624" s="10" t="s">
        <v>478</v>
      </c>
      <c r="O624" s="11" t="s">
        <v>877</v>
      </c>
      <c r="P624" s="5"/>
      <c r="Q624" s="5"/>
      <c r="R624" s="5"/>
      <c r="S624" s="5"/>
      <c r="T624" s="5"/>
    </row>
    <row r="625" ht="15.75" customHeight="1">
      <c r="A625" s="6" t="str">
        <f t="shared" si="1"/>
        <v>Mammon, 1169441273</v>
      </c>
      <c r="B625" s="7" t="s">
        <v>48</v>
      </c>
      <c r="C625" s="5"/>
      <c r="D625" s="5" t="s">
        <v>1963</v>
      </c>
      <c r="E625" s="5" t="s">
        <v>1963</v>
      </c>
      <c r="F625" s="8">
        <v>1.169441273E9</v>
      </c>
      <c r="G625" s="9" t="str">
        <f>HYPERLINK("https://www.etsy.com/listing/1169441273", "link")</f>
        <v>link</v>
      </c>
      <c r="H625" s="9" t="str">
        <f>HYPERLINK("https://atlas.etsycorp.com/listing/1169441273/lookup", "link")</f>
        <v>link</v>
      </c>
      <c r="I625" s="5" t="s">
        <v>1964</v>
      </c>
      <c r="J625" s="5" t="s">
        <v>1965</v>
      </c>
      <c r="K625" s="5" t="s">
        <v>229</v>
      </c>
      <c r="L625" s="5" t="s">
        <v>230</v>
      </c>
      <c r="M625" s="10" t="s">
        <v>21</v>
      </c>
      <c r="N625" s="10" t="s">
        <v>478</v>
      </c>
      <c r="O625" s="11" t="s">
        <v>877</v>
      </c>
      <c r="P625" s="5"/>
      <c r="Q625" s="5"/>
      <c r="R625" s="5"/>
      <c r="S625" s="5"/>
      <c r="T625" s="5"/>
    </row>
    <row r="626" ht="15.75" customHeight="1">
      <c r="A626" s="6" t="str">
        <f t="shared" si="1"/>
        <v>Wallet and backpacks, 874429257</v>
      </c>
      <c r="B626" s="7" t="s">
        <v>15</v>
      </c>
      <c r="C626" s="5"/>
      <c r="D626" s="5" t="s">
        <v>1966</v>
      </c>
      <c r="E626" s="5"/>
      <c r="F626" s="8">
        <v>8.74429257E8</v>
      </c>
      <c r="G626" s="9" t="str">
        <f>HYPERLINK("https://www.etsy.com/listing/874429257", "link")</f>
        <v>link</v>
      </c>
      <c r="H626" s="9" t="str">
        <f>HYPERLINK("https://atlas.etsycorp.com/listing/874429257/lookup", "link")</f>
        <v>link</v>
      </c>
      <c r="I626" s="5" t="s">
        <v>1967</v>
      </c>
      <c r="J626" s="5" t="s">
        <v>1968</v>
      </c>
      <c r="K626" s="5" t="s">
        <v>19</v>
      </c>
      <c r="L626" s="5" t="s">
        <v>41</v>
      </c>
      <c r="M626" s="10" t="s">
        <v>21</v>
      </c>
      <c r="N626" s="10" t="s">
        <v>478</v>
      </c>
      <c r="O626" s="11" t="s">
        <v>877</v>
      </c>
      <c r="P626" s="5"/>
      <c r="Q626" s="5"/>
      <c r="R626" s="5"/>
      <c r="S626" s="5"/>
      <c r="T626" s="5"/>
    </row>
    <row r="627" ht="15.75" customHeight="1">
      <c r="A627" s="6" t="str">
        <f t="shared" si="1"/>
        <v>nanny and grandad baby grow, 1013630958</v>
      </c>
      <c r="B627" s="7" t="s">
        <v>15</v>
      </c>
      <c r="C627" s="5"/>
      <c r="D627" s="5" t="s">
        <v>1969</v>
      </c>
      <c r="E627" s="5"/>
      <c r="F627" s="8">
        <v>1.013630958E9</v>
      </c>
      <c r="G627" s="9" t="str">
        <f>HYPERLINK("https://www.etsy.com/listing/1013630958", "link")</f>
        <v>link</v>
      </c>
      <c r="H627" s="9" t="str">
        <f>HYPERLINK("https://atlas.etsycorp.com/listing/1013630958/lookup", "link")</f>
        <v>link</v>
      </c>
      <c r="I627" s="5" t="s">
        <v>1970</v>
      </c>
      <c r="J627" s="5" t="s">
        <v>1971</v>
      </c>
      <c r="K627" s="5" t="s">
        <v>120</v>
      </c>
      <c r="L627" s="5" t="s">
        <v>20</v>
      </c>
      <c r="M627" s="10" t="s">
        <v>21</v>
      </c>
      <c r="N627" s="10" t="s">
        <v>478</v>
      </c>
      <c r="O627" s="11" t="s">
        <v>877</v>
      </c>
      <c r="P627" s="5"/>
      <c r="Q627" s="5"/>
      <c r="R627" s="5"/>
      <c r="S627" s="5"/>
      <c r="T627" s="5"/>
    </row>
    <row r="628" ht="15.75" customHeight="1">
      <c r="A628" s="6" t="str">
        <f t="shared" si="1"/>
        <v>pet memorial gift, 766971224</v>
      </c>
      <c r="B628" s="7" t="s">
        <v>15</v>
      </c>
      <c r="C628" s="5"/>
      <c r="D628" s="5" t="s">
        <v>1972</v>
      </c>
      <c r="E628" s="5"/>
      <c r="F628" s="8">
        <v>7.66971224E8</v>
      </c>
      <c r="G628" s="9" t="str">
        <f>HYPERLINK("https://www.etsy.com/listing/766971224", "link")</f>
        <v>link</v>
      </c>
      <c r="H628" s="9" t="str">
        <f>HYPERLINK("https://atlas.etsycorp.com/listing/766971224/lookup", "link")</f>
        <v>link</v>
      </c>
      <c r="I628" s="5" t="s">
        <v>1973</v>
      </c>
      <c r="J628" s="5" t="s">
        <v>1974</v>
      </c>
      <c r="K628" s="5" t="s">
        <v>19</v>
      </c>
      <c r="L628" s="5" t="s">
        <v>100</v>
      </c>
      <c r="M628" s="10" t="s">
        <v>21</v>
      </c>
      <c r="N628" s="10" t="s">
        <v>478</v>
      </c>
      <c r="O628" s="11" t="s">
        <v>877</v>
      </c>
      <c r="P628" s="5"/>
      <c r="Q628" s="5"/>
      <c r="R628" s="5"/>
      <c r="S628" s="5"/>
      <c r="T628" s="5"/>
    </row>
    <row r="629" ht="15.75" customHeight="1">
      <c r="A629" s="6" t="str">
        <f t="shared" si="1"/>
        <v>hacienda bench, 1392637457</v>
      </c>
      <c r="B629" s="7" t="s">
        <v>48</v>
      </c>
      <c r="C629" s="5"/>
      <c r="D629" s="5" t="s">
        <v>1482</v>
      </c>
      <c r="E629" s="5"/>
      <c r="F629" s="8">
        <v>1.392637457E9</v>
      </c>
      <c r="G629" s="9" t="str">
        <f>HYPERLINK("https://www.etsy.com/listing/1392637457", "link")</f>
        <v>link</v>
      </c>
      <c r="H629" s="9" t="str">
        <f>HYPERLINK("https://atlas.etsycorp.com/listing/1392637457/lookup", "link")</f>
        <v>link</v>
      </c>
      <c r="I629" s="5" t="s">
        <v>1975</v>
      </c>
      <c r="J629" s="5" t="s">
        <v>1484</v>
      </c>
      <c r="K629" s="5" t="s">
        <v>19</v>
      </c>
      <c r="L629" s="5" t="s">
        <v>41</v>
      </c>
      <c r="M629" s="10" t="s">
        <v>21</v>
      </c>
      <c r="N629" s="10" t="s">
        <v>478</v>
      </c>
      <c r="O629" s="11" t="s">
        <v>877</v>
      </c>
      <c r="P629" s="5"/>
      <c r="Q629" s="5"/>
      <c r="R629" s="5"/>
      <c r="S629" s="5"/>
      <c r="T629" s="5"/>
    </row>
    <row r="630" ht="15.75" customHeight="1">
      <c r="A630" s="6" t="str">
        <f t="shared" si="1"/>
        <v>golden wedding garden gifts, 1493101315</v>
      </c>
      <c r="B630" s="7" t="s">
        <v>48</v>
      </c>
      <c r="C630" s="5"/>
      <c r="D630" s="5" t="s">
        <v>1976</v>
      </c>
      <c r="E630" s="5"/>
      <c r="F630" s="8">
        <v>1.493101315E9</v>
      </c>
      <c r="G630" s="9" t="str">
        <f>HYPERLINK("https://www.etsy.com/listing/1493101315", "link")</f>
        <v>link</v>
      </c>
      <c r="H630" s="9" t="str">
        <f>HYPERLINK("https://atlas.etsycorp.com/listing/1493101315/lookup", "link")</f>
        <v>link</v>
      </c>
      <c r="I630" s="5" t="s">
        <v>1977</v>
      </c>
      <c r="J630" s="5" t="s">
        <v>1978</v>
      </c>
      <c r="K630" s="5" t="s">
        <v>19</v>
      </c>
      <c r="L630" s="5" t="s">
        <v>100</v>
      </c>
      <c r="M630" s="10" t="s">
        <v>21</v>
      </c>
      <c r="N630" s="10" t="s">
        <v>478</v>
      </c>
      <c r="O630" s="11" t="s">
        <v>877</v>
      </c>
      <c r="P630" s="5"/>
      <c r="Q630" s="5"/>
      <c r="R630" s="5"/>
      <c r="S630" s="5"/>
      <c r="T630" s="5"/>
    </row>
    <row r="631" ht="15.75" customHeight="1">
      <c r="A631" s="6" t="str">
        <f t="shared" si="1"/>
        <v>jga verlauf, 1251570325</v>
      </c>
      <c r="B631" s="7" t="s">
        <v>446</v>
      </c>
      <c r="C631" s="5"/>
      <c r="D631" s="5" t="s">
        <v>1979</v>
      </c>
      <c r="E631" s="5" t="s">
        <v>1980</v>
      </c>
      <c r="F631" s="8">
        <v>1.251570325E9</v>
      </c>
      <c r="G631" s="9" t="str">
        <f>HYPERLINK("https://www.etsy.com/listing/1251570325", "link")</f>
        <v>link</v>
      </c>
      <c r="H631" s="9" t="str">
        <f>HYPERLINK("https://atlas.etsycorp.com/listing/1251570325/lookup", "link")</f>
        <v>link</v>
      </c>
      <c r="I631" s="5" t="s">
        <v>1981</v>
      </c>
      <c r="J631" s="5" t="s">
        <v>1982</v>
      </c>
      <c r="K631" s="5" t="s">
        <v>46</v>
      </c>
      <c r="L631" s="5" t="s">
        <v>47</v>
      </c>
      <c r="M631" s="10" t="s">
        <v>21</v>
      </c>
      <c r="N631" s="10" t="s">
        <v>478</v>
      </c>
      <c r="O631" s="11" t="s">
        <v>877</v>
      </c>
      <c r="P631" s="5"/>
      <c r="Q631" s="5"/>
      <c r="R631" s="5"/>
      <c r="S631" s="5"/>
      <c r="T631" s="5"/>
    </row>
    <row r="632" ht="15.75" customHeight="1">
      <c r="A632" s="6" t="str">
        <f t="shared" si="1"/>
        <v>Custom womens clothing, 770386336</v>
      </c>
      <c r="B632" s="7" t="s">
        <v>48</v>
      </c>
      <c r="C632" s="5"/>
      <c r="D632" s="5" t="s">
        <v>512</v>
      </c>
      <c r="E632" s="5" t="s">
        <v>512</v>
      </c>
      <c r="F632" s="8">
        <v>7.70386336E8</v>
      </c>
      <c r="G632" s="9" t="str">
        <f>HYPERLINK("https://www.etsy.com/listing/770386336", "link")</f>
        <v>link</v>
      </c>
      <c r="H632" s="9" t="str">
        <f>HYPERLINK("https://atlas.etsycorp.com/listing/770386336/lookup", "link")</f>
        <v>link</v>
      </c>
      <c r="I632" s="5" t="s">
        <v>1983</v>
      </c>
      <c r="J632" s="5" t="s">
        <v>1508</v>
      </c>
      <c r="K632" s="5" t="s">
        <v>54</v>
      </c>
      <c r="L632" s="5" t="s">
        <v>55</v>
      </c>
      <c r="M632" s="10" t="s">
        <v>21</v>
      </c>
      <c r="N632" s="10" t="s">
        <v>478</v>
      </c>
      <c r="O632" s="11" t="s">
        <v>877</v>
      </c>
      <c r="P632" s="5"/>
      <c r="Q632" s="5"/>
      <c r="R632" s="5"/>
      <c r="S632" s="5"/>
      <c r="T632" s="5"/>
    </row>
    <row r="633" ht="15.75" customHeight="1">
      <c r="A633" s="6" t="str">
        <f t="shared" si="1"/>
        <v>baseball card binder, 1543739922</v>
      </c>
      <c r="B633" s="7" t="s">
        <v>48</v>
      </c>
      <c r="C633" s="5"/>
      <c r="D633" s="5" t="s">
        <v>1984</v>
      </c>
      <c r="E633" s="5"/>
      <c r="F633" s="8">
        <v>1.543739922E9</v>
      </c>
      <c r="G633" s="9" t="str">
        <f>HYPERLINK("https://www.etsy.com/listing/1543739922", "link")</f>
        <v>link</v>
      </c>
      <c r="H633" s="9" t="str">
        <f>HYPERLINK("https://atlas.etsycorp.com/listing/1543739922/lookup", "link")</f>
        <v>link</v>
      </c>
      <c r="I633" s="5" t="s">
        <v>1985</v>
      </c>
      <c r="J633" s="5" t="s">
        <v>1986</v>
      </c>
      <c r="K633" s="5" t="s">
        <v>19</v>
      </c>
      <c r="L633" s="5" t="s">
        <v>41</v>
      </c>
      <c r="M633" s="10" t="s">
        <v>21</v>
      </c>
      <c r="N633" s="10" t="s">
        <v>478</v>
      </c>
      <c r="O633" s="11" t="s">
        <v>877</v>
      </c>
      <c r="P633" s="5"/>
      <c r="Q633" s="5"/>
      <c r="R633" s="5"/>
      <c r="S633" s="5"/>
      <c r="T633" s="5"/>
    </row>
    <row r="634" ht="15.75" customHeight="1">
      <c r="A634" s="6" t="str">
        <f t="shared" si="1"/>
        <v>engraved dog tag, 1157168266</v>
      </c>
      <c r="B634" s="7" t="s">
        <v>15</v>
      </c>
      <c r="C634" s="5"/>
      <c r="D634" s="5" t="s">
        <v>1987</v>
      </c>
      <c r="E634" s="5"/>
      <c r="F634" s="8">
        <v>1.157168266E9</v>
      </c>
      <c r="G634" s="9" t="str">
        <f>HYPERLINK("https://www.etsy.com/listing/1157168266", "link")</f>
        <v>link</v>
      </c>
      <c r="H634" s="9" t="str">
        <f>HYPERLINK("https://atlas.etsycorp.com/listing/1157168266/lookup", "link")</f>
        <v>link</v>
      </c>
      <c r="I634" s="5" t="s">
        <v>1988</v>
      </c>
      <c r="J634" s="5" t="s">
        <v>1989</v>
      </c>
      <c r="K634" s="5" t="s">
        <v>120</v>
      </c>
      <c r="L634" s="5" t="s">
        <v>73</v>
      </c>
      <c r="M634" s="10" t="s">
        <v>21</v>
      </c>
      <c r="N634" s="10" t="s">
        <v>478</v>
      </c>
      <c r="O634" s="11" t="s">
        <v>877</v>
      </c>
      <c r="P634" s="5"/>
      <c r="Q634" s="5"/>
      <c r="R634" s="5"/>
      <c r="S634" s="5"/>
      <c r="T634" s="5"/>
    </row>
    <row r="635" ht="15.75" customHeight="1">
      <c r="A635" s="6" t="str">
        <f t="shared" si="1"/>
        <v>rectangular cushion covers uk, 1340337007</v>
      </c>
      <c r="B635" s="7" t="s">
        <v>15</v>
      </c>
      <c r="C635" s="5"/>
      <c r="D635" s="5" t="s">
        <v>1990</v>
      </c>
      <c r="E635" s="5"/>
      <c r="F635" s="8">
        <v>1.340337007E9</v>
      </c>
      <c r="G635" s="9" t="str">
        <f>HYPERLINK("https://www.etsy.com/listing/1340337007", "link")</f>
        <v>link</v>
      </c>
      <c r="H635" s="9" t="str">
        <f>HYPERLINK("https://atlas.etsycorp.com/listing/1340337007/lookup", "link")</f>
        <v>link</v>
      </c>
      <c r="I635" s="5" t="s">
        <v>1991</v>
      </c>
      <c r="J635" s="5" t="s">
        <v>1992</v>
      </c>
      <c r="K635" s="5" t="s">
        <v>120</v>
      </c>
      <c r="L635" s="5" t="s">
        <v>73</v>
      </c>
      <c r="M635" s="10" t="s">
        <v>21</v>
      </c>
      <c r="N635" s="10" t="s">
        <v>478</v>
      </c>
      <c r="O635" s="11" t="s">
        <v>877</v>
      </c>
      <c r="P635" s="5"/>
      <c r="Q635" s="5"/>
      <c r="R635" s="5"/>
      <c r="S635" s="5"/>
      <c r="T635" s="5"/>
    </row>
    <row r="636" ht="15.75" customHeight="1">
      <c r="A636" s="6" t="str">
        <f t="shared" si="1"/>
        <v>sissy lingerie, 1626083232</v>
      </c>
      <c r="B636" s="7" t="s">
        <v>15</v>
      </c>
      <c r="C636" s="5"/>
      <c r="D636" s="5" t="s">
        <v>1993</v>
      </c>
      <c r="E636" s="5"/>
      <c r="F636" s="8">
        <v>1.626083232E9</v>
      </c>
      <c r="G636" s="9" t="str">
        <f>HYPERLINK("https://www.etsy.com/listing/1626083232", "link")</f>
        <v>link</v>
      </c>
      <c r="H636" s="9" t="str">
        <f>HYPERLINK("https://atlas.etsycorp.com/listing/1626083232/lookup", "link")</f>
        <v>link</v>
      </c>
      <c r="I636" s="5" t="s">
        <v>1994</v>
      </c>
      <c r="J636" s="5" t="s">
        <v>1995</v>
      </c>
      <c r="K636" s="5" t="s">
        <v>19</v>
      </c>
      <c r="L636" s="5" t="s">
        <v>73</v>
      </c>
      <c r="M636" s="10" t="s">
        <v>21</v>
      </c>
      <c r="N636" s="10" t="s">
        <v>478</v>
      </c>
      <c r="O636" s="11" t="s">
        <v>877</v>
      </c>
      <c r="P636" s="5"/>
      <c r="Q636" s="5"/>
      <c r="R636" s="5"/>
      <c r="S636" s="5"/>
      <c r="T636" s="5"/>
    </row>
    <row r="637" ht="15.75" customHeight="1">
      <c r="A637" s="6" t="str">
        <f t="shared" si="1"/>
        <v>éventail personnalisé, 1364866122</v>
      </c>
      <c r="B637" s="7" t="s">
        <v>15</v>
      </c>
      <c r="C637" s="5"/>
      <c r="D637" s="5" t="s">
        <v>1996</v>
      </c>
      <c r="E637" s="5" t="s">
        <v>1997</v>
      </c>
      <c r="F637" s="8">
        <v>1.364866122E9</v>
      </c>
      <c r="G637" s="9" t="str">
        <f>HYPERLINK("https://www.etsy.com/listing/1364866122", "link")</f>
        <v>link</v>
      </c>
      <c r="H637" s="9" t="str">
        <f>HYPERLINK("https://atlas.etsycorp.com/listing/1364866122/lookup", "link")</f>
        <v>link</v>
      </c>
      <c r="I637" s="5" t="s">
        <v>1998</v>
      </c>
      <c r="J637" s="5" t="s">
        <v>1999</v>
      </c>
      <c r="K637" s="5" t="s">
        <v>54</v>
      </c>
      <c r="L637" s="5" t="s">
        <v>55</v>
      </c>
      <c r="M637" s="10" t="s">
        <v>21</v>
      </c>
      <c r="N637" s="10" t="s">
        <v>478</v>
      </c>
      <c r="O637" s="11" t="s">
        <v>877</v>
      </c>
      <c r="P637" s="5"/>
      <c r="Q637" s="5"/>
      <c r="R637" s="5"/>
      <c r="S637" s="5"/>
      <c r="T637" s="5"/>
    </row>
    <row r="638" ht="15.75" customHeight="1">
      <c r="A638" s="6" t="str">
        <f t="shared" si="1"/>
        <v>porta volantini pelle, 1453758553</v>
      </c>
      <c r="B638" s="7" t="s">
        <v>15</v>
      </c>
      <c r="C638" s="5"/>
      <c r="D638" s="5" t="s">
        <v>2000</v>
      </c>
      <c r="E638" s="5" t="s">
        <v>2001</v>
      </c>
      <c r="F638" s="8">
        <v>1.453758553E9</v>
      </c>
      <c r="G638" s="9" t="str">
        <f>HYPERLINK("https://www.etsy.com/listing/1453758553", "link")</f>
        <v>link</v>
      </c>
      <c r="H638" s="9" t="str">
        <f>HYPERLINK("https://atlas.etsycorp.com/listing/1453758553/lookup", "link")</f>
        <v>link</v>
      </c>
      <c r="I638" s="5" t="s">
        <v>2002</v>
      </c>
      <c r="J638" s="5" t="s">
        <v>2003</v>
      </c>
      <c r="K638" s="5" t="s">
        <v>80</v>
      </c>
      <c r="L638" s="5" t="s">
        <v>81</v>
      </c>
      <c r="M638" s="10" t="s">
        <v>21</v>
      </c>
      <c r="N638" s="10" t="s">
        <v>478</v>
      </c>
      <c r="O638" s="11" t="s">
        <v>877</v>
      </c>
      <c r="P638" s="5"/>
      <c r="Q638" s="5"/>
      <c r="R638" s="5"/>
      <c r="S638" s="5"/>
      <c r="T638" s="5"/>
    </row>
    <row r="639" ht="15.75" customHeight="1">
      <c r="A639" s="6" t="str">
        <f t="shared" si="1"/>
        <v>new wife initial stuff, 1318633499</v>
      </c>
      <c r="B639" s="7" t="s">
        <v>15</v>
      </c>
      <c r="C639" s="5"/>
      <c r="D639" s="5" t="s">
        <v>2004</v>
      </c>
      <c r="E639" s="5"/>
      <c r="F639" s="8">
        <v>1.318633499E9</v>
      </c>
      <c r="G639" s="9" t="str">
        <f>HYPERLINK("https://www.etsy.com/listing/1318633499", "link")</f>
        <v>link</v>
      </c>
      <c r="H639" s="9" t="str">
        <f>HYPERLINK("https://atlas.etsycorp.com/listing/1318633499/lookup", "link")</f>
        <v>link</v>
      </c>
      <c r="I639" s="5" t="s">
        <v>2005</v>
      </c>
      <c r="J639" s="5" t="s">
        <v>2006</v>
      </c>
      <c r="K639" s="5" t="s">
        <v>120</v>
      </c>
      <c r="L639" s="5" t="s">
        <v>41</v>
      </c>
      <c r="M639" s="10" t="s">
        <v>21</v>
      </c>
      <c r="N639" s="10" t="s">
        <v>478</v>
      </c>
      <c r="O639" s="11" t="s">
        <v>877</v>
      </c>
      <c r="P639" s="5"/>
      <c r="Q639" s="5"/>
      <c r="R639" s="5"/>
      <c r="S639" s="5"/>
      <c r="T639" s="5"/>
    </row>
    <row r="640" ht="15.75" customHeight="1">
      <c r="A640" s="6" t="str">
        <f t="shared" si="1"/>
        <v>panerai watch, 544221749</v>
      </c>
      <c r="B640" s="7" t="s">
        <v>24</v>
      </c>
      <c r="C640" s="7" t="s">
        <v>2007</v>
      </c>
      <c r="D640" s="5" t="s">
        <v>2008</v>
      </c>
      <c r="E640" s="5"/>
      <c r="F640" s="8">
        <v>5.44221749E8</v>
      </c>
      <c r="G640" s="9" t="str">
        <f>HYPERLINK("https://www.etsy.com/listing/544221749", "link")</f>
        <v>link</v>
      </c>
      <c r="H640" s="9" t="str">
        <f>HYPERLINK("https://atlas.etsycorp.com/listing/544221749/lookup", "link")</f>
        <v>link</v>
      </c>
      <c r="I640" s="5" t="s">
        <v>2009</v>
      </c>
      <c r="J640" s="5" t="s">
        <v>2010</v>
      </c>
      <c r="K640" s="5" t="s">
        <v>120</v>
      </c>
      <c r="L640" s="5" t="s">
        <v>41</v>
      </c>
      <c r="M640" s="10" t="s">
        <v>21</v>
      </c>
      <c r="N640" s="10" t="s">
        <v>478</v>
      </c>
      <c r="O640" s="11" t="s">
        <v>877</v>
      </c>
      <c r="P640" s="5"/>
      <c r="Q640" s="5"/>
      <c r="R640" s="5"/>
      <c r="S640" s="5"/>
      <c r="T640" s="5"/>
    </row>
    <row r="641" ht="15.75" customHeight="1">
      <c r="A641" s="6" t="str">
        <f t="shared" si="1"/>
        <v>groomsmen gifts box nike, 628019335</v>
      </c>
      <c r="B641" s="7" t="s">
        <v>24</v>
      </c>
      <c r="C641" s="7" t="s">
        <v>2011</v>
      </c>
      <c r="D641" s="5" t="s">
        <v>2012</v>
      </c>
      <c r="E641" s="5"/>
      <c r="F641" s="8">
        <v>6.28019335E8</v>
      </c>
      <c r="G641" s="9" t="str">
        <f>HYPERLINK("https://www.etsy.com/listing/628019335", "link")</f>
        <v>link</v>
      </c>
      <c r="H641" s="9" t="str">
        <f>HYPERLINK("https://atlas.etsycorp.com/listing/628019335/lookup", "link")</f>
        <v>link</v>
      </c>
      <c r="I641" s="5" t="s">
        <v>2013</v>
      </c>
      <c r="J641" s="5" t="s">
        <v>2014</v>
      </c>
      <c r="K641" s="5" t="s">
        <v>19</v>
      </c>
      <c r="L641" s="5" t="s">
        <v>100</v>
      </c>
      <c r="M641" s="10" t="s">
        <v>21</v>
      </c>
      <c r="N641" s="10" t="s">
        <v>478</v>
      </c>
      <c r="O641" s="11" t="s">
        <v>877</v>
      </c>
      <c r="P641" s="5"/>
      <c r="Q641" s="5"/>
      <c r="R641" s="5"/>
      <c r="S641" s="5"/>
      <c r="T641" s="5"/>
    </row>
    <row r="642" ht="15.75" customHeight="1">
      <c r="A642" s="6" t="str">
        <f t="shared" si="1"/>
        <v>Searching for vintage items on Etsy, 1203282892</v>
      </c>
      <c r="B642" s="7" t="s">
        <v>48</v>
      </c>
      <c r="C642" s="5"/>
      <c r="D642" s="5" t="s">
        <v>2015</v>
      </c>
      <c r="E642" s="5"/>
      <c r="F642" s="8">
        <v>1.203282892E9</v>
      </c>
      <c r="G642" s="9" t="str">
        <f>HYPERLINK("https://www.etsy.com/listing/1203282892", "link")</f>
        <v>link</v>
      </c>
      <c r="H642" s="9" t="str">
        <f>HYPERLINK("https://atlas.etsycorp.com/listing/1203282892/lookup", "link")</f>
        <v>link</v>
      </c>
      <c r="I642" s="5" t="s">
        <v>2016</v>
      </c>
      <c r="J642" s="5" t="s">
        <v>2017</v>
      </c>
      <c r="K642" s="5" t="s">
        <v>19</v>
      </c>
      <c r="L642" s="5" t="s">
        <v>20</v>
      </c>
      <c r="M642" s="10" t="s">
        <v>21</v>
      </c>
      <c r="N642" s="10" t="s">
        <v>478</v>
      </c>
      <c r="O642" s="11" t="s">
        <v>877</v>
      </c>
      <c r="P642" s="5"/>
      <c r="Q642" s="5"/>
      <c r="R642" s="5"/>
      <c r="S642" s="5"/>
      <c r="T642" s="5"/>
    </row>
    <row r="643" ht="15.75" customHeight="1">
      <c r="A643" s="6" t="str">
        <f t="shared" si="1"/>
        <v>party crackers, 1006557594</v>
      </c>
      <c r="B643" s="7" t="s">
        <v>15</v>
      </c>
      <c r="C643" s="5"/>
      <c r="D643" s="5" t="s">
        <v>2018</v>
      </c>
      <c r="E643" s="5"/>
      <c r="F643" s="8">
        <v>1.006557594E9</v>
      </c>
      <c r="G643" s="9" t="str">
        <f>HYPERLINK("https://www.etsy.com/listing/1006557594", "link")</f>
        <v>link</v>
      </c>
      <c r="H643" s="9" t="str">
        <f>HYPERLINK("https://atlas.etsycorp.com/listing/1006557594/lookup", "link")</f>
        <v>link</v>
      </c>
      <c r="I643" s="5" t="s">
        <v>2019</v>
      </c>
      <c r="J643" s="5" t="s">
        <v>2020</v>
      </c>
      <c r="K643" s="5" t="s">
        <v>19</v>
      </c>
      <c r="L643" s="5" t="s">
        <v>41</v>
      </c>
      <c r="M643" s="10" t="s">
        <v>21</v>
      </c>
      <c r="N643" s="10" t="s">
        <v>478</v>
      </c>
      <c r="O643" s="11" t="s">
        <v>877</v>
      </c>
      <c r="P643" s="5"/>
      <c r="Q643" s="5"/>
      <c r="R643" s="5"/>
      <c r="S643" s="5"/>
      <c r="T643" s="5"/>
    </row>
    <row r="644" ht="15.75" customHeight="1">
      <c r="A644" s="6" t="str">
        <f t="shared" si="1"/>
        <v>mothersday hand, 1577071664</v>
      </c>
      <c r="B644" s="7" t="s">
        <v>48</v>
      </c>
      <c r="C644" s="5"/>
      <c r="D644" s="5" t="s">
        <v>2021</v>
      </c>
      <c r="E644" s="5"/>
      <c r="F644" s="8">
        <v>1.577071664E9</v>
      </c>
      <c r="G644" s="9" t="str">
        <f>HYPERLINK("https://www.etsy.com/listing/1577071664", "link")</f>
        <v>link</v>
      </c>
      <c r="H644" s="9" t="str">
        <f>HYPERLINK("https://atlas.etsycorp.com/listing/1577071664/lookup", "link")</f>
        <v>link</v>
      </c>
      <c r="I644" s="5" t="s">
        <v>2022</v>
      </c>
      <c r="J644" s="5" t="s">
        <v>2023</v>
      </c>
      <c r="K644" s="5" t="s">
        <v>19</v>
      </c>
      <c r="L644" s="5" t="s">
        <v>41</v>
      </c>
      <c r="M644" s="10" t="s">
        <v>21</v>
      </c>
      <c r="N644" s="10" t="s">
        <v>478</v>
      </c>
      <c r="O644" s="11" t="s">
        <v>877</v>
      </c>
      <c r="P644" s="5"/>
      <c r="Q644" s="5"/>
      <c r="R644" s="5"/>
      <c r="S644" s="5"/>
      <c r="T644" s="5"/>
    </row>
    <row r="645" ht="15.75" customHeight="1">
      <c r="A645" s="6" t="str">
        <f t="shared" si="1"/>
        <v>blaze double bridge, 847544997</v>
      </c>
      <c r="B645" s="7" t="s">
        <v>48</v>
      </c>
      <c r="C645" s="5"/>
      <c r="D645" s="5" t="s">
        <v>2024</v>
      </c>
      <c r="E645" s="5"/>
      <c r="F645" s="8">
        <v>8.47544997E8</v>
      </c>
      <c r="G645" s="9" t="str">
        <f>HYPERLINK("https://www.etsy.com/listing/847544997", "link")</f>
        <v>link</v>
      </c>
      <c r="H645" s="9" t="str">
        <f>HYPERLINK("https://atlas.etsycorp.com/listing/847544997/lookup", "link")</f>
        <v>link</v>
      </c>
      <c r="I645" s="5" t="s">
        <v>2025</v>
      </c>
      <c r="J645" s="5" t="s">
        <v>2026</v>
      </c>
      <c r="K645" s="5" t="s">
        <v>19</v>
      </c>
      <c r="L645" s="5" t="s">
        <v>73</v>
      </c>
      <c r="M645" s="10" t="s">
        <v>21</v>
      </c>
      <c r="N645" s="10" t="s">
        <v>478</v>
      </c>
      <c r="O645" s="11" t="s">
        <v>877</v>
      </c>
      <c r="P645" s="5"/>
      <c r="Q645" s="5"/>
      <c r="R645" s="5"/>
      <c r="S645" s="5"/>
      <c r="T645" s="5"/>
    </row>
    <row r="646" ht="15.75" customHeight="1">
      <c r="A646" s="6" t="str">
        <f t="shared" si="1"/>
        <v>gumpaste flower spray for birthday cake, 1582246967</v>
      </c>
      <c r="B646" s="7" t="s">
        <v>15</v>
      </c>
      <c r="C646" s="5"/>
      <c r="D646" s="5" t="s">
        <v>2027</v>
      </c>
      <c r="E646" s="5"/>
      <c r="F646" s="8">
        <v>1.582246967E9</v>
      </c>
      <c r="G646" s="9" t="str">
        <f>HYPERLINK("https://www.etsy.com/listing/1582246967", "link")</f>
        <v>link</v>
      </c>
      <c r="H646" s="9" t="str">
        <f>HYPERLINK("https://atlas.etsycorp.com/listing/1582246967/lookup", "link")</f>
        <v>link</v>
      </c>
      <c r="I646" s="5" t="s">
        <v>2028</v>
      </c>
      <c r="J646" s="5" t="s">
        <v>2029</v>
      </c>
      <c r="K646" s="5" t="s">
        <v>19</v>
      </c>
      <c r="L646" s="5" t="s">
        <v>41</v>
      </c>
      <c r="M646" s="10" t="s">
        <v>21</v>
      </c>
      <c r="N646" s="10" t="s">
        <v>478</v>
      </c>
      <c r="O646" s="11" t="s">
        <v>877</v>
      </c>
      <c r="P646" s="5"/>
      <c r="Q646" s="5"/>
      <c r="R646" s="5"/>
      <c r="S646" s="5"/>
      <c r="T646" s="5"/>
    </row>
    <row r="647" ht="15.75" customHeight="1">
      <c r="A647" s="6" t="str">
        <f t="shared" si="1"/>
        <v>easter egg hunt cards, 584548569</v>
      </c>
      <c r="B647" s="7" t="s">
        <v>24</v>
      </c>
      <c r="C647" s="5"/>
      <c r="D647" s="5" t="s">
        <v>2030</v>
      </c>
      <c r="E647" s="5"/>
      <c r="F647" s="8">
        <v>5.84548569E8</v>
      </c>
      <c r="G647" s="9" t="str">
        <f>HYPERLINK("https://www.etsy.com/listing/584548569", "link")</f>
        <v>link</v>
      </c>
      <c r="H647" s="9" t="str">
        <f>HYPERLINK("https://atlas.etsycorp.com/listing/584548569/lookup", "link")</f>
        <v>link</v>
      </c>
      <c r="I647" s="5" t="s">
        <v>2031</v>
      </c>
      <c r="J647" s="5" t="s">
        <v>2032</v>
      </c>
      <c r="K647" s="5" t="s">
        <v>19</v>
      </c>
      <c r="L647" s="5" t="s">
        <v>41</v>
      </c>
      <c r="M647" s="10" t="s">
        <v>21</v>
      </c>
      <c r="N647" s="10" t="s">
        <v>478</v>
      </c>
      <c r="O647" s="11" t="s">
        <v>877</v>
      </c>
      <c r="P647" s="5"/>
      <c r="Q647" s="5"/>
      <c r="R647" s="5"/>
      <c r="S647" s="5"/>
      <c r="T647" s="5"/>
    </row>
    <row r="648" ht="15.75" customHeight="1">
      <c r="A648" s="6" t="str">
        <f t="shared" si="1"/>
        <v>personalised gin glass stemless, 1051860011</v>
      </c>
      <c r="B648" s="7" t="s">
        <v>15</v>
      </c>
      <c r="C648" s="5"/>
      <c r="D648" s="5" t="s">
        <v>2033</v>
      </c>
      <c r="E648" s="5"/>
      <c r="F648" s="8">
        <v>1.051860011E9</v>
      </c>
      <c r="G648" s="9" t="str">
        <f>HYPERLINK("https://www.etsy.com/listing/1051860011", "link")</f>
        <v>link</v>
      </c>
      <c r="H648" s="9" t="str">
        <f>HYPERLINK("https://atlas.etsycorp.com/listing/1051860011/lookup", "link")</f>
        <v>link</v>
      </c>
      <c r="I648" s="5" t="s">
        <v>2034</v>
      </c>
      <c r="J648" s="5" t="s">
        <v>2035</v>
      </c>
      <c r="K648" s="5" t="s">
        <v>120</v>
      </c>
      <c r="L648" s="5" t="s">
        <v>73</v>
      </c>
      <c r="M648" s="10" t="s">
        <v>21</v>
      </c>
      <c r="N648" s="10" t="s">
        <v>478</v>
      </c>
      <c r="O648" s="11" t="s">
        <v>877</v>
      </c>
      <c r="P648" s="5"/>
      <c r="Q648" s="5"/>
      <c r="R648" s="5"/>
      <c r="S648" s="5"/>
      <c r="T648" s="5"/>
    </row>
    <row r="649" ht="15.75" customHeight="1">
      <c r="A649" s="6" t="str">
        <f t="shared" si="1"/>
        <v>travel accessories, 1572498116</v>
      </c>
      <c r="B649" s="7" t="s">
        <v>48</v>
      </c>
      <c r="C649" s="5"/>
      <c r="D649" s="5" t="s">
        <v>506</v>
      </c>
      <c r="E649" s="5" t="s">
        <v>506</v>
      </c>
      <c r="F649" s="8">
        <v>1.572498116E9</v>
      </c>
      <c r="G649" s="9" t="str">
        <f>HYPERLINK("https://www.etsy.com/listing/1572498116", "link")</f>
        <v>link</v>
      </c>
      <c r="H649" s="9" t="str">
        <f>HYPERLINK("https://atlas.etsycorp.com/listing/1572498116/lookup", "link")</f>
        <v>link</v>
      </c>
      <c r="I649" s="5" t="s">
        <v>2036</v>
      </c>
      <c r="J649" s="5" t="s">
        <v>1863</v>
      </c>
      <c r="K649" s="5" t="s">
        <v>80</v>
      </c>
      <c r="L649" s="5" t="s">
        <v>81</v>
      </c>
      <c r="M649" s="10" t="s">
        <v>21</v>
      </c>
      <c r="N649" s="10" t="s">
        <v>478</v>
      </c>
      <c r="O649" s="11" t="s">
        <v>877</v>
      </c>
      <c r="P649" s="5"/>
      <c r="Q649" s="5"/>
      <c r="R649" s="5"/>
      <c r="S649" s="5"/>
      <c r="T649" s="5"/>
    </row>
    <row r="650" ht="15.75" customHeight="1">
      <c r="A650" s="6" t="str">
        <f t="shared" si="1"/>
        <v>mortal kombat, 1218863455</v>
      </c>
      <c r="B650" s="7" t="s">
        <v>15</v>
      </c>
      <c r="C650" s="5"/>
      <c r="D650" s="5" t="s">
        <v>2037</v>
      </c>
      <c r="E650" s="5" t="s">
        <v>2037</v>
      </c>
      <c r="F650" s="8">
        <v>1.218863455E9</v>
      </c>
      <c r="G650" s="9" t="str">
        <f>HYPERLINK("https://www.etsy.com/listing/1218863455", "link")</f>
        <v>link</v>
      </c>
      <c r="H650" s="9" t="str">
        <f>HYPERLINK("https://atlas.etsycorp.com/listing/1218863455/lookup", "link")</f>
        <v>link</v>
      </c>
      <c r="I650" s="5" t="s">
        <v>2038</v>
      </c>
      <c r="J650" s="5" t="s">
        <v>2039</v>
      </c>
      <c r="K650" s="5" t="s">
        <v>54</v>
      </c>
      <c r="L650" s="5" t="s">
        <v>55</v>
      </c>
      <c r="M650" s="10" t="s">
        <v>21</v>
      </c>
      <c r="N650" s="10" t="s">
        <v>478</v>
      </c>
      <c r="O650" s="11" t="s">
        <v>877</v>
      </c>
      <c r="P650" s="5"/>
      <c r="Q650" s="5"/>
      <c r="R650" s="5"/>
      <c r="S650" s="5"/>
      <c r="T650" s="5"/>
    </row>
    <row r="651" ht="15.75" customHeight="1">
      <c r="A651" s="6" t="str">
        <f t="shared" si="1"/>
        <v>trinket box 60th birthday, 600003183</v>
      </c>
      <c r="B651" s="7" t="s">
        <v>24</v>
      </c>
      <c r="C651" s="5"/>
      <c r="D651" s="5" t="s">
        <v>2040</v>
      </c>
      <c r="E651" s="5"/>
      <c r="F651" s="8">
        <v>6.00003183E8</v>
      </c>
      <c r="G651" s="9" t="str">
        <f>HYPERLINK("https://www.etsy.com/listing/600003183", "link")</f>
        <v>link</v>
      </c>
      <c r="H651" s="9" t="str">
        <f>HYPERLINK("https://atlas.etsycorp.com/listing/600003183/lookup", "link")</f>
        <v>link</v>
      </c>
      <c r="I651" s="5" t="s">
        <v>2041</v>
      </c>
      <c r="J651" s="5" t="s">
        <v>2042</v>
      </c>
      <c r="K651" s="5" t="s">
        <v>120</v>
      </c>
      <c r="L651" s="5" t="s">
        <v>73</v>
      </c>
      <c r="M651" s="10" t="s">
        <v>21</v>
      </c>
      <c r="N651" s="10" t="s">
        <v>478</v>
      </c>
      <c r="O651" s="11" t="s">
        <v>877</v>
      </c>
      <c r="P651" s="5"/>
      <c r="Q651" s="5"/>
      <c r="R651" s="5"/>
      <c r="S651" s="5"/>
      <c r="T651" s="5"/>
    </row>
    <row r="652" ht="15.75" customHeight="1">
      <c r="A652" s="6" t="str">
        <f t="shared" si="1"/>
        <v>wedding gift bar sign, 1536960888</v>
      </c>
      <c r="B652" s="7" t="s">
        <v>15</v>
      </c>
      <c r="C652" s="5"/>
      <c r="D652" s="5" t="s">
        <v>2043</v>
      </c>
      <c r="E652" s="5"/>
      <c r="F652" s="8">
        <v>1.536960888E9</v>
      </c>
      <c r="G652" s="9" t="str">
        <f>HYPERLINK("https://www.etsy.com/listing/1536960888", "link")</f>
        <v>link</v>
      </c>
      <c r="H652" s="9" t="str">
        <f>HYPERLINK("https://atlas.etsycorp.com/listing/1536960888/lookup", "link")</f>
        <v>link</v>
      </c>
      <c r="I652" s="5" t="s">
        <v>2044</v>
      </c>
      <c r="J652" s="5" t="s">
        <v>2045</v>
      </c>
      <c r="K652" s="5" t="s">
        <v>19</v>
      </c>
      <c r="L652" s="5" t="s">
        <v>41</v>
      </c>
      <c r="M652" s="10" t="s">
        <v>21</v>
      </c>
      <c r="N652" s="10" t="s">
        <v>478</v>
      </c>
      <c r="O652" s="11" t="s">
        <v>877</v>
      </c>
      <c r="P652" s="5"/>
      <c r="Q652" s="5"/>
      <c r="R652" s="5"/>
      <c r="S652" s="5"/>
      <c r="T652" s="5"/>
    </row>
    <row r="653" ht="15.75" customHeight="1">
      <c r="A653" s="6" t="str">
        <f t="shared" si="1"/>
        <v>gold earrings, 1182035732</v>
      </c>
      <c r="B653" s="7" t="s">
        <v>15</v>
      </c>
      <c r="C653" s="5"/>
      <c r="D653" s="5" t="s">
        <v>2046</v>
      </c>
      <c r="E653" s="5"/>
      <c r="F653" s="8">
        <v>1.182035732E9</v>
      </c>
      <c r="G653" s="9" t="str">
        <f>HYPERLINK("https://www.etsy.com/listing/1182035732", "link")</f>
        <v>link</v>
      </c>
      <c r="H653" s="9" t="str">
        <f>HYPERLINK("https://atlas.etsycorp.com/listing/1182035732/lookup", "link")</f>
        <v>link</v>
      </c>
      <c r="I653" s="5" t="s">
        <v>2047</v>
      </c>
      <c r="J653" s="5" t="s">
        <v>2048</v>
      </c>
      <c r="K653" s="5" t="s">
        <v>19</v>
      </c>
      <c r="L653" s="5" t="s">
        <v>73</v>
      </c>
      <c r="M653" s="10" t="s">
        <v>21</v>
      </c>
      <c r="N653" s="10" t="s">
        <v>478</v>
      </c>
      <c r="O653" s="11" t="s">
        <v>877</v>
      </c>
      <c r="P653" s="5"/>
      <c r="Q653" s="5"/>
      <c r="R653" s="5"/>
      <c r="S653" s="5"/>
      <c r="T653" s="5"/>
    </row>
    <row r="654" ht="15.75" customHeight="1">
      <c r="A654" s="6" t="str">
        <f t="shared" si="1"/>
        <v>first holy communion, 1126190159</v>
      </c>
      <c r="B654" s="7" t="s">
        <v>15</v>
      </c>
      <c r="C654" s="5"/>
      <c r="D654" s="5" t="s">
        <v>2049</v>
      </c>
      <c r="E654" s="5"/>
      <c r="F654" s="8">
        <v>1.126190159E9</v>
      </c>
      <c r="G654" s="9" t="str">
        <f>HYPERLINK("https://www.etsy.com/listing/1126190159", "link")</f>
        <v>link</v>
      </c>
      <c r="H654" s="9" t="str">
        <f>HYPERLINK("https://atlas.etsycorp.com/listing/1126190159/lookup", "link")</f>
        <v>link</v>
      </c>
      <c r="I654" s="5" t="s">
        <v>2050</v>
      </c>
      <c r="J654" s="5" t="s">
        <v>2051</v>
      </c>
      <c r="K654" s="5" t="s">
        <v>120</v>
      </c>
      <c r="L654" s="5" t="s">
        <v>20</v>
      </c>
      <c r="M654" s="10" t="s">
        <v>21</v>
      </c>
      <c r="N654" s="10" t="s">
        <v>478</v>
      </c>
      <c r="O654" s="11" t="s">
        <v>877</v>
      </c>
      <c r="P654" s="5"/>
      <c r="Q654" s="5"/>
      <c r="R654" s="5"/>
      <c r="S654" s="5"/>
      <c r="T654" s="5"/>
    </row>
    <row r="655" ht="15.75" customHeight="1">
      <c r="A655" s="6" t="str">
        <f t="shared" si="1"/>
        <v>taylor swift lunch box, 1001619729</v>
      </c>
      <c r="B655" s="7" t="s">
        <v>24</v>
      </c>
      <c r="C655" s="7" t="s">
        <v>2052</v>
      </c>
      <c r="D655" s="5" t="s">
        <v>2053</v>
      </c>
      <c r="E655" s="5"/>
      <c r="F655" s="8">
        <v>1.001619729E9</v>
      </c>
      <c r="G655" s="9" t="str">
        <f>HYPERLINK("https://www.etsy.com/listing/1001619729", "link")</f>
        <v>link</v>
      </c>
      <c r="H655" s="9" t="str">
        <f>HYPERLINK("https://atlas.etsycorp.com/listing/1001619729/lookup", "link")</f>
        <v>link</v>
      </c>
      <c r="I655" s="5" t="s">
        <v>2054</v>
      </c>
      <c r="J655" s="5" t="s">
        <v>2055</v>
      </c>
      <c r="K655" s="5" t="s">
        <v>120</v>
      </c>
      <c r="L655" s="5" t="s">
        <v>73</v>
      </c>
      <c r="M655" s="10" t="s">
        <v>21</v>
      </c>
      <c r="N655" s="10" t="s">
        <v>478</v>
      </c>
      <c r="O655" s="11" t="s">
        <v>877</v>
      </c>
      <c r="P655" s="5"/>
      <c r="Q655" s="5"/>
      <c r="R655" s="5"/>
      <c r="S655" s="5"/>
      <c r="T655" s="5"/>
    </row>
    <row r="656" ht="15.75" customHeight="1">
      <c r="A656" s="6" t="str">
        <f t="shared" si="1"/>
        <v>lumberjill tshirt, 1588707872</v>
      </c>
      <c r="B656" s="7" t="s">
        <v>24</v>
      </c>
      <c r="C656" s="5"/>
      <c r="D656" s="5" t="s">
        <v>2056</v>
      </c>
      <c r="E656" s="5"/>
      <c r="F656" s="8">
        <v>1.588707872E9</v>
      </c>
      <c r="G656" s="9" t="str">
        <f>HYPERLINK("https://www.etsy.com/listing/1588707872", "link")</f>
        <v>link</v>
      </c>
      <c r="H656" s="9" t="str">
        <f>HYPERLINK("https://atlas.etsycorp.com/listing/1588707872/lookup", "link")</f>
        <v>link</v>
      </c>
      <c r="I656" s="5" t="s">
        <v>2057</v>
      </c>
      <c r="J656" s="5" t="s">
        <v>2058</v>
      </c>
      <c r="K656" s="5" t="s">
        <v>19</v>
      </c>
      <c r="L656" s="5" t="s">
        <v>73</v>
      </c>
      <c r="M656" s="10" t="s">
        <v>21</v>
      </c>
      <c r="N656" s="10" t="s">
        <v>478</v>
      </c>
      <c r="O656" s="11" t="s">
        <v>877</v>
      </c>
      <c r="P656" s="5"/>
      <c r="Q656" s="5"/>
      <c r="R656" s="5"/>
      <c r="S656" s="5"/>
      <c r="T656" s="5"/>
    </row>
    <row r="657" ht="15.75" customHeight="1">
      <c r="A657" s="6" t="str">
        <f t="shared" si="1"/>
        <v>vintage portable compact mirror asiatique, 1692311860</v>
      </c>
      <c r="B657" s="7" t="s">
        <v>15</v>
      </c>
      <c r="C657" s="5"/>
      <c r="D657" s="5" t="s">
        <v>170</v>
      </c>
      <c r="E657" s="5" t="s">
        <v>170</v>
      </c>
      <c r="F657" s="8">
        <v>1.69231186E9</v>
      </c>
      <c r="G657" s="9" t="str">
        <f>HYPERLINK("https://www.etsy.com/listing/1692311860", "link")</f>
        <v>link</v>
      </c>
      <c r="H657" s="9" t="str">
        <f>HYPERLINK("https://atlas.etsycorp.com/listing/1692311860/lookup", "link")</f>
        <v>link</v>
      </c>
      <c r="I657" s="5" t="s">
        <v>2059</v>
      </c>
      <c r="J657" s="5" t="s">
        <v>172</v>
      </c>
      <c r="K657" s="5" t="s">
        <v>54</v>
      </c>
      <c r="L657" s="5" t="s">
        <v>55</v>
      </c>
      <c r="M657" s="10" t="s">
        <v>21</v>
      </c>
      <c r="N657" s="10" t="s">
        <v>478</v>
      </c>
      <c r="O657" s="11" t="s">
        <v>877</v>
      </c>
      <c r="P657" s="5"/>
      <c r="Q657" s="5"/>
      <c r="R657" s="5"/>
      <c r="S657" s="5"/>
      <c r="T657" s="5"/>
    </row>
    <row r="658" ht="15.75" customHeight="1">
      <c r="A658" s="6" t="str">
        <f t="shared" si="1"/>
        <v>harry styles car accessories, 1517257436</v>
      </c>
      <c r="B658" s="7" t="s">
        <v>48</v>
      </c>
      <c r="C658" s="5"/>
      <c r="D658" s="5" t="s">
        <v>2060</v>
      </c>
      <c r="E658" s="5"/>
      <c r="F658" s="8">
        <v>1.517257436E9</v>
      </c>
      <c r="G658" s="9" t="str">
        <f>HYPERLINK("https://www.etsy.com/listing/1517257436", "link")</f>
        <v>link</v>
      </c>
      <c r="H658" s="9" t="str">
        <f>HYPERLINK("https://atlas.etsycorp.com/listing/1517257436/lookup", "link")</f>
        <v>link</v>
      </c>
      <c r="I658" s="5" t="s">
        <v>2061</v>
      </c>
      <c r="J658" s="5" t="s">
        <v>2062</v>
      </c>
      <c r="K658" s="5" t="s">
        <v>120</v>
      </c>
      <c r="L658" s="5" t="s">
        <v>20</v>
      </c>
      <c r="M658" s="10" t="s">
        <v>21</v>
      </c>
      <c r="N658" s="10" t="s">
        <v>478</v>
      </c>
      <c r="O658" s="11" t="s">
        <v>877</v>
      </c>
      <c r="P658" s="5"/>
      <c r="Q658" s="5"/>
      <c r="R658" s="5"/>
      <c r="S658" s="5"/>
      <c r="T658" s="5"/>
    </row>
    <row r="659" ht="15.75" customHeight="1">
      <c r="A659" s="6" t="str">
        <f t="shared" si="1"/>
        <v>IKEA Antilop Highchair Full Cover Tray Silicone Placemat - Peach, 980145202</v>
      </c>
      <c r="B659" s="7" t="s">
        <v>15</v>
      </c>
      <c r="C659" s="5"/>
      <c r="D659" s="5" t="s">
        <v>2063</v>
      </c>
      <c r="E659" s="5"/>
      <c r="F659" s="8">
        <v>9.80145202E8</v>
      </c>
      <c r="G659" s="9" t="str">
        <f>HYPERLINK("https://www.etsy.com/listing/980145202", "link")</f>
        <v>link</v>
      </c>
      <c r="H659" s="9" t="str">
        <f>HYPERLINK("https://atlas.etsycorp.com/listing/980145202/lookup", "link")</f>
        <v>link</v>
      </c>
      <c r="I659" s="5" t="s">
        <v>2064</v>
      </c>
      <c r="J659" s="5" t="s">
        <v>2065</v>
      </c>
      <c r="K659" s="5" t="s">
        <v>120</v>
      </c>
      <c r="L659" s="5" t="s">
        <v>73</v>
      </c>
      <c r="M659" s="10" t="s">
        <v>21</v>
      </c>
      <c r="N659" s="10" t="s">
        <v>478</v>
      </c>
      <c r="O659" s="11" t="s">
        <v>877</v>
      </c>
      <c r="P659" s="5"/>
      <c r="Q659" s="5"/>
      <c r="R659" s="5"/>
      <c r="S659" s="5"/>
      <c r="T659" s="5"/>
    </row>
    <row r="660" ht="15.75" customHeight="1">
      <c r="A660" s="6" t="str">
        <f t="shared" si="1"/>
        <v>korean outfit sets, 957418437</v>
      </c>
      <c r="B660" s="7" t="s">
        <v>24</v>
      </c>
      <c r="C660" s="5"/>
      <c r="D660" s="5" t="s">
        <v>2066</v>
      </c>
      <c r="E660" s="5"/>
      <c r="F660" s="8">
        <v>9.57418437E8</v>
      </c>
      <c r="G660" s="9" t="str">
        <f>HYPERLINK("https://www.etsy.com/listing/957418437", "link")</f>
        <v>link</v>
      </c>
      <c r="H660" s="9" t="str">
        <f>HYPERLINK("https://atlas.etsycorp.com/listing/957418437/lookup", "link")</f>
        <v>link</v>
      </c>
      <c r="I660" s="5" t="s">
        <v>2067</v>
      </c>
      <c r="J660" s="5" t="s">
        <v>2068</v>
      </c>
      <c r="K660" s="5" t="s">
        <v>554</v>
      </c>
      <c r="L660" s="5" t="s">
        <v>73</v>
      </c>
      <c r="M660" s="10" t="s">
        <v>21</v>
      </c>
      <c r="N660" s="10" t="s">
        <v>478</v>
      </c>
      <c r="O660" s="11" t="s">
        <v>877</v>
      </c>
      <c r="P660" s="5"/>
      <c r="Q660" s="5"/>
      <c r="R660" s="5"/>
      <c r="S660" s="5"/>
      <c r="T660" s="5"/>
    </row>
    <row r="661" ht="15.75" customHeight="1">
      <c r="A661" s="6" t="str">
        <f t="shared" si="1"/>
        <v>Embroidery, 1615194995</v>
      </c>
      <c r="B661" s="7" t="s">
        <v>24</v>
      </c>
      <c r="C661" s="5"/>
      <c r="D661" s="5" t="s">
        <v>2069</v>
      </c>
      <c r="E661" s="5"/>
      <c r="F661" s="8">
        <v>1.615194995E9</v>
      </c>
      <c r="G661" s="9" t="str">
        <f>HYPERLINK("https://www.etsy.com/listing/1615194995", "link")</f>
        <v>link</v>
      </c>
      <c r="H661" s="9" t="str">
        <f>HYPERLINK("https://atlas.etsycorp.com/listing/1615194995/lookup", "link")</f>
        <v>link</v>
      </c>
      <c r="I661" s="5" t="s">
        <v>2070</v>
      </c>
      <c r="J661" s="5" t="s">
        <v>2071</v>
      </c>
      <c r="K661" s="5" t="s">
        <v>19</v>
      </c>
      <c r="L661" s="5" t="s">
        <v>41</v>
      </c>
      <c r="M661" s="10" t="s">
        <v>21</v>
      </c>
      <c r="N661" s="10" t="s">
        <v>478</v>
      </c>
      <c r="O661" s="11" t="s">
        <v>877</v>
      </c>
      <c r="P661" s="5"/>
      <c r="Q661" s="5"/>
      <c r="R661" s="5"/>
      <c r="S661" s="5"/>
      <c r="T661" s="5"/>
    </row>
    <row r="662" ht="15.75" customHeight="1">
      <c r="A662" s="6" t="str">
        <f t="shared" si="1"/>
        <v>juego ps1 clock, 1386755013</v>
      </c>
      <c r="B662" s="7" t="s">
        <v>24</v>
      </c>
      <c r="C662" s="5"/>
      <c r="D662" s="5" t="s">
        <v>2072</v>
      </c>
      <c r="E662" s="5" t="s">
        <v>2073</v>
      </c>
      <c r="F662" s="8">
        <v>1.386755013E9</v>
      </c>
      <c r="G662" s="9" t="str">
        <f>HYPERLINK("https://www.etsy.com/listing/1386755013", "link")</f>
        <v>link</v>
      </c>
      <c r="H662" s="9" t="str">
        <f>HYPERLINK("https://atlas.etsycorp.com/listing/1386755013/lookup", "link")</f>
        <v>link</v>
      </c>
      <c r="I662" s="5" t="s">
        <v>2074</v>
      </c>
      <c r="J662" s="5" t="s">
        <v>2075</v>
      </c>
      <c r="K662" s="5" t="s">
        <v>29</v>
      </c>
      <c r="L662" s="5" t="s">
        <v>30</v>
      </c>
      <c r="M662" s="10" t="s">
        <v>21</v>
      </c>
      <c r="N662" s="10" t="s">
        <v>478</v>
      </c>
      <c r="O662" s="11" t="s">
        <v>877</v>
      </c>
      <c r="P662" s="5"/>
      <c r="Q662" s="5"/>
      <c r="R662" s="5"/>
      <c r="S662" s="5"/>
      <c r="T662" s="5"/>
    </row>
    <row r="663" ht="15.75" customHeight="1">
      <c r="A663" s="6" t="str">
        <f t="shared" si="1"/>
        <v>unique gifts for her, 1503354032</v>
      </c>
      <c r="B663" s="7" t="s">
        <v>15</v>
      </c>
      <c r="C663" s="5"/>
      <c r="D663" s="5" t="s">
        <v>327</v>
      </c>
      <c r="E663" s="5"/>
      <c r="F663" s="8">
        <v>1.503354032E9</v>
      </c>
      <c r="G663" s="9" t="str">
        <f>HYPERLINK("https://www.etsy.com/listing/1503354032", "link")</f>
        <v>link</v>
      </c>
      <c r="H663" s="9" t="str">
        <f>HYPERLINK("https://atlas.etsycorp.com/listing/1503354032/lookup", "link")</f>
        <v>link</v>
      </c>
      <c r="I663" s="5" t="s">
        <v>2076</v>
      </c>
      <c r="J663" s="5" t="s">
        <v>2077</v>
      </c>
      <c r="K663" s="5" t="s">
        <v>19</v>
      </c>
      <c r="L663" s="5" t="s">
        <v>20</v>
      </c>
      <c r="M663" s="10" t="s">
        <v>21</v>
      </c>
      <c r="N663" s="10" t="s">
        <v>478</v>
      </c>
      <c r="O663" s="11" t="s">
        <v>877</v>
      </c>
      <c r="P663" s="5"/>
      <c r="Q663" s="5"/>
      <c r="R663" s="5"/>
      <c r="S663" s="5"/>
      <c r="T663" s="5"/>
    </row>
    <row r="664" ht="15.75" customHeight="1">
      <c r="A664" s="6" t="str">
        <f t="shared" si="1"/>
        <v>sauna wall decor, 1141214472</v>
      </c>
      <c r="B664" s="7" t="s">
        <v>15</v>
      </c>
      <c r="C664" s="5"/>
      <c r="D664" s="5" t="s">
        <v>1335</v>
      </c>
      <c r="E664" s="5"/>
      <c r="F664" s="8">
        <v>1.141214472E9</v>
      </c>
      <c r="G664" s="9" t="str">
        <f>HYPERLINK("https://www.etsy.com/listing/1141214472", "link")</f>
        <v>link</v>
      </c>
      <c r="H664" s="9" t="str">
        <f>HYPERLINK("https://atlas.etsycorp.com/listing/1141214472/lookup", "link")</f>
        <v>link</v>
      </c>
      <c r="I664" s="5" t="s">
        <v>2078</v>
      </c>
      <c r="J664" s="5" t="s">
        <v>1337</v>
      </c>
      <c r="K664" s="5" t="s">
        <v>19</v>
      </c>
      <c r="L664" s="5" t="s">
        <v>41</v>
      </c>
      <c r="M664" s="10" t="s">
        <v>21</v>
      </c>
      <c r="N664" s="10" t="s">
        <v>478</v>
      </c>
      <c r="O664" s="11" t="s">
        <v>877</v>
      </c>
      <c r="P664" s="5"/>
      <c r="Q664" s="5"/>
      <c r="R664" s="5"/>
      <c r="S664" s="5"/>
      <c r="T664" s="5"/>
    </row>
    <row r="665" ht="15.75" customHeight="1">
      <c r="A665" s="6" t="str">
        <f t="shared" si="1"/>
        <v>zuria, 1601569748</v>
      </c>
      <c r="B665" s="7" t="s">
        <v>15</v>
      </c>
      <c r="C665" s="5"/>
      <c r="D665" s="5" t="s">
        <v>2079</v>
      </c>
      <c r="E665" s="5"/>
      <c r="F665" s="8">
        <v>1.601569748E9</v>
      </c>
      <c r="G665" s="9" t="str">
        <f>HYPERLINK("https://www.etsy.com/listing/1601569748", "link")</f>
        <v>link</v>
      </c>
      <c r="H665" s="9" t="str">
        <f>HYPERLINK("https://atlas.etsycorp.com/listing/1601569748/lookup", "link")</f>
        <v>link</v>
      </c>
      <c r="I665" s="5" t="s">
        <v>2080</v>
      </c>
      <c r="J665" s="5" t="s">
        <v>2081</v>
      </c>
      <c r="K665" s="5" t="s">
        <v>19</v>
      </c>
      <c r="L665" s="5" t="s">
        <v>20</v>
      </c>
      <c r="M665" s="10" t="s">
        <v>21</v>
      </c>
      <c r="N665" s="10" t="s">
        <v>478</v>
      </c>
      <c r="O665" s="11" t="s">
        <v>877</v>
      </c>
      <c r="P665" s="5"/>
      <c r="Q665" s="5"/>
      <c r="R665" s="5"/>
      <c r="S665" s="5"/>
      <c r="T665" s="5"/>
    </row>
    <row r="666" ht="15.75" customHeight="1">
      <c r="A666" s="6" t="str">
        <f t="shared" si="1"/>
        <v>meme stickers, 1524109617</v>
      </c>
      <c r="B666" s="7" t="s">
        <v>15</v>
      </c>
      <c r="C666" s="5"/>
      <c r="D666" s="5" t="s">
        <v>2082</v>
      </c>
      <c r="E666" s="5"/>
      <c r="F666" s="8">
        <v>1.524109617E9</v>
      </c>
      <c r="G666" s="9" t="str">
        <f>HYPERLINK("https://www.etsy.com/listing/1524109617", "link")</f>
        <v>link</v>
      </c>
      <c r="H666" s="9" t="str">
        <f>HYPERLINK("https://atlas.etsycorp.com/listing/1524109617/lookup", "link")</f>
        <v>link</v>
      </c>
      <c r="I666" s="5" t="s">
        <v>2083</v>
      </c>
      <c r="J666" s="5" t="s">
        <v>2084</v>
      </c>
      <c r="K666" s="5" t="s">
        <v>19</v>
      </c>
      <c r="L666" s="5" t="s">
        <v>41</v>
      </c>
      <c r="M666" s="10" t="s">
        <v>21</v>
      </c>
      <c r="N666" s="10" t="s">
        <v>478</v>
      </c>
      <c r="O666" s="11" t="s">
        <v>877</v>
      </c>
      <c r="P666" s="5"/>
      <c r="Q666" s="5"/>
      <c r="R666" s="5"/>
      <c r="S666" s="5"/>
      <c r="T666" s="5"/>
    </row>
    <row r="667" ht="15.75" customHeight="1">
      <c r="A667" s="6" t="str">
        <f t="shared" si="1"/>
        <v>meal planner digital, 1031947172</v>
      </c>
      <c r="B667" s="7" t="s">
        <v>15</v>
      </c>
      <c r="C667" s="5"/>
      <c r="D667" s="5" t="s">
        <v>2085</v>
      </c>
      <c r="E667" s="5"/>
      <c r="F667" s="8">
        <v>1.031947172E9</v>
      </c>
      <c r="G667" s="9" t="str">
        <f>HYPERLINK("https://www.etsy.com/listing/1031947172", "link")</f>
        <v>link</v>
      </c>
      <c r="H667" s="9" t="str">
        <f>HYPERLINK("https://atlas.etsycorp.com/listing/1031947172/lookup", "link")</f>
        <v>link</v>
      </c>
      <c r="I667" s="5" t="s">
        <v>2086</v>
      </c>
      <c r="J667" s="5" t="s">
        <v>2087</v>
      </c>
      <c r="K667" s="5" t="s">
        <v>120</v>
      </c>
      <c r="L667" s="5" t="s">
        <v>41</v>
      </c>
      <c r="M667" s="10" t="s">
        <v>21</v>
      </c>
      <c r="N667" s="10" t="s">
        <v>478</v>
      </c>
      <c r="O667" s="11" t="s">
        <v>877</v>
      </c>
      <c r="P667" s="5"/>
      <c r="Q667" s="5"/>
      <c r="R667" s="5"/>
      <c r="S667" s="5"/>
      <c r="T667" s="5"/>
    </row>
    <row r="668" ht="15.75" customHeight="1">
      <c r="A668" s="6" t="str">
        <f t="shared" si="1"/>
        <v>the mummy the daddy shirt, 1261921874</v>
      </c>
      <c r="B668" s="7" t="s">
        <v>15</v>
      </c>
      <c r="C668" s="5"/>
      <c r="D668" s="5" t="s">
        <v>2088</v>
      </c>
      <c r="E668" s="5" t="s">
        <v>2088</v>
      </c>
      <c r="F668" s="8">
        <v>1.261921874E9</v>
      </c>
      <c r="G668" s="9" t="str">
        <f>HYPERLINK("https://www.etsy.com/listing/1261921874", "link")</f>
        <v>link</v>
      </c>
      <c r="H668" s="9" t="str">
        <f>HYPERLINK("https://atlas.etsycorp.com/listing/1261921874/lookup", "link")</f>
        <v>link</v>
      </c>
      <c r="I668" s="5" t="s">
        <v>2089</v>
      </c>
      <c r="J668" s="5" t="s">
        <v>2090</v>
      </c>
      <c r="K668" s="5" t="s">
        <v>213</v>
      </c>
      <c r="L668" s="5" t="s">
        <v>214</v>
      </c>
      <c r="M668" s="10" t="s">
        <v>21</v>
      </c>
      <c r="N668" s="10" t="s">
        <v>478</v>
      </c>
      <c r="O668" s="11" t="s">
        <v>877</v>
      </c>
      <c r="P668" s="5"/>
      <c r="Q668" s="5"/>
      <c r="R668" s="5"/>
      <c r="S668" s="5"/>
      <c r="T668" s="5"/>
    </row>
    <row r="669" ht="15.75" customHeight="1">
      <c r="A669" s="6" t="str">
        <f t="shared" si="1"/>
        <v>targhetta non toccare passeggino, 1428635088</v>
      </c>
      <c r="B669" s="7" t="s">
        <v>24</v>
      </c>
      <c r="C669" s="5"/>
      <c r="D669" s="5" t="s">
        <v>1790</v>
      </c>
      <c r="E669" s="5" t="s">
        <v>1791</v>
      </c>
      <c r="F669" s="8">
        <v>1.428635088E9</v>
      </c>
      <c r="G669" s="9" t="str">
        <f>HYPERLINK("https://www.etsy.com/listing/1428635088", "link")</f>
        <v>link</v>
      </c>
      <c r="H669" s="9" t="str">
        <f>HYPERLINK("https://atlas.etsycorp.com/listing/1428635088/lookup", "link")</f>
        <v>link</v>
      </c>
      <c r="I669" s="5" t="s">
        <v>2091</v>
      </c>
      <c r="J669" s="5" t="s">
        <v>1793</v>
      </c>
      <c r="K669" s="5" t="s">
        <v>80</v>
      </c>
      <c r="L669" s="5" t="s">
        <v>81</v>
      </c>
      <c r="M669" s="10" t="s">
        <v>21</v>
      </c>
      <c r="N669" s="10" t="s">
        <v>478</v>
      </c>
      <c r="O669" s="11" t="s">
        <v>877</v>
      </c>
      <c r="P669" s="5"/>
      <c r="Q669" s="5"/>
      <c r="R669" s="5"/>
      <c r="S669" s="5"/>
      <c r="T669" s="5"/>
    </row>
    <row r="670" ht="15.75" customHeight="1">
      <c r="A670" s="6" t="str">
        <f t="shared" si="1"/>
        <v>dog birthday pup cup, 1539041397</v>
      </c>
      <c r="B670" s="7" t="s">
        <v>24</v>
      </c>
      <c r="C670" s="5"/>
      <c r="D670" s="5" t="s">
        <v>2092</v>
      </c>
      <c r="E670" s="5"/>
      <c r="F670" s="8">
        <v>1.539041397E9</v>
      </c>
      <c r="G670" s="9" t="str">
        <f>HYPERLINK("https://www.etsy.com/listing/1539041397", "link")</f>
        <v>link</v>
      </c>
      <c r="H670" s="9" t="str">
        <f>HYPERLINK("https://atlas.etsycorp.com/listing/1539041397/lookup", "link")</f>
        <v>link</v>
      </c>
      <c r="I670" s="5" t="s">
        <v>2093</v>
      </c>
      <c r="J670" s="5" t="s">
        <v>2094</v>
      </c>
      <c r="K670" s="5" t="s">
        <v>19</v>
      </c>
      <c r="L670" s="5" t="s">
        <v>41</v>
      </c>
      <c r="M670" s="10" t="s">
        <v>21</v>
      </c>
      <c r="N670" s="10" t="s">
        <v>478</v>
      </c>
      <c r="O670" s="11" t="s">
        <v>877</v>
      </c>
      <c r="P670" s="5"/>
      <c r="Q670" s="5"/>
      <c r="R670" s="5"/>
      <c r="S670" s="5"/>
      <c r="T670" s="5"/>
    </row>
    <row r="671" ht="15.75" customHeight="1">
      <c r="A671" s="6" t="str">
        <f t="shared" si="1"/>
        <v>wwe uv protected belt display, 1602691721</v>
      </c>
      <c r="B671" s="7" t="s">
        <v>24</v>
      </c>
      <c r="C671" s="7" t="s">
        <v>2095</v>
      </c>
      <c r="D671" s="5" t="s">
        <v>2096</v>
      </c>
      <c r="E671" s="5"/>
      <c r="F671" s="8">
        <v>1.602691721E9</v>
      </c>
      <c r="G671" s="9" t="str">
        <f>HYPERLINK("https://www.etsy.com/listing/1602691721", "link")</f>
        <v>link</v>
      </c>
      <c r="H671" s="9" t="str">
        <f>HYPERLINK("https://atlas.etsycorp.com/listing/1602691721/lookup", "link")</f>
        <v>link</v>
      </c>
      <c r="I671" s="5" t="s">
        <v>2097</v>
      </c>
      <c r="J671" s="5" t="s">
        <v>2098</v>
      </c>
      <c r="K671" s="5" t="s">
        <v>19</v>
      </c>
      <c r="L671" s="5" t="s">
        <v>73</v>
      </c>
      <c r="M671" s="10" t="s">
        <v>21</v>
      </c>
      <c r="N671" s="10" t="s">
        <v>478</v>
      </c>
      <c r="O671" s="11" t="s">
        <v>877</v>
      </c>
      <c r="P671" s="5"/>
      <c r="Q671" s="5"/>
      <c r="R671" s="5"/>
      <c r="S671" s="5"/>
      <c r="T671" s="5"/>
    </row>
    <row r="672" ht="15.75" customHeight="1">
      <c r="A672" s="6" t="str">
        <f t="shared" si="1"/>
        <v>engagement rings, 1241527970</v>
      </c>
      <c r="B672" s="7" t="s">
        <v>24</v>
      </c>
      <c r="C672" s="5"/>
      <c r="D672" s="5" t="s">
        <v>910</v>
      </c>
      <c r="E672" s="5" t="s">
        <v>910</v>
      </c>
      <c r="F672" s="8">
        <v>1.24152797E9</v>
      </c>
      <c r="G672" s="9" t="str">
        <f>HYPERLINK("https://www.etsy.com/listing/1241527970", "link")</f>
        <v>link</v>
      </c>
      <c r="H672" s="9" t="str">
        <f>HYPERLINK("https://atlas.etsycorp.com/listing/1241527970/lookup", "link")</f>
        <v>link</v>
      </c>
      <c r="I672" s="5" t="s">
        <v>2099</v>
      </c>
      <c r="J672" s="5" t="s">
        <v>912</v>
      </c>
      <c r="K672" s="5" t="s">
        <v>29</v>
      </c>
      <c r="L672" s="5" t="s">
        <v>30</v>
      </c>
      <c r="M672" s="10" t="s">
        <v>21</v>
      </c>
      <c r="N672" s="10" t="s">
        <v>478</v>
      </c>
      <c r="O672" s="11" t="s">
        <v>877</v>
      </c>
      <c r="P672" s="5"/>
      <c r="Q672" s="5"/>
      <c r="R672" s="5"/>
      <c r="S672" s="5"/>
      <c r="T672" s="5"/>
    </row>
    <row r="673" ht="15.75" customHeight="1">
      <c r="A673" s="6" t="str">
        <f t="shared" si="1"/>
        <v>buffet with drawers, 1649216530</v>
      </c>
      <c r="B673" s="7" t="s">
        <v>15</v>
      </c>
      <c r="C673" s="5"/>
      <c r="D673" s="5" t="s">
        <v>2100</v>
      </c>
      <c r="E673" s="5"/>
      <c r="F673" s="8">
        <v>1.64921653E9</v>
      </c>
      <c r="G673" s="9" t="str">
        <f>HYPERLINK("https://www.etsy.com/listing/1649216530", "link")</f>
        <v>link</v>
      </c>
      <c r="H673" s="9" t="str">
        <f>HYPERLINK("https://atlas.etsycorp.com/listing/1649216530/lookup", "link")</f>
        <v>link</v>
      </c>
      <c r="I673" s="5" t="s">
        <v>2101</v>
      </c>
      <c r="J673" s="5" t="s">
        <v>2102</v>
      </c>
      <c r="K673" s="5" t="s">
        <v>19</v>
      </c>
      <c r="L673" s="5" t="s">
        <v>41</v>
      </c>
      <c r="M673" s="10" t="s">
        <v>21</v>
      </c>
      <c r="N673" s="10" t="s">
        <v>478</v>
      </c>
      <c r="O673" s="11" t="s">
        <v>877</v>
      </c>
      <c r="P673" s="5"/>
      <c r="Q673" s="5"/>
      <c r="R673" s="5"/>
      <c r="S673" s="5"/>
      <c r="T673" s="5"/>
    </row>
    <row r="674" ht="15.75" customHeight="1">
      <c r="A674" s="6" t="str">
        <f t="shared" si="1"/>
        <v>brass link bracelet for women, 1202174248</v>
      </c>
      <c r="B674" s="7" t="s">
        <v>24</v>
      </c>
      <c r="C674" s="5"/>
      <c r="D674" s="5" t="s">
        <v>2103</v>
      </c>
      <c r="E674" s="5"/>
      <c r="F674" s="8">
        <v>1.202174248E9</v>
      </c>
      <c r="G674" s="9" t="str">
        <f>HYPERLINK("https://www.etsy.com/listing/1202174248", "link")</f>
        <v>link</v>
      </c>
      <c r="H674" s="9" t="str">
        <f>HYPERLINK("https://atlas.etsycorp.com/listing/1202174248/lookup", "link")</f>
        <v>link</v>
      </c>
      <c r="I674" s="5" t="s">
        <v>2104</v>
      </c>
      <c r="J674" s="5" t="s">
        <v>2105</v>
      </c>
      <c r="K674" s="5" t="s">
        <v>19</v>
      </c>
      <c r="L674" s="5" t="s">
        <v>73</v>
      </c>
      <c r="M674" s="10" t="s">
        <v>21</v>
      </c>
      <c r="N674" s="10" t="s">
        <v>478</v>
      </c>
      <c r="O674" s="11" t="s">
        <v>877</v>
      </c>
      <c r="P674" s="5"/>
      <c r="Q674" s="5"/>
      <c r="R674" s="5"/>
      <c r="S674" s="5"/>
      <c r="T674" s="5"/>
    </row>
    <row r="675" ht="15.75" customHeight="1">
      <c r="A675" s="6" t="str">
        <f t="shared" si="1"/>
        <v>muursticker frieda kalo, 1290403391</v>
      </c>
      <c r="B675" s="7" t="s">
        <v>48</v>
      </c>
      <c r="C675" s="5"/>
      <c r="D675" s="5" t="s">
        <v>2106</v>
      </c>
      <c r="E675" s="5" t="s">
        <v>2107</v>
      </c>
      <c r="F675" s="8">
        <v>1.290403391E9</v>
      </c>
      <c r="G675" s="9" t="str">
        <f>HYPERLINK("https://www.etsy.com/listing/1290403391", "link")</f>
        <v>link</v>
      </c>
      <c r="H675" s="9" t="str">
        <f>HYPERLINK("https://atlas.etsycorp.com/listing/1290403391/lookup", "link")</f>
        <v>link</v>
      </c>
      <c r="I675" s="5" t="s">
        <v>2108</v>
      </c>
      <c r="J675" s="5" t="s">
        <v>2109</v>
      </c>
      <c r="K675" s="5" t="s">
        <v>35</v>
      </c>
      <c r="L675" s="5" t="s">
        <v>36</v>
      </c>
      <c r="M675" s="10" t="s">
        <v>21</v>
      </c>
      <c r="N675" s="10" t="s">
        <v>478</v>
      </c>
      <c r="O675" s="11" t="s">
        <v>877</v>
      </c>
      <c r="P675" s="5"/>
      <c r="Q675" s="5"/>
      <c r="R675" s="5"/>
      <c r="S675" s="5"/>
      <c r="T675" s="5"/>
    </row>
    <row r="676" ht="15.75" customHeight="1">
      <c r="A676" s="6" t="str">
        <f t="shared" si="1"/>
        <v>chain guard adapter bracket, 86843208</v>
      </c>
      <c r="B676" s="7" t="s">
        <v>48</v>
      </c>
      <c r="C676" s="5"/>
      <c r="D676" s="5" t="s">
        <v>2110</v>
      </c>
      <c r="E676" s="5"/>
      <c r="F676" s="8">
        <v>8.6843208E7</v>
      </c>
      <c r="G676" s="9" t="str">
        <f>HYPERLINK("https://www.etsy.com/listing/86843208", "link")</f>
        <v>link</v>
      </c>
      <c r="H676" s="9" t="str">
        <f>HYPERLINK("https://atlas.etsycorp.com/listing/86843208/lookup", "link")</f>
        <v>link</v>
      </c>
      <c r="I676" s="5" t="s">
        <v>2111</v>
      </c>
      <c r="J676" s="5" t="s">
        <v>2112</v>
      </c>
      <c r="K676" s="5" t="s">
        <v>19</v>
      </c>
      <c r="L676" s="5" t="s">
        <v>41</v>
      </c>
      <c r="M676" s="10" t="s">
        <v>21</v>
      </c>
      <c r="N676" s="10" t="s">
        <v>478</v>
      </c>
      <c r="O676" s="11" t="s">
        <v>877</v>
      </c>
      <c r="P676" s="5"/>
      <c r="Q676" s="5"/>
      <c r="R676" s="5"/>
      <c r="S676" s="5"/>
      <c r="T676" s="5"/>
    </row>
    <row r="677" ht="15.75" customHeight="1">
      <c r="A677" s="6" t="str">
        <f t="shared" si="1"/>
        <v>bracelet personnalisé, 1258568212</v>
      </c>
      <c r="B677" s="7" t="s">
        <v>15</v>
      </c>
      <c r="C677" s="5"/>
      <c r="D677" s="5" t="s">
        <v>2113</v>
      </c>
      <c r="E677" s="5" t="s">
        <v>2114</v>
      </c>
      <c r="F677" s="8">
        <v>1.258568212E9</v>
      </c>
      <c r="G677" s="9" t="str">
        <f>HYPERLINK("https://www.etsy.com/listing/1258568212", "link")</f>
        <v>link</v>
      </c>
      <c r="H677" s="9" t="str">
        <f>HYPERLINK("https://atlas.etsycorp.com/listing/1258568212/lookup", "link")</f>
        <v>link</v>
      </c>
      <c r="I677" s="5" t="s">
        <v>2115</v>
      </c>
      <c r="J677" s="5" t="s">
        <v>2116</v>
      </c>
      <c r="K677" s="5" t="s">
        <v>54</v>
      </c>
      <c r="L677" s="5" t="s">
        <v>55</v>
      </c>
      <c r="M677" s="10" t="s">
        <v>21</v>
      </c>
      <c r="N677" s="10" t="s">
        <v>478</v>
      </c>
      <c r="O677" s="11" t="s">
        <v>877</v>
      </c>
      <c r="P677" s="5"/>
      <c r="Q677" s="5"/>
      <c r="R677" s="5"/>
      <c r="S677" s="5"/>
      <c r="T677" s="5"/>
    </row>
    <row r="678" ht="15.75" customHeight="1">
      <c r="A678" s="6" t="str">
        <f t="shared" si="1"/>
        <v>personalized school supplies, 1720292355</v>
      </c>
      <c r="B678" s="7" t="s">
        <v>48</v>
      </c>
      <c r="C678" s="5"/>
      <c r="D678" s="5" t="s">
        <v>485</v>
      </c>
      <c r="E678" s="5" t="s">
        <v>485</v>
      </c>
      <c r="F678" s="8">
        <v>1.720292355E9</v>
      </c>
      <c r="G678" s="9" t="str">
        <f>HYPERLINK("https://www.etsy.com/listing/1720292355", "link")</f>
        <v>link</v>
      </c>
      <c r="H678" s="9" t="str">
        <f>HYPERLINK("https://atlas.etsycorp.com/listing/1720292355/lookup", "link")</f>
        <v>link</v>
      </c>
      <c r="I678" s="5" t="s">
        <v>2117</v>
      </c>
      <c r="J678" s="5" t="s">
        <v>2118</v>
      </c>
      <c r="K678" s="5" t="s">
        <v>80</v>
      </c>
      <c r="L678" s="5" t="s">
        <v>81</v>
      </c>
      <c r="M678" s="10" t="s">
        <v>21</v>
      </c>
      <c r="N678" s="10" t="s">
        <v>478</v>
      </c>
      <c r="O678" s="11" t="s">
        <v>877</v>
      </c>
      <c r="P678" s="5"/>
      <c r="Q678" s="5"/>
      <c r="R678" s="5"/>
      <c r="S678" s="5"/>
      <c r="T678" s="5"/>
    </row>
    <row r="679" ht="15.75" customHeight="1">
      <c r="A679" s="6" t="str">
        <f t="shared" si="1"/>
        <v>congrats neon, 1338746560</v>
      </c>
      <c r="B679" s="7" t="s">
        <v>15</v>
      </c>
      <c r="C679" s="5"/>
      <c r="D679" s="5" t="s">
        <v>2119</v>
      </c>
      <c r="E679" s="5"/>
      <c r="F679" s="8">
        <v>1.33874656E9</v>
      </c>
      <c r="G679" s="9" t="str">
        <f>HYPERLINK("https://www.etsy.com/listing/1338746560", "link")</f>
        <v>link</v>
      </c>
      <c r="H679" s="9" t="str">
        <f>HYPERLINK("https://atlas.etsycorp.com/listing/1338746560/lookup", "link")</f>
        <v>link</v>
      </c>
      <c r="I679" s="5" t="s">
        <v>2120</v>
      </c>
      <c r="J679" s="5" t="s">
        <v>2121</v>
      </c>
      <c r="K679" s="5" t="s">
        <v>19</v>
      </c>
      <c r="L679" s="5" t="s">
        <v>20</v>
      </c>
      <c r="M679" s="10" t="s">
        <v>21</v>
      </c>
      <c r="N679" s="10" t="s">
        <v>478</v>
      </c>
      <c r="O679" s="11" t="s">
        <v>877</v>
      </c>
      <c r="P679" s="5"/>
      <c r="Q679" s="5"/>
      <c r="R679" s="5"/>
      <c r="S679" s="5"/>
      <c r="T679" s="5"/>
    </row>
    <row r="680" ht="15.75" customHeight="1">
      <c r="A680" s="6" t="str">
        <f t="shared" si="1"/>
        <v>Jordan idol, 1744940558</v>
      </c>
      <c r="B680" s="7" t="s">
        <v>48</v>
      </c>
      <c r="C680" s="5"/>
      <c r="D680" s="5" t="s">
        <v>2122</v>
      </c>
      <c r="E680" s="5" t="s">
        <v>2122</v>
      </c>
      <c r="F680" s="8">
        <v>1.744940558E9</v>
      </c>
      <c r="G680" s="9" t="str">
        <f>HYPERLINK("https://www.etsy.com/listing/1744940558", "link")</f>
        <v>link</v>
      </c>
      <c r="H680" s="9" t="str">
        <f>HYPERLINK("https://atlas.etsycorp.com/listing/1744940558/lookup", "link")</f>
        <v>link</v>
      </c>
      <c r="I680" s="5" t="s">
        <v>2123</v>
      </c>
      <c r="J680" s="5" t="s">
        <v>2124</v>
      </c>
      <c r="K680" s="5" t="s">
        <v>80</v>
      </c>
      <c r="L680" s="5" t="s">
        <v>81</v>
      </c>
      <c r="M680" s="10" t="s">
        <v>21</v>
      </c>
      <c r="N680" s="10" t="s">
        <v>478</v>
      </c>
      <c r="O680" s="11" t="s">
        <v>877</v>
      </c>
      <c r="P680" s="5"/>
      <c r="Q680" s="5"/>
      <c r="R680" s="5"/>
      <c r="S680" s="5"/>
      <c r="T680" s="5"/>
    </row>
    <row r="681" ht="15.75" customHeight="1">
      <c r="A681" s="6" t="str">
        <f t="shared" si="1"/>
        <v>tote bag, 1677105922</v>
      </c>
      <c r="B681" s="7" t="s">
        <v>15</v>
      </c>
      <c r="C681" s="5"/>
      <c r="D681" s="5" t="s">
        <v>2125</v>
      </c>
      <c r="E681" s="5" t="s">
        <v>2126</v>
      </c>
      <c r="F681" s="8">
        <v>1.677105922E9</v>
      </c>
      <c r="G681" s="9" t="str">
        <f>HYPERLINK("https://www.etsy.com/listing/1677105922", "link")</f>
        <v>link</v>
      </c>
      <c r="H681" s="9" t="str">
        <f>HYPERLINK("https://atlas.etsycorp.com/listing/1677105922/lookup", "link")</f>
        <v>link</v>
      </c>
      <c r="I681" s="5" t="s">
        <v>2127</v>
      </c>
      <c r="J681" s="5" t="s">
        <v>2128</v>
      </c>
      <c r="K681" s="5" t="s">
        <v>46</v>
      </c>
      <c r="L681" s="5" t="s">
        <v>47</v>
      </c>
      <c r="M681" s="10" t="s">
        <v>21</v>
      </c>
      <c r="N681" s="10" t="s">
        <v>478</v>
      </c>
      <c r="O681" s="11" t="s">
        <v>877</v>
      </c>
      <c r="P681" s="5"/>
      <c r="Q681" s="5"/>
      <c r="R681" s="5"/>
      <c r="S681" s="5"/>
      <c r="T681" s="5"/>
    </row>
    <row r="682" ht="15.75" customHeight="1">
      <c r="A682" s="6" t="str">
        <f t="shared" si="1"/>
        <v>semi mount for asscher cut 2 carats, 895804122</v>
      </c>
      <c r="B682" s="7" t="s">
        <v>15</v>
      </c>
      <c r="C682" s="5"/>
      <c r="D682" s="5" t="s">
        <v>2129</v>
      </c>
      <c r="E682" s="5"/>
      <c r="F682" s="8">
        <v>8.95804122E8</v>
      </c>
      <c r="G682" s="9" t="str">
        <f>HYPERLINK("https://www.etsy.com/listing/895804122", "link")</f>
        <v>link</v>
      </c>
      <c r="H682" s="9" t="str">
        <f>HYPERLINK("https://atlas.etsycorp.com/listing/895804122/lookup", "link")</f>
        <v>link</v>
      </c>
      <c r="I682" s="5" t="s">
        <v>2130</v>
      </c>
      <c r="J682" s="5" t="s">
        <v>2131</v>
      </c>
      <c r="K682" s="5" t="s">
        <v>19</v>
      </c>
      <c r="L682" s="5" t="s">
        <v>73</v>
      </c>
      <c r="M682" s="10" t="s">
        <v>21</v>
      </c>
      <c r="N682" s="10" t="s">
        <v>478</v>
      </c>
      <c r="O682" s="11" t="s">
        <v>877</v>
      </c>
      <c r="P682" s="5"/>
      <c r="Q682" s="5"/>
      <c r="R682" s="5"/>
      <c r="S682" s="5"/>
      <c r="T682" s="5"/>
    </row>
    <row r="683" ht="15.75" customHeight="1">
      <c r="A683" s="6" t="str">
        <f t="shared" si="1"/>
        <v>poster xxl carte du monde animaux, 1420365058</v>
      </c>
      <c r="B683" s="7" t="s">
        <v>15</v>
      </c>
      <c r="C683" s="5"/>
      <c r="D683" s="5" t="s">
        <v>1103</v>
      </c>
      <c r="E683" s="5" t="s">
        <v>1104</v>
      </c>
      <c r="F683" s="8">
        <v>1.420365058E9</v>
      </c>
      <c r="G683" s="9" t="str">
        <f>HYPERLINK("https://www.etsy.com/listing/1420365058", "link")</f>
        <v>link</v>
      </c>
      <c r="H683" s="9" t="str">
        <f>HYPERLINK("https://atlas.etsycorp.com/listing/1420365058/lookup", "link")</f>
        <v>link</v>
      </c>
      <c r="I683" s="5" t="s">
        <v>2132</v>
      </c>
      <c r="J683" s="5" t="s">
        <v>1106</v>
      </c>
      <c r="K683" s="5" t="s">
        <v>54</v>
      </c>
      <c r="L683" s="5" t="s">
        <v>55</v>
      </c>
      <c r="M683" s="10" t="s">
        <v>21</v>
      </c>
      <c r="N683" s="10" t="s">
        <v>478</v>
      </c>
      <c r="O683" s="11" t="s">
        <v>877</v>
      </c>
      <c r="P683" s="5"/>
      <c r="Q683" s="5"/>
      <c r="R683" s="5"/>
      <c r="S683" s="5"/>
      <c r="T683" s="5"/>
    </row>
    <row r="684" ht="15.75" customHeight="1">
      <c r="A684" s="6" t="str">
        <f t="shared" si="1"/>
        <v>spieltisch Outdoor, 1266670052</v>
      </c>
      <c r="B684" s="7" t="s">
        <v>24</v>
      </c>
      <c r="C684" s="5"/>
      <c r="D684" s="5" t="s">
        <v>1035</v>
      </c>
      <c r="E684" s="5" t="s">
        <v>1036</v>
      </c>
      <c r="F684" s="8">
        <v>1.266670052E9</v>
      </c>
      <c r="G684" s="9" t="str">
        <f>HYPERLINK("https://www.etsy.com/listing/1266670052", "link")</f>
        <v>link</v>
      </c>
      <c r="H684" s="9" t="str">
        <f>HYPERLINK("https://atlas.etsycorp.com/listing/1266670052/lookup", "link")</f>
        <v>link</v>
      </c>
      <c r="I684" s="5" t="s">
        <v>2133</v>
      </c>
      <c r="J684" s="5" t="s">
        <v>1038</v>
      </c>
      <c r="K684" s="5" t="s">
        <v>46</v>
      </c>
      <c r="L684" s="5" t="s">
        <v>47</v>
      </c>
      <c r="M684" s="10" t="s">
        <v>21</v>
      </c>
      <c r="N684" s="10" t="s">
        <v>478</v>
      </c>
      <c r="O684" s="11" t="s">
        <v>877</v>
      </c>
      <c r="P684" s="5"/>
      <c r="Q684" s="5"/>
      <c r="R684" s="5"/>
      <c r="S684" s="5"/>
      <c r="T684" s="5"/>
    </row>
    <row r="685" ht="15.75" customHeight="1">
      <c r="A685" s="6" t="str">
        <f t="shared" si="1"/>
        <v>golden pc, 1308754626</v>
      </c>
      <c r="B685" s="7" t="s">
        <v>48</v>
      </c>
      <c r="C685" s="5"/>
      <c r="D685" s="5" t="s">
        <v>2134</v>
      </c>
      <c r="E685" s="5"/>
      <c r="F685" s="8">
        <v>1.308754626E9</v>
      </c>
      <c r="G685" s="9" t="str">
        <f>HYPERLINK("https://www.etsy.com/listing/1308754626", "link")</f>
        <v>link</v>
      </c>
      <c r="H685" s="9" t="str">
        <f>HYPERLINK("https://atlas.etsycorp.com/listing/1308754626/lookup", "link")</f>
        <v>link</v>
      </c>
      <c r="I685" s="5" t="s">
        <v>2135</v>
      </c>
      <c r="J685" s="5" t="s">
        <v>2136</v>
      </c>
      <c r="K685" s="5" t="s">
        <v>19</v>
      </c>
      <c r="L685" s="5" t="s">
        <v>73</v>
      </c>
      <c r="M685" s="10" t="s">
        <v>21</v>
      </c>
      <c r="N685" s="10" t="s">
        <v>478</v>
      </c>
      <c r="O685" s="11" t="s">
        <v>877</v>
      </c>
      <c r="P685" s="5"/>
      <c r="Q685" s="5"/>
      <c r="R685" s="5"/>
      <c r="S685" s="5"/>
      <c r="T685" s="5"/>
    </row>
    <row r="686" ht="15.75" customHeight="1">
      <c r="A686" s="6" t="str">
        <f t="shared" si="1"/>
        <v>spinning garden ornament, 1308973432</v>
      </c>
      <c r="B686" s="7" t="s">
        <v>15</v>
      </c>
      <c r="C686" s="5"/>
      <c r="D686" s="5" t="s">
        <v>2137</v>
      </c>
      <c r="E686" s="5"/>
      <c r="F686" s="8">
        <v>1.308973432E9</v>
      </c>
      <c r="G686" s="9" t="str">
        <f>HYPERLINK("https://www.etsy.com/listing/1308973432", "link")</f>
        <v>link</v>
      </c>
      <c r="H686" s="9" t="str">
        <f>HYPERLINK("https://atlas.etsycorp.com/listing/1308973432/lookup", "link")</f>
        <v>link</v>
      </c>
      <c r="I686" s="5" t="s">
        <v>2138</v>
      </c>
      <c r="J686" s="5" t="s">
        <v>2139</v>
      </c>
      <c r="K686" s="5" t="s">
        <v>120</v>
      </c>
      <c r="L686" s="5" t="s">
        <v>41</v>
      </c>
      <c r="M686" s="10" t="s">
        <v>21</v>
      </c>
      <c r="N686" s="10" t="s">
        <v>478</v>
      </c>
      <c r="O686" s="11" t="s">
        <v>877</v>
      </c>
      <c r="P686" s="5"/>
      <c r="Q686" s="5"/>
      <c r="R686" s="5"/>
      <c r="S686" s="5"/>
      <c r="T686" s="5"/>
    </row>
    <row r="687" ht="15.75" customHeight="1">
      <c r="A687" s="6" t="str">
        <f t="shared" si="1"/>
        <v>appetite for destruction  vinyl, 1667663921</v>
      </c>
      <c r="B687" s="7" t="s">
        <v>24</v>
      </c>
      <c r="C687" s="7" t="s">
        <v>2140</v>
      </c>
      <c r="D687" s="5" t="s">
        <v>2141</v>
      </c>
      <c r="E687" s="5"/>
      <c r="F687" s="8">
        <v>1.667663921E9</v>
      </c>
      <c r="G687" s="9" t="str">
        <f>HYPERLINK("https://www.etsy.com/listing/1667663921", "link")</f>
        <v>link</v>
      </c>
      <c r="H687" s="9" t="str">
        <f>HYPERLINK("https://atlas.etsycorp.com/listing/1667663921/lookup", "link")</f>
        <v>link</v>
      </c>
      <c r="I687" s="5" t="s">
        <v>2142</v>
      </c>
      <c r="J687" s="5" t="s">
        <v>2143</v>
      </c>
      <c r="K687" s="5" t="s">
        <v>19</v>
      </c>
      <c r="L687" s="5" t="s">
        <v>73</v>
      </c>
      <c r="M687" s="10" t="s">
        <v>21</v>
      </c>
      <c r="N687" s="10" t="s">
        <v>478</v>
      </c>
      <c r="O687" s="11" t="s">
        <v>877</v>
      </c>
      <c r="P687" s="5"/>
      <c r="Q687" s="5"/>
      <c r="R687" s="5"/>
      <c r="S687" s="5"/>
      <c r="T687" s="5"/>
    </row>
    <row r="688" ht="15.75" customHeight="1">
      <c r="A688" s="6" t="str">
        <f t="shared" si="1"/>
        <v>bob esponja invitacion, 675513588</v>
      </c>
      <c r="B688" s="7" t="s">
        <v>24</v>
      </c>
      <c r="C688" s="7" t="s">
        <v>971</v>
      </c>
      <c r="D688" s="5" t="s">
        <v>894</v>
      </c>
      <c r="E688" s="5" t="s">
        <v>895</v>
      </c>
      <c r="F688" s="8">
        <v>6.75513588E8</v>
      </c>
      <c r="G688" s="9" t="str">
        <f>HYPERLINK("https://www.etsy.com/listing/675513588", "link")</f>
        <v>link</v>
      </c>
      <c r="H688" s="9" t="str">
        <f>HYPERLINK("https://atlas.etsycorp.com/listing/675513588/lookup", "link")</f>
        <v>link</v>
      </c>
      <c r="I688" s="5" t="s">
        <v>2144</v>
      </c>
      <c r="J688" s="5" t="s">
        <v>897</v>
      </c>
      <c r="K688" s="5" t="s">
        <v>29</v>
      </c>
      <c r="L688" s="5" t="s">
        <v>30</v>
      </c>
      <c r="M688" s="10" t="s">
        <v>21</v>
      </c>
      <c r="N688" s="10" t="s">
        <v>478</v>
      </c>
      <c r="O688" s="11" t="s">
        <v>877</v>
      </c>
      <c r="P688" s="5"/>
      <c r="Q688" s="5"/>
      <c r="R688" s="5"/>
      <c r="S688" s="5"/>
      <c r="T688" s="5"/>
    </row>
    <row r="689" ht="15.75" customHeight="1">
      <c r="A689" s="6" t="str">
        <f t="shared" si="1"/>
        <v>st patricks day gift, 1381311106</v>
      </c>
      <c r="B689" s="7" t="s">
        <v>15</v>
      </c>
      <c r="C689" s="5"/>
      <c r="D689" s="5" t="s">
        <v>2145</v>
      </c>
      <c r="E689" s="5"/>
      <c r="F689" s="8">
        <v>1.381311106E9</v>
      </c>
      <c r="G689" s="9" t="str">
        <f>HYPERLINK("https://www.etsy.com/listing/1381311106", "link")</f>
        <v>link</v>
      </c>
      <c r="H689" s="9" t="str">
        <f>HYPERLINK("https://atlas.etsycorp.com/listing/1381311106/lookup", "link")</f>
        <v>link</v>
      </c>
      <c r="I689" s="5" t="s">
        <v>2146</v>
      </c>
      <c r="J689" s="5" t="s">
        <v>2147</v>
      </c>
      <c r="K689" s="5" t="s">
        <v>19</v>
      </c>
      <c r="L689" s="5" t="s">
        <v>100</v>
      </c>
      <c r="M689" s="10" t="s">
        <v>21</v>
      </c>
      <c r="N689" s="10" t="s">
        <v>478</v>
      </c>
      <c r="O689" s="11" t="s">
        <v>877</v>
      </c>
      <c r="P689" s="5"/>
      <c r="Q689" s="5"/>
      <c r="R689" s="5"/>
      <c r="S689" s="5"/>
      <c r="T689" s="5"/>
    </row>
    <row r="690" ht="15.75" customHeight="1">
      <c r="A690" s="6" t="str">
        <f t="shared" si="1"/>
        <v>fun facts 1974 belgie, 1480768158</v>
      </c>
      <c r="B690" s="7" t="s">
        <v>24</v>
      </c>
      <c r="C690" s="7" t="s">
        <v>1469</v>
      </c>
      <c r="D690" s="5" t="s">
        <v>953</v>
      </c>
      <c r="E690" s="5" t="s">
        <v>954</v>
      </c>
      <c r="F690" s="8">
        <v>1.480768158E9</v>
      </c>
      <c r="G690" s="9" t="str">
        <f>HYPERLINK("https://www.etsy.com/listing/1480768158", "link")</f>
        <v>link</v>
      </c>
      <c r="H690" s="9" t="str">
        <f>HYPERLINK("https://atlas.etsycorp.com/listing/1480768158/lookup", "link")</f>
        <v>link</v>
      </c>
      <c r="I690" s="5" t="s">
        <v>2148</v>
      </c>
      <c r="J690" s="5" t="s">
        <v>956</v>
      </c>
      <c r="K690" s="5" t="s">
        <v>35</v>
      </c>
      <c r="L690" s="5" t="s">
        <v>36</v>
      </c>
      <c r="M690" s="10" t="s">
        <v>21</v>
      </c>
      <c r="N690" s="10" t="s">
        <v>478</v>
      </c>
      <c r="O690" s="11" t="s">
        <v>877</v>
      </c>
      <c r="P690" s="5"/>
      <c r="Q690" s="5"/>
      <c r="R690" s="5"/>
      <c r="S690" s="5"/>
      <c r="T690" s="5"/>
    </row>
    <row r="691" ht="15.75" customHeight="1">
      <c r="A691" s="6" t="str">
        <f t="shared" si="1"/>
        <v>ohrringe, 1665097908</v>
      </c>
      <c r="B691" s="7" t="s">
        <v>48</v>
      </c>
      <c r="C691" s="5"/>
      <c r="D691" s="5" t="s">
        <v>528</v>
      </c>
      <c r="E691" s="5" t="s">
        <v>529</v>
      </c>
      <c r="F691" s="8">
        <v>1.665097908E9</v>
      </c>
      <c r="G691" s="9" t="str">
        <f>HYPERLINK("https://www.etsy.com/listing/1665097908", "link")</f>
        <v>link</v>
      </c>
      <c r="H691" s="9" t="str">
        <f>HYPERLINK("https://atlas.etsycorp.com/listing/1665097908/lookup", "link")</f>
        <v>link</v>
      </c>
      <c r="I691" s="5" t="s">
        <v>2149</v>
      </c>
      <c r="J691" s="5" t="s">
        <v>531</v>
      </c>
      <c r="K691" s="5" t="s">
        <v>46</v>
      </c>
      <c r="L691" s="5" t="s">
        <v>47</v>
      </c>
      <c r="M691" s="10" t="s">
        <v>21</v>
      </c>
      <c r="N691" s="10" t="s">
        <v>478</v>
      </c>
      <c r="O691" s="11" t="s">
        <v>877</v>
      </c>
      <c r="P691" s="5"/>
      <c r="Q691" s="5"/>
      <c r="R691" s="5"/>
      <c r="S691" s="5"/>
      <c r="T691" s="5"/>
    </row>
    <row r="692" ht="15.75" customHeight="1">
      <c r="A692" s="6" t="str">
        <f t="shared" si="1"/>
        <v>crochet animal stool, 1473528030</v>
      </c>
      <c r="B692" s="7" t="s">
        <v>24</v>
      </c>
      <c r="C692" s="7" t="s">
        <v>2150</v>
      </c>
      <c r="D692" s="5" t="s">
        <v>2151</v>
      </c>
      <c r="E692" s="5"/>
      <c r="F692" s="8">
        <v>1.47352803E9</v>
      </c>
      <c r="G692" s="9" t="str">
        <f>HYPERLINK("https://www.etsy.com/listing/1473528030", "link")</f>
        <v>link</v>
      </c>
      <c r="H692" s="9" t="str">
        <f>HYPERLINK("https://atlas.etsycorp.com/listing/1473528030/lookup", "link")</f>
        <v>link</v>
      </c>
      <c r="I692" s="5" t="s">
        <v>2152</v>
      </c>
      <c r="J692" s="5" t="s">
        <v>2153</v>
      </c>
      <c r="K692" s="5" t="s">
        <v>19</v>
      </c>
      <c r="L692" s="5" t="s">
        <v>41</v>
      </c>
      <c r="M692" s="10" t="s">
        <v>21</v>
      </c>
      <c r="N692" s="10" t="s">
        <v>478</v>
      </c>
      <c r="O692" s="11" t="s">
        <v>877</v>
      </c>
      <c r="P692" s="5"/>
      <c r="Q692" s="5"/>
      <c r="R692" s="5"/>
      <c r="S692" s="5"/>
      <c r="T692" s="5"/>
    </row>
    <row r="693" ht="15.75" customHeight="1">
      <c r="A693" s="6" t="str">
        <f t="shared" si="1"/>
        <v>1950s barbie, 1470927811</v>
      </c>
      <c r="B693" s="7" t="s">
        <v>24</v>
      </c>
      <c r="C693" s="5"/>
      <c r="D693" s="5" t="s">
        <v>2154</v>
      </c>
      <c r="E693" s="5"/>
      <c r="F693" s="8">
        <v>1.470927811E9</v>
      </c>
      <c r="G693" s="9" t="str">
        <f>HYPERLINK("https://www.etsy.com/listing/1470927811", "link")</f>
        <v>link</v>
      </c>
      <c r="H693" s="9" t="str">
        <f>HYPERLINK("https://atlas.etsycorp.com/listing/1470927811/lookup", "link")</f>
        <v>link</v>
      </c>
      <c r="I693" s="5" t="s">
        <v>2155</v>
      </c>
      <c r="J693" s="5" t="s">
        <v>2156</v>
      </c>
      <c r="K693" s="5" t="s">
        <v>19</v>
      </c>
      <c r="L693" s="5" t="s">
        <v>73</v>
      </c>
      <c r="M693" s="10" t="s">
        <v>21</v>
      </c>
      <c r="N693" s="10" t="s">
        <v>478</v>
      </c>
      <c r="O693" s="11" t="s">
        <v>877</v>
      </c>
      <c r="P693" s="5"/>
      <c r="Q693" s="5"/>
      <c r="R693" s="5"/>
      <c r="S693" s="5"/>
      <c r="T693" s="5"/>
    </row>
    <row r="694" ht="15.75" customHeight="1">
      <c r="A694" s="6" t="str">
        <f t="shared" si="1"/>
        <v>anniversary gifts for him, 1383400050</v>
      </c>
      <c r="B694" s="7" t="s">
        <v>15</v>
      </c>
      <c r="C694" s="5"/>
      <c r="D694" s="5" t="s">
        <v>2157</v>
      </c>
      <c r="E694" s="5"/>
      <c r="F694" s="8">
        <v>1.38340005E9</v>
      </c>
      <c r="G694" s="9" t="str">
        <f>HYPERLINK("https://www.etsy.com/listing/1383400050", "link")</f>
        <v>link</v>
      </c>
      <c r="H694" s="9" t="str">
        <f>HYPERLINK("https://atlas.etsycorp.com/listing/1383400050/lookup", "link")</f>
        <v>link</v>
      </c>
      <c r="I694" s="5" t="s">
        <v>2158</v>
      </c>
      <c r="J694" s="5" t="s">
        <v>2159</v>
      </c>
      <c r="K694" s="5" t="s">
        <v>19</v>
      </c>
      <c r="L694" s="5" t="s">
        <v>20</v>
      </c>
      <c r="M694" s="10" t="s">
        <v>21</v>
      </c>
      <c r="N694" s="10" t="s">
        <v>478</v>
      </c>
      <c r="O694" s="11" t="s">
        <v>877</v>
      </c>
      <c r="P694" s="5"/>
      <c r="Q694" s="5"/>
      <c r="R694" s="5"/>
      <c r="S694" s="5"/>
      <c r="T694" s="5"/>
    </row>
    <row r="695" ht="15.75" customHeight="1">
      <c r="A695" s="6" t="str">
        <f t="shared" si="1"/>
        <v>purple necklace, 1301638116</v>
      </c>
      <c r="B695" s="7" t="s">
        <v>24</v>
      </c>
      <c r="C695" s="7" t="s">
        <v>2160</v>
      </c>
      <c r="D695" s="5" t="s">
        <v>2161</v>
      </c>
      <c r="E695" s="5"/>
      <c r="F695" s="8">
        <v>1.301638116E9</v>
      </c>
      <c r="G695" s="9" t="str">
        <f>HYPERLINK("https://www.etsy.com/listing/1301638116", "link")</f>
        <v>link</v>
      </c>
      <c r="H695" s="9" t="str">
        <f>HYPERLINK("https://atlas.etsycorp.com/listing/1301638116/lookup", "link")</f>
        <v>link</v>
      </c>
      <c r="I695" s="5" t="s">
        <v>2162</v>
      </c>
      <c r="J695" s="5" t="s">
        <v>2163</v>
      </c>
      <c r="K695" s="5" t="s">
        <v>19</v>
      </c>
      <c r="L695" s="5" t="s">
        <v>73</v>
      </c>
      <c r="M695" s="10" t="s">
        <v>21</v>
      </c>
      <c r="N695" s="10" t="s">
        <v>478</v>
      </c>
      <c r="O695" s="11" t="s">
        <v>877</v>
      </c>
      <c r="P695" s="5"/>
      <c r="Q695" s="5"/>
      <c r="R695" s="5"/>
      <c r="S695" s="5"/>
      <c r="T695" s="5"/>
    </row>
    <row r="696" ht="15.75" customHeight="1">
      <c r="A696" s="6" t="str">
        <f t="shared" si="1"/>
        <v>wish disney, 1625430473</v>
      </c>
      <c r="B696" s="7" t="s">
        <v>15</v>
      </c>
      <c r="C696" s="5"/>
      <c r="D696" s="5" t="s">
        <v>650</v>
      </c>
      <c r="E696" s="5" t="s">
        <v>650</v>
      </c>
      <c r="F696" s="8">
        <v>1.625430473E9</v>
      </c>
      <c r="G696" s="9" t="str">
        <f>HYPERLINK("https://www.etsy.com/listing/1625430473", "link")</f>
        <v>link</v>
      </c>
      <c r="H696" s="9" t="str">
        <f>HYPERLINK("https://atlas.etsycorp.com/listing/1625430473/lookup", "link")</f>
        <v>link</v>
      </c>
      <c r="I696" s="5" t="s">
        <v>2164</v>
      </c>
      <c r="J696" s="5" t="s">
        <v>652</v>
      </c>
      <c r="K696" s="5" t="s">
        <v>54</v>
      </c>
      <c r="L696" s="5" t="s">
        <v>55</v>
      </c>
      <c r="M696" s="10" t="s">
        <v>21</v>
      </c>
      <c r="N696" s="10" t="s">
        <v>478</v>
      </c>
      <c r="O696" s="11" t="s">
        <v>877</v>
      </c>
      <c r="P696" s="5"/>
      <c r="Q696" s="5"/>
      <c r="R696" s="5"/>
      <c r="S696" s="5"/>
      <c r="T696" s="5"/>
    </row>
    <row r="697" ht="15.75" customHeight="1">
      <c r="A697" s="6" t="str">
        <f t="shared" si="1"/>
        <v>joint holder, 1599626291</v>
      </c>
      <c r="B697" s="7" t="s">
        <v>24</v>
      </c>
      <c r="C697" s="5"/>
      <c r="D697" s="5" t="s">
        <v>2165</v>
      </c>
      <c r="E697" s="5"/>
      <c r="F697" s="8">
        <v>1.599626291E9</v>
      </c>
      <c r="G697" s="9" t="str">
        <f>HYPERLINK("https://www.etsy.com/listing/1599626291", "link")</f>
        <v>link</v>
      </c>
      <c r="H697" s="9" t="str">
        <f>HYPERLINK("https://atlas.etsycorp.com/listing/1599626291/lookup", "link")</f>
        <v>link</v>
      </c>
      <c r="I697" s="5" t="s">
        <v>2166</v>
      </c>
      <c r="J697" s="5" t="s">
        <v>2167</v>
      </c>
      <c r="K697" s="5" t="s">
        <v>19</v>
      </c>
      <c r="L697" s="5" t="s">
        <v>41</v>
      </c>
      <c r="M697" s="10" t="s">
        <v>21</v>
      </c>
      <c r="N697" s="10" t="s">
        <v>478</v>
      </c>
      <c r="O697" s="11" t="s">
        <v>877</v>
      </c>
      <c r="P697" s="5"/>
      <c r="Q697" s="5"/>
      <c r="R697" s="5"/>
      <c r="S697" s="5"/>
      <c r="T697" s="5"/>
    </row>
    <row r="698" ht="15.75" customHeight="1">
      <c r="A698" s="6" t="str">
        <f t="shared" si="1"/>
        <v>ohrringe, 1626030683</v>
      </c>
      <c r="B698" s="7" t="s">
        <v>15</v>
      </c>
      <c r="C698" s="5"/>
      <c r="D698" s="5" t="s">
        <v>528</v>
      </c>
      <c r="E698" s="5" t="s">
        <v>529</v>
      </c>
      <c r="F698" s="8">
        <v>1.626030683E9</v>
      </c>
      <c r="G698" s="9" t="str">
        <f>HYPERLINK("https://www.etsy.com/listing/1626030683", "link")</f>
        <v>link</v>
      </c>
      <c r="H698" s="9" t="str">
        <f>HYPERLINK("https://atlas.etsycorp.com/listing/1626030683/lookup", "link")</f>
        <v>link</v>
      </c>
      <c r="I698" s="5" t="s">
        <v>2168</v>
      </c>
      <c r="J698" s="5" t="s">
        <v>640</v>
      </c>
      <c r="K698" s="5" t="s">
        <v>46</v>
      </c>
      <c r="L698" s="5" t="s">
        <v>47</v>
      </c>
      <c r="M698" s="10" t="s">
        <v>21</v>
      </c>
      <c r="N698" s="10" t="s">
        <v>478</v>
      </c>
      <c r="O698" s="11" t="s">
        <v>877</v>
      </c>
      <c r="P698" s="5"/>
      <c r="Q698" s="5"/>
      <c r="R698" s="5"/>
      <c r="S698" s="5"/>
      <c r="T698" s="5"/>
    </row>
    <row r="699" ht="15.75" customHeight="1">
      <c r="A699" s="6" t="str">
        <f t="shared" si="1"/>
        <v>sac magique, 1229817411</v>
      </c>
      <c r="B699" s="7" t="s">
        <v>15</v>
      </c>
      <c r="C699" s="5"/>
      <c r="D699" s="5" t="s">
        <v>579</v>
      </c>
      <c r="E699" s="5" t="s">
        <v>580</v>
      </c>
      <c r="F699" s="8">
        <v>1.229817411E9</v>
      </c>
      <c r="G699" s="9" t="str">
        <f>HYPERLINK("https://www.etsy.com/listing/1229817411", "link")</f>
        <v>link</v>
      </c>
      <c r="H699" s="9" t="str">
        <f>HYPERLINK("https://atlas.etsycorp.com/listing/1229817411/lookup", "link")</f>
        <v>link</v>
      </c>
      <c r="I699" s="5" t="s">
        <v>2169</v>
      </c>
      <c r="J699" s="5" t="s">
        <v>582</v>
      </c>
      <c r="K699" s="5" t="s">
        <v>54</v>
      </c>
      <c r="L699" s="5" t="s">
        <v>55</v>
      </c>
      <c r="M699" s="10" t="s">
        <v>21</v>
      </c>
      <c r="N699" s="10" t="s">
        <v>478</v>
      </c>
      <c r="O699" s="11" t="s">
        <v>877</v>
      </c>
      <c r="P699" s="5"/>
      <c r="Q699" s="5"/>
      <c r="R699" s="5"/>
      <c r="S699" s="5"/>
      <c r="T699" s="5"/>
    </row>
    <row r="700" ht="15.75" customHeight="1">
      <c r="A700" s="6" t="str">
        <f t="shared" si="1"/>
        <v>raccoon tail keychain, 1116412928</v>
      </c>
      <c r="B700" s="7" t="s">
        <v>24</v>
      </c>
      <c r="C700" s="7" t="s">
        <v>2170</v>
      </c>
      <c r="D700" s="5" t="s">
        <v>2171</v>
      </c>
      <c r="E700" s="5"/>
      <c r="F700" s="8">
        <v>1.116412928E9</v>
      </c>
      <c r="G700" s="9" t="str">
        <f>HYPERLINK("https://www.etsy.com/listing/1116412928", "link")</f>
        <v>link</v>
      </c>
      <c r="H700" s="9" t="str">
        <f>HYPERLINK("https://atlas.etsycorp.com/listing/1116412928/lookup", "link")</f>
        <v>link</v>
      </c>
      <c r="I700" s="5" t="s">
        <v>2172</v>
      </c>
      <c r="J700" s="5" t="s">
        <v>2173</v>
      </c>
      <c r="K700" s="5" t="s">
        <v>19</v>
      </c>
      <c r="L700" s="5" t="s">
        <v>73</v>
      </c>
      <c r="M700" s="10" t="s">
        <v>21</v>
      </c>
      <c r="N700" s="10" t="s">
        <v>478</v>
      </c>
      <c r="O700" s="11" t="s">
        <v>877</v>
      </c>
      <c r="P700" s="5"/>
      <c r="Q700" s="5"/>
      <c r="R700" s="5"/>
      <c r="S700" s="5"/>
      <c r="T700" s="5"/>
    </row>
    <row r="701" ht="15.75" customHeight="1">
      <c r="A701" s="6" t="str">
        <f t="shared" si="1"/>
        <v>trofeo primer grado, 1709782126</v>
      </c>
      <c r="B701" s="7" t="s">
        <v>24</v>
      </c>
      <c r="C701" s="7" t="s">
        <v>2174</v>
      </c>
      <c r="D701" s="5" t="s">
        <v>1739</v>
      </c>
      <c r="E701" s="5" t="s">
        <v>1740</v>
      </c>
      <c r="F701" s="8">
        <v>1.709782126E9</v>
      </c>
      <c r="G701" s="9" t="str">
        <f>HYPERLINK("https://www.etsy.com/listing/1709782126", "link")</f>
        <v>link</v>
      </c>
      <c r="H701" s="9" t="str">
        <f>HYPERLINK("https://atlas.etsycorp.com/listing/1709782126/lookup", "link")</f>
        <v>link</v>
      </c>
      <c r="I701" s="5" t="s">
        <v>2175</v>
      </c>
      <c r="J701" s="5" t="s">
        <v>1742</v>
      </c>
      <c r="K701" s="5" t="s">
        <v>29</v>
      </c>
      <c r="L701" s="5" t="s">
        <v>30</v>
      </c>
      <c r="M701" s="10" t="s">
        <v>21</v>
      </c>
      <c r="N701" s="10" t="s">
        <v>478</v>
      </c>
      <c r="O701" s="11" t="s">
        <v>877</v>
      </c>
      <c r="P701" s="5"/>
      <c r="Q701" s="5"/>
      <c r="R701" s="5"/>
      <c r="S701" s="5"/>
      <c r="T701" s="5"/>
    </row>
    <row r="702" ht="15.75" customHeight="1">
      <c r="A702" s="6" t="str">
        <f t="shared" si="1"/>
        <v>toller, 970620957</v>
      </c>
      <c r="B702" s="7" t="s">
        <v>15</v>
      </c>
      <c r="C702" s="5"/>
      <c r="D702" s="5" t="s">
        <v>2176</v>
      </c>
      <c r="E702" s="5"/>
      <c r="F702" s="8">
        <v>9.70620957E8</v>
      </c>
      <c r="G702" s="9" t="str">
        <f>HYPERLINK("https://www.etsy.com/listing/970620957", "link")</f>
        <v>link</v>
      </c>
      <c r="H702" s="9" t="str">
        <f>HYPERLINK("https://atlas.etsycorp.com/listing/970620957/lookup", "link")</f>
        <v>link</v>
      </c>
      <c r="I702" s="5" t="s">
        <v>2177</v>
      </c>
      <c r="J702" s="5" t="s">
        <v>2178</v>
      </c>
      <c r="K702" s="5" t="s">
        <v>19</v>
      </c>
      <c r="L702" s="5" t="s">
        <v>41</v>
      </c>
      <c r="M702" s="10" t="s">
        <v>21</v>
      </c>
      <c r="N702" s="10" t="s">
        <v>478</v>
      </c>
      <c r="O702" s="11" t="s">
        <v>877</v>
      </c>
      <c r="P702" s="5"/>
      <c r="Q702" s="5"/>
      <c r="R702" s="5"/>
      <c r="S702" s="5"/>
      <c r="T702" s="5"/>
    </row>
    <row r="703" ht="15.75" customHeight="1">
      <c r="A703" s="6" t="str">
        <f t="shared" si="1"/>
        <v>Beaded Bracelets, 1230065299</v>
      </c>
      <c r="B703" s="7" t="s">
        <v>15</v>
      </c>
      <c r="C703" s="5"/>
      <c r="D703" s="5" t="s">
        <v>2179</v>
      </c>
      <c r="E703" s="5"/>
      <c r="F703" s="8">
        <v>1.230065299E9</v>
      </c>
      <c r="G703" s="9" t="str">
        <f>HYPERLINK("https://www.etsy.com/listing/1230065299", "link")</f>
        <v>link</v>
      </c>
      <c r="H703" s="9" t="str">
        <f>HYPERLINK("https://atlas.etsycorp.com/listing/1230065299/lookup", "link")</f>
        <v>link</v>
      </c>
      <c r="I703" s="5" t="s">
        <v>2180</v>
      </c>
      <c r="J703" s="5" t="s">
        <v>2181</v>
      </c>
      <c r="K703" s="5" t="s">
        <v>19</v>
      </c>
      <c r="L703" s="5" t="s">
        <v>41</v>
      </c>
      <c r="M703" s="10" t="s">
        <v>21</v>
      </c>
      <c r="N703" s="10" t="s">
        <v>478</v>
      </c>
      <c r="O703" s="11" t="s">
        <v>877</v>
      </c>
      <c r="P703" s="5"/>
      <c r="Q703" s="5"/>
      <c r="R703" s="5"/>
      <c r="S703" s="5"/>
      <c r="T703" s="5"/>
    </row>
    <row r="704" ht="15.75" customHeight="1">
      <c r="A704" s="6" t="str">
        <f t="shared" si="1"/>
        <v>geschenk opa geburtstag, 1559861137</v>
      </c>
      <c r="B704" s="7" t="s">
        <v>15</v>
      </c>
      <c r="C704" s="5"/>
      <c r="D704" s="5" t="s">
        <v>2182</v>
      </c>
      <c r="E704" s="5" t="s">
        <v>2183</v>
      </c>
      <c r="F704" s="8">
        <v>1.559861137E9</v>
      </c>
      <c r="G704" s="9" t="str">
        <f>HYPERLINK("https://www.etsy.com/listing/1559861137", "link")</f>
        <v>link</v>
      </c>
      <c r="H704" s="9" t="str">
        <f>HYPERLINK("https://atlas.etsycorp.com/listing/1559861137/lookup", "link")</f>
        <v>link</v>
      </c>
      <c r="I704" s="5" t="s">
        <v>2184</v>
      </c>
      <c r="J704" s="5" t="s">
        <v>2185</v>
      </c>
      <c r="K704" s="5" t="s">
        <v>46</v>
      </c>
      <c r="L704" s="5" t="s">
        <v>47</v>
      </c>
      <c r="M704" s="10" t="s">
        <v>21</v>
      </c>
      <c r="N704" s="10" t="s">
        <v>478</v>
      </c>
      <c r="O704" s="11" t="s">
        <v>877</v>
      </c>
      <c r="P704" s="5"/>
      <c r="Q704" s="5"/>
      <c r="R704" s="5"/>
      <c r="S704" s="5"/>
      <c r="T704" s="5"/>
    </row>
    <row r="705" ht="15.75" customHeight="1">
      <c r="A705" s="6" t="str">
        <f t="shared" si="1"/>
        <v>outdoor hosting, 1570230263</v>
      </c>
      <c r="B705" s="7" t="s">
        <v>15</v>
      </c>
      <c r="C705" s="5"/>
      <c r="D705" s="5" t="s">
        <v>547</v>
      </c>
      <c r="E705" s="5" t="s">
        <v>548</v>
      </c>
      <c r="F705" s="8">
        <v>1.570230263E9</v>
      </c>
      <c r="G705" s="9" t="str">
        <f>HYPERLINK("https://www.etsy.com/listing/1570230263", "link")</f>
        <v>link</v>
      </c>
      <c r="H705" s="9" t="str">
        <f>HYPERLINK("https://atlas.etsycorp.com/listing/1570230263/lookup", "link")</f>
        <v>link</v>
      </c>
      <c r="I705" s="5" t="s">
        <v>2186</v>
      </c>
      <c r="J705" s="5" t="s">
        <v>2187</v>
      </c>
      <c r="K705" s="5" t="s">
        <v>46</v>
      </c>
      <c r="L705" s="5" t="s">
        <v>47</v>
      </c>
      <c r="M705" s="10" t="s">
        <v>21</v>
      </c>
      <c r="N705" s="10" t="s">
        <v>478</v>
      </c>
      <c r="O705" s="11" t="s">
        <v>877</v>
      </c>
      <c r="P705" s="5"/>
      <c r="Q705" s="5"/>
      <c r="R705" s="5"/>
      <c r="S705" s="5"/>
      <c r="T705" s="5"/>
    </row>
    <row r="706" ht="15.75" customHeight="1">
      <c r="A706" s="6" t="str">
        <f t="shared" si="1"/>
        <v>fox onesie, 952041487</v>
      </c>
      <c r="B706" s="7" t="s">
        <v>15</v>
      </c>
      <c r="C706" s="5"/>
      <c r="D706" s="5" t="s">
        <v>2188</v>
      </c>
      <c r="E706" s="5"/>
      <c r="F706" s="8">
        <v>9.52041487E8</v>
      </c>
      <c r="G706" s="9" t="str">
        <f>HYPERLINK("https://www.etsy.com/listing/952041487", "link")</f>
        <v>link</v>
      </c>
      <c r="H706" s="9" t="str">
        <f>HYPERLINK("https://atlas.etsycorp.com/listing/952041487/lookup", "link")</f>
        <v>link</v>
      </c>
      <c r="I706" s="5" t="s">
        <v>2189</v>
      </c>
      <c r="J706" s="5" t="s">
        <v>2190</v>
      </c>
      <c r="K706" s="5" t="s">
        <v>120</v>
      </c>
      <c r="L706" s="5" t="s">
        <v>20</v>
      </c>
      <c r="M706" s="10" t="s">
        <v>21</v>
      </c>
      <c r="N706" s="10" t="s">
        <v>478</v>
      </c>
      <c r="O706" s="11" t="s">
        <v>877</v>
      </c>
      <c r="P706" s="5"/>
      <c r="Q706" s="5"/>
      <c r="R706" s="5"/>
      <c r="S706" s="5"/>
      <c r="T706" s="5"/>
    </row>
    <row r="707" ht="15.75" customHeight="1">
      <c r="A707" s="6" t="str">
        <f t="shared" si="1"/>
        <v>vitage fischer, 1511271531</v>
      </c>
      <c r="B707" s="7" t="s">
        <v>48</v>
      </c>
      <c r="C707" s="5"/>
      <c r="D707" s="5" t="s">
        <v>221</v>
      </c>
      <c r="E707" s="5" t="s">
        <v>221</v>
      </c>
      <c r="F707" s="8">
        <v>1.511271531E9</v>
      </c>
      <c r="G707" s="9" t="str">
        <f>HYPERLINK("https://www.etsy.com/listing/1511271531", "link")</f>
        <v>link</v>
      </c>
      <c r="H707" s="9" t="str">
        <f>HYPERLINK("https://atlas.etsycorp.com/listing/1511271531/lookup", "link")</f>
        <v>link</v>
      </c>
      <c r="I707" s="5" t="s">
        <v>2191</v>
      </c>
      <c r="J707" s="5" t="s">
        <v>223</v>
      </c>
      <c r="K707" s="5" t="s">
        <v>46</v>
      </c>
      <c r="L707" s="5" t="s">
        <v>47</v>
      </c>
      <c r="M707" s="10" t="s">
        <v>21</v>
      </c>
      <c r="N707" s="10" t="s">
        <v>478</v>
      </c>
      <c r="O707" s="11" t="s">
        <v>877</v>
      </c>
      <c r="P707" s="5"/>
      <c r="Q707" s="5"/>
      <c r="R707" s="5"/>
      <c r="S707" s="5"/>
      <c r="T707" s="5"/>
    </row>
    <row r="708" ht="15.75" customHeight="1">
      <c r="A708" s="6" t="str">
        <f t="shared" si="1"/>
        <v>anello dentizione, 736234900</v>
      </c>
      <c r="B708" s="7" t="s">
        <v>15</v>
      </c>
      <c r="C708" s="5"/>
      <c r="D708" s="5" t="s">
        <v>2192</v>
      </c>
      <c r="E708" s="5" t="s">
        <v>2193</v>
      </c>
      <c r="F708" s="8">
        <v>7.362349E8</v>
      </c>
      <c r="G708" s="9" t="str">
        <f>HYPERLINK("https://www.etsy.com/listing/736234900", "link")</f>
        <v>link</v>
      </c>
      <c r="H708" s="9" t="str">
        <f>HYPERLINK("https://atlas.etsycorp.com/listing/736234900/lookup", "link")</f>
        <v>link</v>
      </c>
      <c r="I708" s="5" t="s">
        <v>2194</v>
      </c>
      <c r="J708" s="5" t="s">
        <v>2195</v>
      </c>
      <c r="K708" s="5" t="s">
        <v>80</v>
      </c>
      <c r="L708" s="5" t="s">
        <v>81</v>
      </c>
      <c r="M708" s="10" t="s">
        <v>21</v>
      </c>
      <c r="N708" s="10" t="s">
        <v>478</v>
      </c>
      <c r="O708" s="11" t="s">
        <v>877</v>
      </c>
      <c r="P708" s="5"/>
      <c r="Q708" s="5"/>
      <c r="R708" s="5"/>
      <c r="S708" s="5"/>
      <c r="T708" s="5"/>
    </row>
    <row r="709" ht="15.75" customHeight="1">
      <c r="A709" s="6" t="str">
        <f t="shared" si="1"/>
        <v>turning red, 784393097</v>
      </c>
      <c r="B709" s="7" t="s">
        <v>48</v>
      </c>
      <c r="C709" s="5"/>
      <c r="D709" s="5" t="s">
        <v>2196</v>
      </c>
      <c r="E709" s="5"/>
      <c r="F709" s="8">
        <v>7.84393097E8</v>
      </c>
      <c r="G709" s="9" t="str">
        <f>HYPERLINK("https://www.etsy.com/listing/784393097", "link")</f>
        <v>link</v>
      </c>
      <c r="H709" s="9" t="str">
        <f>HYPERLINK("https://atlas.etsycorp.com/listing/784393097/lookup", "link")</f>
        <v>link</v>
      </c>
      <c r="I709" s="5" t="s">
        <v>2197</v>
      </c>
      <c r="J709" s="5" t="s">
        <v>2198</v>
      </c>
      <c r="K709" s="5" t="s">
        <v>120</v>
      </c>
      <c r="L709" s="5" t="s">
        <v>20</v>
      </c>
      <c r="M709" s="10" t="s">
        <v>21</v>
      </c>
      <c r="N709" s="10" t="s">
        <v>478</v>
      </c>
      <c r="O709" s="11" t="s">
        <v>877</v>
      </c>
      <c r="P709" s="5"/>
      <c r="Q709" s="5"/>
      <c r="R709" s="5"/>
      <c r="S709" s="5"/>
      <c r="T709" s="5"/>
    </row>
    <row r="710" ht="15.75" customHeight="1">
      <c r="A710" s="6" t="str">
        <f t="shared" si="1"/>
        <v>italian charm bracelet gold, 1434463173</v>
      </c>
      <c r="B710" s="7" t="s">
        <v>15</v>
      </c>
      <c r="C710" s="5"/>
      <c r="D710" s="5" t="s">
        <v>2199</v>
      </c>
      <c r="E710" s="5"/>
      <c r="F710" s="8">
        <v>1.434463173E9</v>
      </c>
      <c r="G710" s="9" t="str">
        <f>HYPERLINK("https://www.etsy.com/listing/1434463173", "link")</f>
        <v>link</v>
      </c>
      <c r="H710" s="9" t="str">
        <f>HYPERLINK("https://atlas.etsycorp.com/listing/1434463173/lookup", "link")</f>
        <v>link</v>
      </c>
      <c r="I710" s="5" t="s">
        <v>2200</v>
      </c>
      <c r="J710" s="5" t="s">
        <v>2201</v>
      </c>
      <c r="K710" s="5" t="s">
        <v>19</v>
      </c>
      <c r="L710" s="5" t="s">
        <v>73</v>
      </c>
      <c r="M710" s="10" t="s">
        <v>21</v>
      </c>
      <c r="N710" s="10" t="s">
        <v>478</v>
      </c>
      <c r="O710" s="11" t="s">
        <v>877</v>
      </c>
      <c r="P710" s="5"/>
      <c r="Q710" s="5"/>
      <c r="R710" s="5"/>
      <c r="S710" s="5"/>
      <c r="T710" s="5"/>
    </row>
    <row r="711" ht="15.75" customHeight="1">
      <c r="A711" s="6" t="str">
        <f t="shared" si="1"/>
        <v>tulle dress mesh, 1154311444</v>
      </c>
      <c r="B711" s="7" t="s">
        <v>15</v>
      </c>
      <c r="C711" s="5"/>
      <c r="D711" s="5" t="s">
        <v>2202</v>
      </c>
      <c r="E711" s="5"/>
      <c r="F711" s="8">
        <v>1.154311444E9</v>
      </c>
      <c r="G711" s="9" t="str">
        <f>HYPERLINK("https://www.etsy.com/listing/1154311444", "link")</f>
        <v>link</v>
      </c>
      <c r="H711" s="9" t="str">
        <f>HYPERLINK("https://atlas.etsycorp.com/listing/1154311444/lookup", "link")</f>
        <v>link</v>
      </c>
      <c r="I711" s="5" t="s">
        <v>2203</v>
      </c>
      <c r="J711" s="5" t="s">
        <v>2204</v>
      </c>
      <c r="K711" s="5" t="s">
        <v>19</v>
      </c>
      <c r="L711" s="5" t="s">
        <v>73</v>
      </c>
      <c r="M711" s="10" t="s">
        <v>21</v>
      </c>
      <c r="N711" s="10" t="s">
        <v>478</v>
      </c>
      <c r="O711" s="11" t="s">
        <v>877</v>
      </c>
      <c r="P711" s="5"/>
      <c r="Q711" s="5"/>
      <c r="R711" s="5"/>
      <c r="S711" s="5"/>
      <c r="T711" s="5"/>
    </row>
    <row r="712" ht="15.75" customHeight="1">
      <c r="A712" s="6" t="str">
        <f t="shared" si="1"/>
        <v>one peice tumbler, 1629701636</v>
      </c>
      <c r="B712" s="7" t="s">
        <v>15</v>
      </c>
      <c r="C712" s="5"/>
      <c r="D712" s="5" t="s">
        <v>2205</v>
      </c>
      <c r="E712" s="5"/>
      <c r="F712" s="8">
        <v>1.629701636E9</v>
      </c>
      <c r="G712" s="9" t="str">
        <f>HYPERLINK("https://www.etsy.com/listing/1629701636", "link")</f>
        <v>link</v>
      </c>
      <c r="H712" s="9" t="str">
        <f>HYPERLINK("https://atlas.etsycorp.com/listing/1629701636/lookup", "link")</f>
        <v>link</v>
      </c>
      <c r="I712" s="5" t="s">
        <v>2206</v>
      </c>
      <c r="J712" s="5" t="s">
        <v>2207</v>
      </c>
      <c r="K712" s="5" t="s">
        <v>19</v>
      </c>
      <c r="L712" s="5" t="s">
        <v>73</v>
      </c>
      <c r="M712" s="10" t="s">
        <v>21</v>
      </c>
      <c r="N712" s="10" t="s">
        <v>478</v>
      </c>
      <c r="O712" s="11" t="s">
        <v>877</v>
      </c>
      <c r="P712" s="5"/>
      <c r="Q712" s="5"/>
      <c r="R712" s="5"/>
      <c r="S712" s="5"/>
      <c r="T712" s="5"/>
    </row>
    <row r="713" ht="15.75" customHeight="1">
      <c r="A713" s="6" t="str">
        <f t="shared" si="1"/>
        <v>bracelet pour montre femme 1cm, 1352853935</v>
      </c>
      <c r="B713" s="7" t="s">
        <v>24</v>
      </c>
      <c r="C713" s="5"/>
      <c r="D713" s="5" t="s">
        <v>126</v>
      </c>
      <c r="E713" s="5" t="s">
        <v>127</v>
      </c>
      <c r="F713" s="8">
        <v>1.352853935E9</v>
      </c>
      <c r="G713" s="9" t="str">
        <f>HYPERLINK("https://www.etsy.com/listing/1352853935", "link")</f>
        <v>link</v>
      </c>
      <c r="H713" s="9" t="str">
        <f>HYPERLINK("https://atlas.etsycorp.com/listing/1352853935/lookup", "link")</f>
        <v>link</v>
      </c>
      <c r="I713" s="5" t="s">
        <v>2208</v>
      </c>
      <c r="J713" s="5" t="s">
        <v>129</v>
      </c>
      <c r="K713" s="5" t="s">
        <v>54</v>
      </c>
      <c r="L713" s="5" t="s">
        <v>55</v>
      </c>
      <c r="M713" s="10" t="s">
        <v>21</v>
      </c>
      <c r="N713" s="10" t="s">
        <v>478</v>
      </c>
      <c r="O713" s="11" t="s">
        <v>877</v>
      </c>
      <c r="P713" s="5"/>
      <c r="Q713" s="5"/>
      <c r="R713" s="5"/>
      <c r="S713" s="5"/>
      <c r="T713" s="5"/>
    </row>
    <row r="714" ht="15.75" customHeight="1">
      <c r="A714" s="6" t="str">
        <f t="shared" si="1"/>
        <v>twitch sunset overlays, 1604476073</v>
      </c>
      <c r="B714" s="7" t="s">
        <v>15</v>
      </c>
      <c r="C714" s="5"/>
      <c r="D714" s="5" t="s">
        <v>2209</v>
      </c>
      <c r="E714" s="5"/>
      <c r="F714" s="8">
        <v>1.604476073E9</v>
      </c>
      <c r="G714" s="9" t="str">
        <f>HYPERLINK("https://www.etsy.com/listing/1604476073", "link")</f>
        <v>link</v>
      </c>
      <c r="H714" s="9" t="str">
        <f>HYPERLINK("https://atlas.etsycorp.com/listing/1604476073/lookup", "link")</f>
        <v>link</v>
      </c>
      <c r="I714" s="5" t="s">
        <v>2210</v>
      </c>
      <c r="J714" s="5" t="s">
        <v>2211</v>
      </c>
      <c r="K714" s="5" t="s">
        <v>19</v>
      </c>
      <c r="L714" s="5" t="s">
        <v>73</v>
      </c>
      <c r="M714" s="10" t="s">
        <v>21</v>
      </c>
      <c r="N714" s="10" t="s">
        <v>478</v>
      </c>
      <c r="O714" s="11" t="s">
        <v>877</v>
      </c>
      <c r="P714" s="5"/>
      <c r="Q714" s="5"/>
      <c r="R714" s="5"/>
      <c r="S714" s="5"/>
      <c r="T714" s="5"/>
    </row>
    <row r="715" ht="15.75" customHeight="1">
      <c r="A715" s="6" t="str">
        <f t="shared" si="1"/>
        <v>amoniet hanger goud, 1402792813</v>
      </c>
      <c r="B715" s="7" t="s">
        <v>24</v>
      </c>
      <c r="C715" s="7" t="s">
        <v>2212</v>
      </c>
      <c r="D715" s="5" t="s">
        <v>2213</v>
      </c>
      <c r="E715" s="5" t="s">
        <v>2214</v>
      </c>
      <c r="F715" s="8">
        <v>1.402792813E9</v>
      </c>
      <c r="G715" s="9" t="str">
        <f>HYPERLINK("https://www.etsy.com/listing/1402792813", "link")</f>
        <v>link</v>
      </c>
      <c r="H715" s="9" t="str">
        <f>HYPERLINK("https://atlas.etsycorp.com/listing/1402792813/lookup", "link")</f>
        <v>link</v>
      </c>
      <c r="I715" s="5" t="s">
        <v>2215</v>
      </c>
      <c r="J715" s="5" t="s">
        <v>2216</v>
      </c>
      <c r="K715" s="5" t="s">
        <v>35</v>
      </c>
      <c r="L715" s="5" t="s">
        <v>36</v>
      </c>
      <c r="M715" s="10" t="s">
        <v>21</v>
      </c>
      <c r="N715" s="10" t="s">
        <v>478</v>
      </c>
      <c r="O715" s="11" t="s">
        <v>877</v>
      </c>
      <c r="P715" s="5"/>
      <c r="Q715" s="5"/>
      <c r="R715" s="5"/>
      <c r="S715" s="5"/>
      <c r="T715" s="5"/>
    </row>
    <row r="716" ht="15.75" customHeight="1">
      <c r="A716" s="6" t="str">
        <f t="shared" si="1"/>
        <v>cheese board, 636204314</v>
      </c>
      <c r="B716" s="7" t="s">
        <v>15</v>
      </c>
      <c r="C716" s="5"/>
      <c r="D716" s="5" t="s">
        <v>2217</v>
      </c>
      <c r="E716" s="5"/>
      <c r="F716" s="8">
        <v>6.36204314E8</v>
      </c>
      <c r="G716" s="9" t="str">
        <f>HYPERLINK("https://www.etsy.com/listing/636204314", "link")</f>
        <v>link</v>
      </c>
      <c r="H716" s="9" t="str">
        <f>HYPERLINK("https://atlas.etsycorp.com/listing/636204314/lookup", "link")</f>
        <v>link</v>
      </c>
      <c r="I716" s="5" t="s">
        <v>2218</v>
      </c>
      <c r="J716" s="5" t="s">
        <v>2219</v>
      </c>
      <c r="K716" s="5" t="s">
        <v>19</v>
      </c>
      <c r="L716" s="5" t="s">
        <v>41</v>
      </c>
      <c r="M716" s="10" t="s">
        <v>21</v>
      </c>
      <c r="N716" s="10" t="s">
        <v>478</v>
      </c>
      <c r="O716" s="11" t="s">
        <v>877</v>
      </c>
      <c r="P716" s="5"/>
      <c r="Q716" s="5"/>
      <c r="R716" s="5"/>
      <c r="S716" s="5"/>
      <c r="T716" s="5"/>
    </row>
    <row r="717" ht="15.75" customHeight="1">
      <c r="A717" s="6" t="str">
        <f t="shared" si="1"/>
        <v>ヤギ毛, 1635326570</v>
      </c>
      <c r="B717" s="7" t="s">
        <v>24</v>
      </c>
      <c r="C717" s="5"/>
      <c r="D717" s="5" t="s">
        <v>1439</v>
      </c>
      <c r="E717" s="5" t="s">
        <v>1440</v>
      </c>
      <c r="F717" s="8">
        <v>1.63532657E9</v>
      </c>
      <c r="G717" s="9" t="str">
        <f>HYPERLINK("https://www.etsy.com/listing/1635326570", "link")</f>
        <v>link</v>
      </c>
      <c r="H717" s="9" t="str">
        <f>HYPERLINK("https://atlas.etsycorp.com/listing/1635326570/lookup", "link")</f>
        <v>link</v>
      </c>
      <c r="I717" s="5" t="s">
        <v>2220</v>
      </c>
      <c r="J717" s="5" t="s">
        <v>1442</v>
      </c>
      <c r="K717" s="5" t="s">
        <v>759</v>
      </c>
      <c r="L717" s="5" t="s">
        <v>760</v>
      </c>
      <c r="M717" s="10" t="s">
        <v>21</v>
      </c>
      <c r="N717" s="10" t="s">
        <v>478</v>
      </c>
      <c r="O717" s="11" t="s">
        <v>877</v>
      </c>
      <c r="P717" s="5"/>
      <c r="Q717" s="5"/>
      <c r="R717" s="5"/>
      <c r="S717" s="5"/>
      <c r="T717" s="5"/>
    </row>
    <row r="718" ht="15.75" customHeight="1">
      <c r="A718" s="6" t="str">
        <f t="shared" si="1"/>
        <v>beautiful svg, 863946436</v>
      </c>
      <c r="B718" s="7" t="s">
        <v>15</v>
      </c>
      <c r="C718" s="5"/>
      <c r="D718" s="5" t="s">
        <v>2221</v>
      </c>
      <c r="E718" s="5"/>
      <c r="F718" s="8">
        <v>8.63946436E8</v>
      </c>
      <c r="G718" s="9" t="str">
        <f>HYPERLINK("https://www.etsy.com/listing/863946436", "link")</f>
        <v>link</v>
      </c>
      <c r="H718" s="9" t="str">
        <f>HYPERLINK("https://atlas.etsycorp.com/listing/863946436/lookup", "link")</f>
        <v>link</v>
      </c>
      <c r="I718" s="5" t="s">
        <v>2222</v>
      </c>
      <c r="J718" s="5" t="s">
        <v>2223</v>
      </c>
      <c r="K718" s="5" t="s">
        <v>19</v>
      </c>
      <c r="L718" s="5" t="s">
        <v>73</v>
      </c>
      <c r="M718" s="10" t="s">
        <v>21</v>
      </c>
      <c r="N718" s="10" t="s">
        <v>478</v>
      </c>
      <c r="O718" s="11" t="s">
        <v>877</v>
      </c>
      <c r="P718" s="5"/>
      <c r="Q718" s="5"/>
      <c r="R718" s="5"/>
      <c r="S718" s="5"/>
      <c r="T718" s="5"/>
    </row>
    <row r="719" ht="15.75" customHeight="1">
      <c r="A719" s="6" t="str">
        <f t="shared" si="1"/>
        <v>decorasion de super simple songs, 1538938848</v>
      </c>
      <c r="B719" s="7" t="s">
        <v>24</v>
      </c>
      <c r="C719" s="5"/>
      <c r="D719" s="5" t="s">
        <v>2224</v>
      </c>
      <c r="E719" s="5" t="s">
        <v>2225</v>
      </c>
      <c r="F719" s="8">
        <v>1.538938848E9</v>
      </c>
      <c r="G719" s="9" t="str">
        <f>HYPERLINK("https://www.etsy.com/listing/1538938848", "link")</f>
        <v>link</v>
      </c>
      <c r="H719" s="9" t="str">
        <f>HYPERLINK("https://atlas.etsycorp.com/listing/1538938848/lookup", "link")</f>
        <v>link</v>
      </c>
      <c r="I719" s="5" t="s">
        <v>2226</v>
      </c>
      <c r="J719" s="5" t="s">
        <v>2227</v>
      </c>
      <c r="K719" s="5" t="s">
        <v>29</v>
      </c>
      <c r="L719" s="5" t="s">
        <v>30</v>
      </c>
      <c r="M719" s="10" t="s">
        <v>21</v>
      </c>
      <c r="N719" s="10" t="s">
        <v>478</v>
      </c>
      <c r="O719" s="11" t="s">
        <v>877</v>
      </c>
      <c r="P719" s="5"/>
      <c r="Q719" s="5"/>
      <c r="R719" s="5"/>
      <c r="S719" s="5"/>
      <c r="T719" s="5"/>
    </row>
    <row r="720" ht="15.75" customHeight="1">
      <c r="A720" s="6" t="str">
        <f t="shared" si="1"/>
        <v>personalized school supplies, 1096568798</v>
      </c>
      <c r="B720" s="7" t="s">
        <v>15</v>
      </c>
      <c r="C720" s="5"/>
      <c r="D720" s="5" t="s">
        <v>485</v>
      </c>
      <c r="E720" s="5" t="s">
        <v>485</v>
      </c>
      <c r="F720" s="8">
        <v>1.096568798E9</v>
      </c>
      <c r="G720" s="9" t="str">
        <f>HYPERLINK("https://www.etsy.com/listing/1096568798", "link")</f>
        <v>link</v>
      </c>
      <c r="H720" s="9" t="str">
        <f>HYPERLINK("https://atlas.etsycorp.com/listing/1096568798/lookup", "link")</f>
        <v>link</v>
      </c>
      <c r="I720" s="5" t="s">
        <v>486</v>
      </c>
      <c r="J720" s="5" t="s">
        <v>2228</v>
      </c>
      <c r="K720" s="5" t="s">
        <v>80</v>
      </c>
      <c r="L720" s="5" t="s">
        <v>81</v>
      </c>
      <c r="M720" s="10" t="s">
        <v>21</v>
      </c>
      <c r="N720" s="10" t="s">
        <v>478</v>
      </c>
      <c r="O720" s="11" t="s">
        <v>877</v>
      </c>
      <c r="P720" s="5"/>
      <c r="Q720" s="5"/>
      <c r="R720" s="5"/>
      <c r="S720" s="5"/>
      <c r="T720" s="5"/>
    </row>
    <row r="721" ht="15.75" customHeight="1">
      <c r="A721" s="6" t="str">
        <f t="shared" si="1"/>
        <v>Pink maternity dresses, 1057240562</v>
      </c>
      <c r="B721" s="7" t="s">
        <v>24</v>
      </c>
      <c r="C721" s="5"/>
      <c r="D721" s="5" t="s">
        <v>2229</v>
      </c>
      <c r="E721" s="5"/>
      <c r="F721" s="8">
        <v>1.057240562E9</v>
      </c>
      <c r="G721" s="9" t="str">
        <f>HYPERLINK("https://www.etsy.com/listing/1057240562", "link")</f>
        <v>link</v>
      </c>
      <c r="H721" s="9" t="str">
        <f>HYPERLINK("https://atlas.etsycorp.com/listing/1057240562/lookup", "link")</f>
        <v>link</v>
      </c>
      <c r="I721" s="5" t="s">
        <v>2230</v>
      </c>
      <c r="J721" s="5" t="s">
        <v>2231</v>
      </c>
      <c r="K721" s="5" t="s">
        <v>19</v>
      </c>
      <c r="L721" s="5" t="s">
        <v>73</v>
      </c>
      <c r="M721" s="10" t="s">
        <v>21</v>
      </c>
      <c r="N721" s="10" t="s">
        <v>478</v>
      </c>
      <c r="O721" s="11" t="s">
        <v>877</v>
      </c>
      <c r="P721" s="5"/>
      <c r="Q721" s="5"/>
      <c r="R721" s="5"/>
      <c r="S721" s="5"/>
      <c r="T721" s="5"/>
    </row>
  </sheetData>
  <hyperlinks>
    <hyperlink r:id="rId1" ref="M2"/>
    <hyperlink r:id="rId2" ref="N2"/>
    <hyperlink r:id="rId3" ref="O2"/>
    <hyperlink r:id="rId4" ref="M3"/>
    <hyperlink r:id="rId5" ref="N3"/>
    <hyperlink r:id="rId6" ref="O3"/>
    <hyperlink r:id="rId7" ref="M4"/>
    <hyperlink r:id="rId8" ref="N4"/>
    <hyperlink r:id="rId9" ref="O4"/>
    <hyperlink r:id="rId10" ref="M5"/>
    <hyperlink r:id="rId11" ref="N5"/>
    <hyperlink r:id="rId12" ref="O5"/>
    <hyperlink r:id="rId13" ref="M6"/>
    <hyperlink r:id="rId14" ref="N6"/>
    <hyperlink r:id="rId15" ref="O6"/>
    <hyperlink r:id="rId16" ref="M7"/>
    <hyperlink r:id="rId17" ref="N7"/>
    <hyperlink r:id="rId18" ref="O7"/>
    <hyperlink r:id="rId19" ref="M8"/>
    <hyperlink r:id="rId20" ref="N8"/>
    <hyperlink r:id="rId21" ref="O8"/>
    <hyperlink r:id="rId22" ref="M9"/>
    <hyperlink r:id="rId23" ref="N9"/>
    <hyperlink r:id="rId24" ref="O9"/>
    <hyperlink r:id="rId25" ref="M10"/>
    <hyperlink r:id="rId26" ref="N10"/>
    <hyperlink r:id="rId27" ref="O10"/>
    <hyperlink r:id="rId28" ref="M11"/>
    <hyperlink r:id="rId29" ref="N11"/>
    <hyperlink r:id="rId30" ref="O11"/>
    <hyperlink r:id="rId31" ref="M12"/>
    <hyperlink r:id="rId32" ref="N12"/>
    <hyperlink r:id="rId33" ref="O12"/>
    <hyperlink r:id="rId34" ref="M13"/>
    <hyperlink r:id="rId35" ref="N13"/>
    <hyperlink r:id="rId36" ref="O13"/>
    <hyperlink r:id="rId37" ref="M14"/>
    <hyperlink r:id="rId38" ref="N14"/>
    <hyperlink r:id="rId39" ref="O14"/>
    <hyperlink r:id="rId40" ref="M15"/>
    <hyperlink r:id="rId41" ref="N15"/>
    <hyperlink r:id="rId42" ref="O15"/>
    <hyperlink r:id="rId43" ref="M16"/>
    <hyperlink r:id="rId44" ref="N16"/>
    <hyperlink r:id="rId45" ref="O16"/>
    <hyperlink r:id="rId46" ref="M17"/>
    <hyperlink r:id="rId47" ref="N17"/>
    <hyperlink r:id="rId48" ref="O17"/>
    <hyperlink r:id="rId49" ref="M18"/>
    <hyperlink r:id="rId50" ref="N18"/>
    <hyperlink r:id="rId51" ref="O18"/>
    <hyperlink r:id="rId52" ref="M19"/>
    <hyperlink r:id="rId53" ref="N19"/>
    <hyperlink r:id="rId54" ref="O19"/>
    <hyperlink r:id="rId55" ref="M20"/>
    <hyperlink r:id="rId56" ref="N20"/>
    <hyperlink r:id="rId57" ref="O20"/>
    <hyperlink r:id="rId58" ref="M21"/>
    <hyperlink r:id="rId59" ref="N21"/>
    <hyperlink r:id="rId60" ref="O21"/>
    <hyperlink r:id="rId61" ref="M22"/>
    <hyperlink r:id="rId62" ref="N22"/>
    <hyperlink r:id="rId63" ref="O22"/>
    <hyperlink r:id="rId64" ref="M23"/>
    <hyperlink r:id="rId65" ref="N23"/>
    <hyperlink r:id="rId66" ref="O23"/>
    <hyperlink r:id="rId67" ref="M24"/>
    <hyperlink r:id="rId68" ref="N24"/>
    <hyperlink r:id="rId69" ref="O24"/>
    <hyperlink r:id="rId70" ref="M25"/>
    <hyperlink r:id="rId71" ref="N25"/>
    <hyperlink r:id="rId72" ref="O25"/>
    <hyperlink r:id="rId73" ref="M26"/>
    <hyperlink r:id="rId74" ref="N26"/>
    <hyperlink r:id="rId75" ref="O26"/>
    <hyperlink r:id="rId76" ref="M27"/>
    <hyperlink r:id="rId77" ref="N27"/>
    <hyperlink r:id="rId78" ref="O27"/>
    <hyperlink r:id="rId79" ref="M28"/>
    <hyperlink r:id="rId80" ref="N28"/>
    <hyperlink r:id="rId81" ref="O28"/>
    <hyperlink r:id="rId82" ref="M29"/>
    <hyperlink r:id="rId83" ref="N29"/>
    <hyperlink r:id="rId84" ref="O29"/>
    <hyperlink r:id="rId85" ref="M30"/>
    <hyperlink r:id="rId86" ref="N30"/>
    <hyperlink r:id="rId87" ref="O30"/>
    <hyperlink r:id="rId88" ref="M31"/>
    <hyperlink r:id="rId89" ref="N31"/>
    <hyperlink r:id="rId90" ref="O31"/>
    <hyperlink r:id="rId91" ref="M32"/>
    <hyperlink r:id="rId92" ref="N32"/>
    <hyperlink r:id="rId93" ref="O32"/>
    <hyperlink r:id="rId94" ref="M33"/>
    <hyperlink r:id="rId95" ref="N33"/>
    <hyperlink r:id="rId96" ref="O33"/>
    <hyperlink r:id="rId97" ref="M34"/>
    <hyperlink r:id="rId98" ref="N34"/>
    <hyperlink r:id="rId99" ref="O34"/>
    <hyperlink r:id="rId100" ref="M35"/>
    <hyperlink r:id="rId101" ref="N35"/>
    <hyperlink r:id="rId102" ref="O35"/>
    <hyperlink r:id="rId103" ref="M36"/>
    <hyperlink r:id="rId104" ref="N36"/>
    <hyperlink r:id="rId105" ref="O36"/>
    <hyperlink r:id="rId106" ref="M37"/>
    <hyperlink r:id="rId107" ref="N37"/>
    <hyperlink r:id="rId108" ref="O37"/>
    <hyperlink r:id="rId109" ref="M38"/>
    <hyperlink r:id="rId110" ref="N38"/>
    <hyperlink r:id="rId111" ref="O38"/>
    <hyperlink r:id="rId112" ref="M39"/>
    <hyperlink r:id="rId113" ref="N39"/>
    <hyperlink r:id="rId114" ref="O39"/>
    <hyperlink r:id="rId115" ref="M40"/>
    <hyperlink r:id="rId116" ref="N40"/>
    <hyperlink r:id="rId117" ref="O40"/>
    <hyperlink r:id="rId118" ref="M41"/>
    <hyperlink r:id="rId119" ref="N41"/>
    <hyperlink r:id="rId120" ref="O41"/>
    <hyperlink r:id="rId121" ref="M42"/>
    <hyperlink r:id="rId122" ref="N42"/>
    <hyperlink r:id="rId123" ref="O42"/>
    <hyperlink r:id="rId124" ref="M43"/>
    <hyperlink r:id="rId125" ref="N43"/>
    <hyperlink r:id="rId126" ref="O43"/>
    <hyperlink r:id="rId127" ref="M44"/>
    <hyperlink r:id="rId128" ref="N44"/>
    <hyperlink r:id="rId129" ref="O44"/>
    <hyperlink r:id="rId130" ref="M45"/>
    <hyperlink r:id="rId131" ref="N45"/>
    <hyperlink r:id="rId132" ref="O45"/>
    <hyperlink r:id="rId133" ref="M46"/>
    <hyperlink r:id="rId134" ref="N46"/>
    <hyperlink r:id="rId135" ref="O46"/>
    <hyperlink r:id="rId136" ref="M47"/>
    <hyperlink r:id="rId137" ref="N47"/>
    <hyperlink r:id="rId138" ref="O47"/>
    <hyperlink r:id="rId139" ref="M48"/>
    <hyperlink r:id="rId140" ref="N48"/>
    <hyperlink r:id="rId141" ref="O48"/>
    <hyperlink r:id="rId142" ref="M49"/>
    <hyperlink r:id="rId143" ref="N49"/>
    <hyperlink r:id="rId144" ref="O49"/>
    <hyperlink r:id="rId145" ref="M50"/>
    <hyperlink r:id="rId146" ref="N50"/>
    <hyperlink r:id="rId147" ref="O50"/>
    <hyperlink r:id="rId148" ref="M51"/>
    <hyperlink r:id="rId149" ref="N51"/>
    <hyperlink r:id="rId150" ref="O51"/>
    <hyperlink r:id="rId151" ref="M52"/>
    <hyperlink r:id="rId152" ref="N52"/>
    <hyperlink r:id="rId153" ref="O52"/>
    <hyperlink r:id="rId154" ref="M53"/>
    <hyperlink r:id="rId155" ref="N53"/>
    <hyperlink r:id="rId156" ref="O53"/>
    <hyperlink r:id="rId157" ref="M54"/>
    <hyperlink r:id="rId158" ref="N54"/>
    <hyperlink r:id="rId159" ref="O54"/>
    <hyperlink r:id="rId160" ref="M55"/>
    <hyperlink r:id="rId161" ref="N55"/>
    <hyperlink r:id="rId162" ref="O55"/>
    <hyperlink r:id="rId163" ref="M56"/>
    <hyperlink r:id="rId164" ref="N56"/>
    <hyperlink r:id="rId165" ref="O56"/>
    <hyperlink r:id="rId166" ref="M57"/>
    <hyperlink r:id="rId167" ref="N57"/>
    <hyperlink r:id="rId168" ref="O57"/>
    <hyperlink r:id="rId169" ref="M58"/>
    <hyperlink r:id="rId170" ref="N58"/>
    <hyperlink r:id="rId171" ref="O58"/>
    <hyperlink r:id="rId172" ref="M59"/>
    <hyperlink r:id="rId173" ref="N59"/>
    <hyperlink r:id="rId174" ref="O59"/>
    <hyperlink r:id="rId175" ref="M60"/>
    <hyperlink r:id="rId176" ref="N60"/>
    <hyperlink r:id="rId177" ref="O60"/>
    <hyperlink r:id="rId178" ref="M61"/>
    <hyperlink r:id="rId179" ref="N61"/>
    <hyperlink r:id="rId180" ref="O61"/>
    <hyperlink r:id="rId181" ref="M62"/>
    <hyperlink r:id="rId182" ref="N62"/>
    <hyperlink r:id="rId183" ref="O62"/>
    <hyperlink r:id="rId184" ref="M63"/>
    <hyperlink r:id="rId185" ref="N63"/>
    <hyperlink r:id="rId186" ref="O63"/>
    <hyperlink r:id="rId187" ref="M64"/>
    <hyperlink r:id="rId188" ref="N64"/>
    <hyperlink r:id="rId189" ref="O64"/>
    <hyperlink r:id="rId190" ref="M65"/>
    <hyperlink r:id="rId191" ref="N65"/>
    <hyperlink r:id="rId192" ref="O65"/>
    <hyperlink r:id="rId193" ref="M66"/>
    <hyperlink r:id="rId194" ref="N66"/>
    <hyperlink r:id="rId195" ref="O66"/>
    <hyperlink r:id="rId196" ref="M67"/>
    <hyperlink r:id="rId197" ref="N67"/>
    <hyperlink r:id="rId198" ref="O67"/>
    <hyperlink r:id="rId199" ref="M68"/>
    <hyperlink r:id="rId200" ref="N68"/>
    <hyperlink r:id="rId201" ref="O68"/>
    <hyperlink r:id="rId202" ref="M69"/>
    <hyperlink r:id="rId203" ref="N69"/>
    <hyperlink r:id="rId204" ref="O69"/>
    <hyperlink r:id="rId205" ref="M70"/>
    <hyperlink r:id="rId206" ref="N70"/>
    <hyperlink r:id="rId207" ref="O70"/>
    <hyperlink r:id="rId208" ref="M71"/>
    <hyperlink r:id="rId209" ref="N71"/>
    <hyperlink r:id="rId210" ref="O71"/>
    <hyperlink r:id="rId211" ref="M72"/>
    <hyperlink r:id="rId212" ref="N72"/>
    <hyperlink r:id="rId213" ref="O72"/>
    <hyperlink r:id="rId214" ref="M73"/>
    <hyperlink r:id="rId215" ref="N73"/>
    <hyperlink r:id="rId216" ref="O73"/>
    <hyperlink r:id="rId217" ref="M74"/>
    <hyperlink r:id="rId218" ref="N74"/>
    <hyperlink r:id="rId219" ref="O74"/>
    <hyperlink r:id="rId220" ref="M75"/>
    <hyperlink r:id="rId221" ref="N75"/>
    <hyperlink r:id="rId222" ref="O75"/>
    <hyperlink r:id="rId223" ref="M76"/>
    <hyperlink r:id="rId224" ref="N76"/>
    <hyperlink r:id="rId225" ref="O76"/>
    <hyperlink r:id="rId226" ref="M77"/>
    <hyperlink r:id="rId227" ref="N77"/>
    <hyperlink r:id="rId228" ref="O77"/>
    <hyperlink r:id="rId229" ref="M78"/>
    <hyperlink r:id="rId230" ref="N78"/>
    <hyperlink r:id="rId231" ref="O78"/>
    <hyperlink r:id="rId232" ref="M79"/>
    <hyperlink r:id="rId233" ref="N79"/>
    <hyperlink r:id="rId234" ref="O79"/>
    <hyperlink r:id="rId235" ref="M80"/>
    <hyperlink r:id="rId236" ref="N80"/>
    <hyperlink r:id="rId237" ref="O80"/>
    <hyperlink r:id="rId238" ref="M81"/>
    <hyperlink r:id="rId239" ref="N81"/>
    <hyperlink r:id="rId240" ref="O81"/>
    <hyperlink r:id="rId241" ref="M82"/>
    <hyperlink r:id="rId242" ref="N82"/>
    <hyperlink r:id="rId243" ref="O82"/>
    <hyperlink r:id="rId244" ref="M83"/>
    <hyperlink r:id="rId245" ref="N83"/>
    <hyperlink r:id="rId246" ref="O83"/>
    <hyperlink r:id="rId247" ref="M84"/>
    <hyperlink r:id="rId248" ref="N84"/>
    <hyperlink r:id="rId249" ref="O84"/>
    <hyperlink r:id="rId250" ref="M85"/>
    <hyperlink r:id="rId251" ref="N85"/>
    <hyperlink r:id="rId252" ref="O85"/>
    <hyperlink r:id="rId253" ref="M86"/>
    <hyperlink r:id="rId254" ref="N86"/>
    <hyperlink r:id="rId255" ref="O86"/>
    <hyperlink r:id="rId256" ref="M87"/>
    <hyperlink r:id="rId257" ref="N87"/>
    <hyperlink r:id="rId258" ref="O87"/>
    <hyperlink r:id="rId259" ref="M88"/>
    <hyperlink r:id="rId260" ref="N88"/>
    <hyperlink r:id="rId261" ref="O88"/>
    <hyperlink r:id="rId262" ref="M89"/>
    <hyperlink r:id="rId263" ref="N89"/>
    <hyperlink r:id="rId264" ref="O89"/>
    <hyperlink r:id="rId265" ref="M90"/>
    <hyperlink r:id="rId266" ref="N90"/>
    <hyperlink r:id="rId267" ref="O90"/>
    <hyperlink r:id="rId268" ref="M91"/>
    <hyperlink r:id="rId269" ref="N91"/>
    <hyperlink r:id="rId270" ref="O91"/>
    <hyperlink r:id="rId271" ref="M92"/>
    <hyperlink r:id="rId272" ref="N92"/>
    <hyperlink r:id="rId273" ref="O92"/>
    <hyperlink r:id="rId274" ref="M93"/>
    <hyperlink r:id="rId275" ref="N93"/>
    <hyperlink r:id="rId276" ref="O93"/>
    <hyperlink r:id="rId277" ref="M94"/>
    <hyperlink r:id="rId278" ref="N94"/>
    <hyperlink r:id="rId279" ref="O94"/>
    <hyperlink r:id="rId280" ref="M95"/>
    <hyperlink r:id="rId281" ref="N95"/>
    <hyperlink r:id="rId282" ref="O95"/>
    <hyperlink r:id="rId283" ref="M96"/>
    <hyperlink r:id="rId284" ref="N96"/>
    <hyperlink r:id="rId285" ref="O96"/>
    <hyperlink r:id="rId286" ref="M97"/>
    <hyperlink r:id="rId287" ref="N97"/>
    <hyperlink r:id="rId288" ref="O97"/>
    <hyperlink r:id="rId289" ref="M98"/>
    <hyperlink r:id="rId290" ref="N98"/>
    <hyperlink r:id="rId291" ref="O98"/>
    <hyperlink r:id="rId292" ref="M99"/>
    <hyperlink r:id="rId293" ref="N99"/>
    <hyperlink r:id="rId294" ref="O99"/>
    <hyperlink r:id="rId295" ref="M100"/>
    <hyperlink r:id="rId296" ref="N100"/>
    <hyperlink r:id="rId297" ref="O100"/>
    <hyperlink r:id="rId298" ref="M101"/>
    <hyperlink r:id="rId299" ref="N101"/>
    <hyperlink r:id="rId300" ref="O101"/>
    <hyperlink r:id="rId301" ref="M102"/>
    <hyperlink r:id="rId302" ref="N102"/>
    <hyperlink r:id="rId303" ref="O102"/>
    <hyperlink r:id="rId304" ref="M103"/>
    <hyperlink r:id="rId305" ref="N103"/>
    <hyperlink r:id="rId306" ref="O103"/>
    <hyperlink r:id="rId307" ref="M104"/>
    <hyperlink r:id="rId308" ref="N104"/>
    <hyperlink r:id="rId309" ref="O104"/>
    <hyperlink r:id="rId310" ref="M105"/>
    <hyperlink r:id="rId311" ref="N105"/>
    <hyperlink r:id="rId312" ref="O105"/>
    <hyperlink r:id="rId313" ref="M106"/>
    <hyperlink r:id="rId314" ref="N106"/>
    <hyperlink r:id="rId315" ref="O106"/>
    <hyperlink r:id="rId316" ref="M107"/>
    <hyperlink r:id="rId317" ref="N107"/>
    <hyperlink r:id="rId318" ref="O107"/>
    <hyperlink r:id="rId319" ref="M108"/>
    <hyperlink r:id="rId320" ref="N108"/>
    <hyperlink r:id="rId321" ref="O108"/>
    <hyperlink r:id="rId322" ref="M109"/>
    <hyperlink r:id="rId323" ref="N109"/>
    <hyperlink r:id="rId324" ref="O109"/>
    <hyperlink r:id="rId325" ref="M110"/>
    <hyperlink r:id="rId326" ref="N110"/>
    <hyperlink r:id="rId327" ref="O110"/>
    <hyperlink r:id="rId328" ref="M111"/>
    <hyperlink r:id="rId329" ref="N111"/>
    <hyperlink r:id="rId330" ref="O111"/>
    <hyperlink r:id="rId331" ref="M112"/>
    <hyperlink r:id="rId332" ref="N112"/>
    <hyperlink r:id="rId333" ref="O112"/>
    <hyperlink r:id="rId334" ref="M113"/>
    <hyperlink r:id="rId335" ref="N113"/>
    <hyperlink r:id="rId336" ref="O113"/>
    <hyperlink r:id="rId337" ref="M114"/>
    <hyperlink r:id="rId338" ref="N114"/>
    <hyperlink r:id="rId339" ref="O114"/>
    <hyperlink r:id="rId340" ref="M115"/>
    <hyperlink r:id="rId341" ref="N115"/>
    <hyperlink r:id="rId342" ref="O115"/>
    <hyperlink r:id="rId343" ref="M116"/>
    <hyperlink r:id="rId344" ref="N116"/>
    <hyperlink r:id="rId345" ref="O116"/>
    <hyperlink r:id="rId346" ref="M117"/>
    <hyperlink r:id="rId347" ref="N117"/>
    <hyperlink r:id="rId348" ref="O117"/>
    <hyperlink r:id="rId349" ref="M118"/>
    <hyperlink r:id="rId350" ref="N118"/>
    <hyperlink r:id="rId351" ref="O118"/>
    <hyperlink r:id="rId352" ref="M119"/>
    <hyperlink r:id="rId353" ref="N119"/>
    <hyperlink r:id="rId354" ref="O119"/>
    <hyperlink r:id="rId355" ref="M120"/>
    <hyperlink r:id="rId356" ref="N120"/>
    <hyperlink r:id="rId357" ref="O120"/>
    <hyperlink r:id="rId358" ref="M121"/>
    <hyperlink r:id="rId359" ref="N121"/>
    <hyperlink r:id="rId360" ref="O121"/>
    <hyperlink r:id="rId361" ref="M122"/>
    <hyperlink r:id="rId362" ref="N122"/>
    <hyperlink r:id="rId363" ref="O122"/>
    <hyperlink r:id="rId364" ref="M123"/>
    <hyperlink r:id="rId365" ref="N123"/>
    <hyperlink r:id="rId366" ref="O123"/>
    <hyperlink r:id="rId367" ref="M124"/>
    <hyperlink r:id="rId368" ref="N124"/>
    <hyperlink r:id="rId369" ref="O124"/>
    <hyperlink r:id="rId370" ref="M125"/>
    <hyperlink r:id="rId371" ref="N125"/>
    <hyperlink r:id="rId372" ref="O125"/>
    <hyperlink r:id="rId373" ref="M126"/>
    <hyperlink r:id="rId374" ref="N126"/>
    <hyperlink r:id="rId375" ref="O126"/>
    <hyperlink r:id="rId376" ref="M127"/>
    <hyperlink r:id="rId377" ref="N127"/>
    <hyperlink r:id="rId378" ref="O127"/>
    <hyperlink r:id="rId379" ref="M128"/>
    <hyperlink r:id="rId380" ref="N128"/>
    <hyperlink r:id="rId381" ref="O128"/>
    <hyperlink r:id="rId382" ref="M129"/>
    <hyperlink r:id="rId383" ref="N129"/>
    <hyperlink r:id="rId384" ref="O129"/>
    <hyperlink r:id="rId385" ref="M130"/>
    <hyperlink r:id="rId386" ref="N130"/>
    <hyperlink r:id="rId387" ref="O130"/>
    <hyperlink r:id="rId388" ref="M131"/>
    <hyperlink r:id="rId389" ref="N131"/>
    <hyperlink r:id="rId390" ref="O131"/>
    <hyperlink r:id="rId391" ref="M132"/>
    <hyperlink r:id="rId392" ref="N132"/>
    <hyperlink r:id="rId393" ref="O132"/>
    <hyperlink r:id="rId394" ref="M133"/>
    <hyperlink r:id="rId395" ref="N133"/>
    <hyperlink r:id="rId396" ref="O133"/>
    <hyperlink r:id="rId397" ref="M134"/>
    <hyperlink r:id="rId398" ref="N134"/>
    <hyperlink r:id="rId399" ref="O134"/>
    <hyperlink r:id="rId400" ref="M135"/>
    <hyperlink r:id="rId401" ref="N135"/>
    <hyperlink r:id="rId402" ref="O135"/>
    <hyperlink r:id="rId403" ref="M136"/>
    <hyperlink r:id="rId404" ref="N136"/>
    <hyperlink r:id="rId405" ref="O136"/>
    <hyperlink r:id="rId406" ref="M137"/>
    <hyperlink r:id="rId407" ref="N137"/>
    <hyperlink r:id="rId408" ref="O137"/>
    <hyperlink r:id="rId409" ref="M138"/>
    <hyperlink r:id="rId410" ref="N138"/>
    <hyperlink r:id="rId411" ref="O138"/>
    <hyperlink r:id="rId412" ref="M139"/>
    <hyperlink r:id="rId413" ref="N139"/>
    <hyperlink r:id="rId414" ref="O139"/>
    <hyperlink r:id="rId415" ref="M140"/>
    <hyperlink r:id="rId416" ref="N140"/>
    <hyperlink r:id="rId417" ref="O140"/>
    <hyperlink r:id="rId418" ref="M141"/>
    <hyperlink r:id="rId419" ref="N141"/>
    <hyperlink r:id="rId420" ref="O141"/>
    <hyperlink r:id="rId421" ref="M142"/>
    <hyperlink r:id="rId422" ref="N142"/>
    <hyperlink r:id="rId423" ref="O142"/>
    <hyperlink r:id="rId424" ref="M143"/>
    <hyperlink r:id="rId425" ref="N143"/>
    <hyperlink r:id="rId426" ref="O143"/>
    <hyperlink r:id="rId427" ref="M144"/>
    <hyperlink r:id="rId428" ref="N144"/>
    <hyperlink r:id="rId429" ref="O144"/>
    <hyperlink r:id="rId430" ref="M145"/>
    <hyperlink r:id="rId431" ref="N145"/>
    <hyperlink r:id="rId432" ref="O145"/>
    <hyperlink r:id="rId433" ref="M146"/>
    <hyperlink r:id="rId434" ref="N146"/>
    <hyperlink r:id="rId435" ref="O146"/>
    <hyperlink r:id="rId436" ref="M147"/>
    <hyperlink r:id="rId437" ref="N147"/>
    <hyperlink r:id="rId438" ref="O147"/>
    <hyperlink r:id="rId439" ref="M148"/>
    <hyperlink r:id="rId440" ref="N148"/>
    <hyperlink r:id="rId441" ref="O148"/>
    <hyperlink r:id="rId442" ref="M149"/>
    <hyperlink r:id="rId443" ref="N149"/>
    <hyperlink r:id="rId444" ref="O149"/>
    <hyperlink r:id="rId445" ref="M150"/>
    <hyperlink r:id="rId446" ref="N150"/>
    <hyperlink r:id="rId447" ref="O150"/>
    <hyperlink r:id="rId448" ref="M151"/>
    <hyperlink r:id="rId449" ref="N151"/>
    <hyperlink r:id="rId450" ref="O151"/>
    <hyperlink r:id="rId451" ref="M152"/>
    <hyperlink r:id="rId452" ref="N152"/>
    <hyperlink r:id="rId453" ref="O152"/>
    <hyperlink r:id="rId454" ref="M153"/>
    <hyperlink r:id="rId455" ref="N153"/>
    <hyperlink r:id="rId456" ref="O153"/>
    <hyperlink r:id="rId457" ref="M154"/>
    <hyperlink r:id="rId458" ref="N154"/>
    <hyperlink r:id="rId459" ref="O154"/>
    <hyperlink r:id="rId460" ref="M155"/>
    <hyperlink r:id="rId461" ref="N155"/>
    <hyperlink r:id="rId462" ref="O155"/>
    <hyperlink r:id="rId463" ref="M156"/>
    <hyperlink r:id="rId464" ref="N156"/>
    <hyperlink r:id="rId465" ref="O156"/>
    <hyperlink r:id="rId466" ref="M157"/>
    <hyperlink r:id="rId467" ref="N157"/>
    <hyperlink r:id="rId468" ref="O157"/>
    <hyperlink r:id="rId469" ref="M158"/>
    <hyperlink r:id="rId470" ref="N158"/>
    <hyperlink r:id="rId471" ref="O158"/>
    <hyperlink r:id="rId472" ref="M159"/>
    <hyperlink r:id="rId473" ref="N159"/>
    <hyperlink r:id="rId474" ref="O159"/>
    <hyperlink r:id="rId475" ref="M160"/>
    <hyperlink r:id="rId476" ref="N160"/>
    <hyperlink r:id="rId477" ref="O160"/>
    <hyperlink r:id="rId478" ref="M161"/>
    <hyperlink r:id="rId479" ref="N161"/>
    <hyperlink r:id="rId480" ref="O161"/>
    <hyperlink r:id="rId481" ref="M162"/>
    <hyperlink r:id="rId482" ref="N162"/>
    <hyperlink r:id="rId483" ref="O162"/>
    <hyperlink r:id="rId484" ref="M163"/>
    <hyperlink r:id="rId485" ref="N163"/>
    <hyperlink r:id="rId486" ref="O163"/>
    <hyperlink r:id="rId487" ref="M164"/>
    <hyperlink r:id="rId488" ref="N164"/>
    <hyperlink r:id="rId489" ref="O164"/>
    <hyperlink r:id="rId490" ref="M165"/>
    <hyperlink r:id="rId491" ref="N165"/>
    <hyperlink r:id="rId492" ref="O165"/>
    <hyperlink r:id="rId493" ref="M166"/>
    <hyperlink r:id="rId494" ref="N166"/>
    <hyperlink r:id="rId495" ref="O166"/>
    <hyperlink r:id="rId496" ref="M167"/>
    <hyperlink r:id="rId497" ref="N167"/>
    <hyperlink r:id="rId498" ref="O167"/>
    <hyperlink r:id="rId499" ref="M168"/>
    <hyperlink r:id="rId500" ref="N168"/>
    <hyperlink r:id="rId501" ref="O168"/>
    <hyperlink r:id="rId502" ref="M169"/>
    <hyperlink r:id="rId503" ref="N169"/>
    <hyperlink r:id="rId504" ref="O169"/>
    <hyperlink r:id="rId505" ref="M170"/>
    <hyperlink r:id="rId506" ref="N170"/>
    <hyperlink r:id="rId507" ref="O170"/>
    <hyperlink r:id="rId508" ref="M171"/>
    <hyperlink r:id="rId509" ref="N171"/>
    <hyperlink r:id="rId510" ref="O171"/>
    <hyperlink r:id="rId511" ref="M172"/>
    <hyperlink r:id="rId512" ref="N172"/>
    <hyperlink r:id="rId513" ref="O172"/>
    <hyperlink r:id="rId514" ref="M173"/>
    <hyperlink r:id="rId515" ref="N173"/>
    <hyperlink r:id="rId516" ref="O173"/>
    <hyperlink r:id="rId517" ref="M174"/>
    <hyperlink r:id="rId518" ref="N174"/>
    <hyperlink r:id="rId519" ref="O174"/>
    <hyperlink r:id="rId520" ref="M175"/>
    <hyperlink r:id="rId521" ref="N175"/>
    <hyperlink r:id="rId522" ref="O175"/>
    <hyperlink r:id="rId523" ref="M176"/>
    <hyperlink r:id="rId524" ref="N176"/>
    <hyperlink r:id="rId525" ref="O176"/>
    <hyperlink r:id="rId526" ref="M177"/>
    <hyperlink r:id="rId527" ref="N177"/>
    <hyperlink r:id="rId528" ref="O177"/>
    <hyperlink r:id="rId529" ref="M178"/>
    <hyperlink r:id="rId530" ref="N178"/>
    <hyperlink r:id="rId531" ref="O178"/>
    <hyperlink r:id="rId532" ref="M179"/>
    <hyperlink r:id="rId533" ref="N179"/>
    <hyperlink r:id="rId534" ref="O179"/>
    <hyperlink r:id="rId535" ref="M180"/>
    <hyperlink r:id="rId536" ref="N180"/>
    <hyperlink r:id="rId537" ref="O180"/>
    <hyperlink r:id="rId538" ref="M181"/>
    <hyperlink r:id="rId539" ref="N181"/>
    <hyperlink r:id="rId540" ref="O181"/>
    <hyperlink r:id="rId541" ref="M182"/>
    <hyperlink r:id="rId542" ref="N182"/>
    <hyperlink r:id="rId543" ref="O182"/>
    <hyperlink r:id="rId544" ref="M183"/>
    <hyperlink r:id="rId545" ref="N183"/>
    <hyperlink r:id="rId546" ref="O183"/>
    <hyperlink r:id="rId547" ref="M184"/>
    <hyperlink r:id="rId548" ref="N184"/>
    <hyperlink r:id="rId549" ref="O184"/>
    <hyperlink r:id="rId550" ref="M185"/>
    <hyperlink r:id="rId551" ref="N185"/>
    <hyperlink r:id="rId552" ref="O185"/>
    <hyperlink r:id="rId553" ref="M186"/>
    <hyperlink r:id="rId554" ref="N186"/>
    <hyperlink r:id="rId555" ref="O186"/>
    <hyperlink r:id="rId556" ref="M187"/>
    <hyperlink r:id="rId557" ref="N187"/>
    <hyperlink r:id="rId558" ref="O187"/>
    <hyperlink r:id="rId559" ref="M188"/>
    <hyperlink r:id="rId560" ref="N188"/>
    <hyperlink r:id="rId561" ref="O188"/>
    <hyperlink r:id="rId562" ref="M189"/>
    <hyperlink r:id="rId563" ref="N189"/>
    <hyperlink r:id="rId564" ref="O189"/>
    <hyperlink r:id="rId565" ref="M190"/>
    <hyperlink r:id="rId566" ref="N190"/>
    <hyperlink r:id="rId567" ref="O190"/>
    <hyperlink r:id="rId568" ref="M191"/>
    <hyperlink r:id="rId569" ref="N191"/>
    <hyperlink r:id="rId570" ref="O191"/>
    <hyperlink r:id="rId571" ref="M192"/>
    <hyperlink r:id="rId572" ref="N192"/>
    <hyperlink r:id="rId573" ref="O192"/>
    <hyperlink r:id="rId574" ref="M193"/>
    <hyperlink r:id="rId575" ref="N193"/>
    <hyperlink r:id="rId576" ref="O193"/>
    <hyperlink r:id="rId577" ref="M194"/>
    <hyperlink r:id="rId578" ref="N194"/>
    <hyperlink r:id="rId579" ref="O194"/>
    <hyperlink r:id="rId580" ref="M195"/>
    <hyperlink r:id="rId581" ref="N195"/>
    <hyperlink r:id="rId582" ref="O195"/>
    <hyperlink r:id="rId583" ref="M196"/>
    <hyperlink r:id="rId584" ref="N196"/>
    <hyperlink r:id="rId585" ref="O196"/>
    <hyperlink r:id="rId586" ref="M197"/>
    <hyperlink r:id="rId587" ref="N197"/>
    <hyperlink r:id="rId588" ref="O197"/>
    <hyperlink r:id="rId589" ref="M198"/>
    <hyperlink r:id="rId590" ref="N198"/>
    <hyperlink r:id="rId591" ref="O198"/>
    <hyperlink r:id="rId592" ref="M199"/>
    <hyperlink r:id="rId593" ref="N199"/>
    <hyperlink r:id="rId594" ref="O199"/>
    <hyperlink r:id="rId595" ref="M200"/>
    <hyperlink r:id="rId596" ref="N200"/>
    <hyperlink r:id="rId597" ref="O200"/>
    <hyperlink r:id="rId598" ref="M201"/>
    <hyperlink r:id="rId599" ref="N201"/>
    <hyperlink r:id="rId600" ref="O201"/>
    <hyperlink r:id="rId601" ref="M202"/>
    <hyperlink r:id="rId602" ref="N202"/>
    <hyperlink r:id="rId603" ref="O202"/>
    <hyperlink r:id="rId604" ref="M203"/>
    <hyperlink r:id="rId605" ref="N203"/>
    <hyperlink r:id="rId606" ref="O203"/>
    <hyperlink r:id="rId607" ref="M204"/>
    <hyperlink r:id="rId608" ref="N204"/>
    <hyperlink r:id="rId609" ref="O204"/>
    <hyperlink r:id="rId610" ref="M205"/>
    <hyperlink r:id="rId611" ref="N205"/>
    <hyperlink r:id="rId612" ref="O205"/>
    <hyperlink r:id="rId613" ref="M206"/>
    <hyperlink r:id="rId614" ref="N206"/>
    <hyperlink r:id="rId615" ref="O206"/>
    <hyperlink r:id="rId616" ref="M207"/>
    <hyperlink r:id="rId617" ref="N207"/>
    <hyperlink r:id="rId618" ref="O207"/>
    <hyperlink r:id="rId619" ref="M208"/>
    <hyperlink r:id="rId620" ref="N208"/>
    <hyperlink r:id="rId621" ref="O208"/>
    <hyperlink r:id="rId622" ref="M209"/>
    <hyperlink r:id="rId623" ref="N209"/>
    <hyperlink r:id="rId624" ref="O209"/>
    <hyperlink r:id="rId625" ref="M210"/>
    <hyperlink r:id="rId626" ref="N210"/>
    <hyperlink r:id="rId627" ref="O210"/>
    <hyperlink r:id="rId628" ref="M211"/>
    <hyperlink r:id="rId629" ref="N211"/>
    <hyperlink r:id="rId630" ref="O211"/>
    <hyperlink r:id="rId631" ref="M212"/>
    <hyperlink r:id="rId632" ref="N212"/>
    <hyperlink r:id="rId633" ref="O212"/>
    <hyperlink r:id="rId634" ref="M213"/>
    <hyperlink r:id="rId635" ref="N213"/>
    <hyperlink r:id="rId636" ref="O213"/>
    <hyperlink r:id="rId637" ref="M214"/>
    <hyperlink r:id="rId638" ref="N214"/>
    <hyperlink r:id="rId639" ref="O214"/>
    <hyperlink r:id="rId640" ref="M215"/>
    <hyperlink r:id="rId641" ref="N215"/>
    <hyperlink r:id="rId642" ref="O215"/>
    <hyperlink r:id="rId643" ref="M216"/>
    <hyperlink r:id="rId644" ref="N216"/>
    <hyperlink r:id="rId645" ref="O216"/>
    <hyperlink r:id="rId646" ref="M217"/>
    <hyperlink r:id="rId647" ref="N217"/>
    <hyperlink r:id="rId648" ref="O217"/>
    <hyperlink r:id="rId649" ref="M218"/>
    <hyperlink r:id="rId650" ref="N218"/>
    <hyperlink r:id="rId651" ref="O218"/>
    <hyperlink r:id="rId652" ref="M219"/>
    <hyperlink r:id="rId653" ref="N219"/>
    <hyperlink r:id="rId654" ref="O219"/>
    <hyperlink r:id="rId655" ref="M220"/>
    <hyperlink r:id="rId656" ref="N220"/>
    <hyperlink r:id="rId657" ref="O220"/>
    <hyperlink r:id="rId658" ref="M221"/>
    <hyperlink r:id="rId659" ref="N221"/>
    <hyperlink r:id="rId660" ref="O221"/>
    <hyperlink r:id="rId661" ref="M222"/>
    <hyperlink r:id="rId662" ref="N222"/>
    <hyperlink r:id="rId663" ref="O222"/>
    <hyperlink r:id="rId664" ref="M223"/>
    <hyperlink r:id="rId665" ref="N223"/>
    <hyperlink r:id="rId666" ref="O223"/>
    <hyperlink r:id="rId667" ref="M224"/>
    <hyperlink r:id="rId668" ref="N224"/>
    <hyperlink r:id="rId669" ref="O224"/>
    <hyperlink r:id="rId670" ref="M225"/>
    <hyperlink r:id="rId671" ref="N225"/>
    <hyperlink r:id="rId672" ref="O225"/>
    <hyperlink r:id="rId673" ref="M226"/>
    <hyperlink r:id="rId674" ref="N226"/>
    <hyperlink r:id="rId675" ref="O226"/>
    <hyperlink r:id="rId676" ref="M227"/>
    <hyperlink r:id="rId677" ref="N227"/>
    <hyperlink r:id="rId678" ref="O227"/>
    <hyperlink r:id="rId679" ref="M228"/>
    <hyperlink r:id="rId680" ref="N228"/>
    <hyperlink r:id="rId681" ref="O228"/>
    <hyperlink r:id="rId682" ref="M229"/>
    <hyperlink r:id="rId683" ref="N229"/>
    <hyperlink r:id="rId684" ref="O229"/>
    <hyperlink r:id="rId685" ref="M230"/>
    <hyperlink r:id="rId686" ref="N230"/>
    <hyperlink r:id="rId687" ref="O230"/>
    <hyperlink r:id="rId688" ref="M231"/>
    <hyperlink r:id="rId689" ref="N231"/>
    <hyperlink r:id="rId690" ref="O231"/>
    <hyperlink r:id="rId691" ref="M232"/>
    <hyperlink r:id="rId692" ref="N232"/>
    <hyperlink r:id="rId693" ref="O232"/>
    <hyperlink r:id="rId694" ref="M233"/>
    <hyperlink r:id="rId695" ref="N233"/>
    <hyperlink r:id="rId696" ref="O233"/>
    <hyperlink r:id="rId697" ref="M234"/>
    <hyperlink r:id="rId698" ref="N234"/>
    <hyperlink r:id="rId699" ref="O234"/>
    <hyperlink r:id="rId700" ref="M235"/>
    <hyperlink r:id="rId701" ref="N235"/>
    <hyperlink r:id="rId702" ref="O235"/>
    <hyperlink r:id="rId703" ref="M236"/>
    <hyperlink r:id="rId704" ref="N236"/>
    <hyperlink r:id="rId705" ref="O236"/>
    <hyperlink r:id="rId706" ref="M237"/>
    <hyperlink r:id="rId707" ref="N237"/>
    <hyperlink r:id="rId708" ref="O237"/>
    <hyperlink r:id="rId709" ref="M238"/>
    <hyperlink r:id="rId710" ref="N238"/>
    <hyperlink r:id="rId711" ref="O238"/>
    <hyperlink r:id="rId712" ref="M239"/>
    <hyperlink r:id="rId713" ref="N239"/>
    <hyperlink r:id="rId714" ref="O239"/>
    <hyperlink r:id="rId715" ref="M240"/>
    <hyperlink r:id="rId716" ref="N240"/>
    <hyperlink r:id="rId717" ref="O240"/>
    <hyperlink r:id="rId718" ref="M241"/>
    <hyperlink r:id="rId719" ref="N241"/>
    <hyperlink r:id="rId720" ref="O241"/>
    <hyperlink r:id="rId721" ref="M242"/>
    <hyperlink r:id="rId722" ref="N242"/>
    <hyperlink r:id="rId723" ref="O242"/>
    <hyperlink r:id="rId724" ref="M243"/>
    <hyperlink r:id="rId725" ref="N243"/>
    <hyperlink r:id="rId726" ref="O243"/>
    <hyperlink r:id="rId727" ref="M244"/>
    <hyperlink r:id="rId728" ref="N244"/>
    <hyperlink r:id="rId729" ref="O244"/>
    <hyperlink r:id="rId730" ref="M245"/>
    <hyperlink r:id="rId731" ref="N245"/>
    <hyperlink r:id="rId732" ref="O245"/>
    <hyperlink r:id="rId733" ref="M246"/>
    <hyperlink r:id="rId734" ref="N246"/>
    <hyperlink r:id="rId735" ref="O246"/>
    <hyperlink r:id="rId736" ref="M247"/>
    <hyperlink r:id="rId737" ref="N247"/>
    <hyperlink r:id="rId738" ref="O247"/>
    <hyperlink r:id="rId739" ref="M248"/>
    <hyperlink r:id="rId740" ref="N248"/>
    <hyperlink r:id="rId741" ref="O248"/>
    <hyperlink r:id="rId742" ref="M249"/>
    <hyperlink r:id="rId743" ref="N249"/>
    <hyperlink r:id="rId744" ref="O249"/>
    <hyperlink r:id="rId745" ref="M250"/>
    <hyperlink r:id="rId746" ref="N250"/>
    <hyperlink r:id="rId747" ref="O250"/>
    <hyperlink r:id="rId748" ref="M251"/>
    <hyperlink r:id="rId749" ref="N251"/>
    <hyperlink r:id="rId750" ref="O251"/>
    <hyperlink r:id="rId751" ref="M252"/>
    <hyperlink r:id="rId752" ref="N252"/>
    <hyperlink r:id="rId753" ref="O252"/>
    <hyperlink r:id="rId754" ref="M253"/>
    <hyperlink r:id="rId755" ref="N253"/>
    <hyperlink r:id="rId756" ref="O253"/>
    <hyperlink r:id="rId757" ref="M254"/>
    <hyperlink r:id="rId758" ref="N254"/>
    <hyperlink r:id="rId759" ref="O254"/>
    <hyperlink r:id="rId760" ref="M255"/>
    <hyperlink r:id="rId761" ref="N255"/>
    <hyperlink r:id="rId762" ref="O255"/>
    <hyperlink r:id="rId763" ref="M256"/>
    <hyperlink r:id="rId764" ref="N256"/>
    <hyperlink r:id="rId765" ref="O256"/>
    <hyperlink r:id="rId766" ref="M257"/>
    <hyperlink r:id="rId767" ref="N257"/>
    <hyperlink r:id="rId768" ref="O257"/>
    <hyperlink r:id="rId769" ref="M258"/>
    <hyperlink r:id="rId770" ref="N258"/>
    <hyperlink r:id="rId771" ref="O258"/>
    <hyperlink r:id="rId772" ref="M259"/>
    <hyperlink r:id="rId773" ref="N259"/>
    <hyperlink r:id="rId774" ref="O259"/>
    <hyperlink r:id="rId775" ref="M260"/>
    <hyperlink r:id="rId776" ref="N260"/>
    <hyperlink r:id="rId777" ref="O260"/>
    <hyperlink r:id="rId778" ref="M261"/>
    <hyperlink r:id="rId779" ref="N261"/>
    <hyperlink r:id="rId780" ref="O261"/>
    <hyperlink r:id="rId781" ref="M262"/>
    <hyperlink r:id="rId782" ref="N262"/>
    <hyperlink r:id="rId783" ref="O262"/>
    <hyperlink r:id="rId784" ref="M263"/>
    <hyperlink r:id="rId785" ref="N263"/>
    <hyperlink r:id="rId786" ref="O263"/>
    <hyperlink r:id="rId787" ref="M264"/>
    <hyperlink r:id="rId788" ref="N264"/>
    <hyperlink r:id="rId789" ref="O264"/>
    <hyperlink r:id="rId790" ref="M265"/>
    <hyperlink r:id="rId791" ref="N265"/>
    <hyperlink r:id="rId792" ref="O265"/>
    <hyperlink r:id="rId793" ref="M266"/>
    <hyperlink r:id="rId794" ref="N266"/>
    <hyperlink r:id="rId795" ref="O266"/>
    <hyperlink r:id="rId796" ref="M267"/>
    <hyperlink r:id="rId797" ref="N267"/>
    <hyperlink r:id="rId798" ref="O267"/>
    <hyperlink r:id="rId799" ref="M268"/>
    <hyperlink r:id="rId800" ref="N268"/>
    <hyperlink r:id="rId801" ref="O268"/>
    <hyperlink r:id="rId802" ref="M269"/>
    <hyperlink r:id="rId803" ref="N269"/>
    <hyperlink r:id="rId804" ref="O269"/>
    <hyperlink r:id="rId805" ref="M270"/>
    <hyperlink r:id="rId806" ref="N270"/>
    <hyperlink r:id="rId807" ref="O270"/>
    <hyperlink r:id="rId808" ref="M271"/>
    <hyperlink r:id="rId809" ref="N271"/>
    <hyperlink r:id="rId810" ref="O271"/>
    <hyperlink r:id="rId811" ref="M272"/>
    <hyperlink r:id="rId812" ref="N272"/>
    <hyperlink r:id="rId813" ref="O272"/>
    <hyperlink r:id="rId814" ref="M273"/>
    <hyperlink r:id="rId815" ref="N273"/>
    <hyperlink r:id="rId816" ref="O273"/>
    <hyperlink r:id="rId817" ref="M274"/>
    <hyperlink r:id="rId818" ref="N274"/>
    <hyperlink r:id="rId819" ref="O274"/>
    <hyperlink r:id="rId820" ref="M275"/>
    <hyperlink r:id="rId821" ref="N275"/>
    <hyperlink r:id="rId822" ref="O275"/>
    <hyperlink r:id="rId823" ref="M276"/>
    <hyperlink r:id="rId824" ref="N276"/>
    <hyperlink r:id="rId825" ref="O276"/>
    <hyperlink r:id="rId826" ref="M277"/>
    <hyperlink r:id="rId827" ref="N277"/>
    <hyperlink r:id="rId828" ref="O277"/>
    <hyperlink r:id="rId829" ref="M278"/>
    <hyperlink r:id="rId830" ref="N278"/>
    <hyperlink r:id="rId831" ref="O278"/>
    <hyperlink r:id="rId832" ref="M279"/>
    <hyperlink r:id="rId833" ref="N279"/>
    <hyperlink r:id="rId834" ref="O279"/>
    <hyperlink r:id="rId835" ref="M280"/>
    <hyperlink r:id="rId836" ref="N280"/>
    <hyperlink r:id="rId837" ref="O280"/>
    <hyperlink r:id="rId838" ref="M281"/>
    <hyperlink r:id="rId839" ref="N281"/>
    <hyperlink r:id="rId840" ref="O281"/>
    <hyperlink r:id="rId841" ref="M282"/>
    <hyperlink r:id="rId842" ref="N282"/>
    <hyperlink r:id="rId843" ref="O282"/>
    <hyperlink r:id="rId844" ref="M283"/>
    <hyperlink r:id="rId845" ref="N283"/>
    <hyperlink r:id="rId846" ref="O283"/>
    <hyperlink r:id="rId847" ref="M284"/>
    <hyperlink r:id="rId848" ref="N284"/>
    <hyperlink r:id="rId849" ref="O284"/>
    <hyperlink r:id="rId850" ref="M285"/>
    <hyperlink r:id="rId851" ref="N285"/>
    <hyperlink r:id="rId852" ref="O285"/>
    <hyperlink r:id="rId853" ref="M286"/>
    <hyperlink r:id="rId854" ref="N286"/>
    <hyperlink r:id="rId855" ref="O286"/>
    <hyperlink r:id="rId856" ref="M287"/>
    <hyperlink r:id="rId857" ref="N287"/>
    <hyperlink r:id="rId858" ref="O287"/>
    <hyperlink r:id="rId859" ref="M288"/>
    <hyperlink r:id="rId860" ref="N288"/>
    <hyperlink r:id="rId861" ref="O288"/>
    <hyperlink r:id="rId862" ref="M289"/>
    <hyperlink r:id="rId863" ref="N289"/>
    <hyperlink r:id="rId864" ref="O289"/>
    <hyperlink r:id="rId865" ref="M290"/>
    <hyperlink r:id="rId866" ref="N290"/>
    <hyperlink r:id="rId867" ref="O290"/>
    <hyperlink r:id="rId868" ref="M291"/>
    <hyperlink r:id="rId869" ref="N291"/>
    <hyperlink r:id="rId870" ref="O291"/>
    <hyperlink r:id="rId871" ref="M292"/>
    <hyperlink r:id="rId872" ref="N292"/>
    <hyperlink r:id="rId873" ref="O292"/>
    <hyperlink r:id="rId874" ref="M293"/>
    <hyperlink r:id="rId875" ref="N293"/>
    <hyperlink r:id="rId876" ref="O293"/>
    <hyperlink r:id="rId877" ref="M294"/>
    <hyperlink r:id="rId878" ref="N294"/>
    <hyperlink r:id="rId879" ref="O294"/>
    <hyperlink r:id="rId880" ref="M295"/>
    <hyperlink r:id="rId881" ref="N295"/>
    <hyperlink r:id="rId882" ref="O295"/>
    <hyperlink r:id="rId883" ref="M296"/>
    <hyperlink r:id="rId884" ref="N296"/>
    <hyperlink r:id="rId885" ref="O296"/>
    <hyperlink r:id="rId886" ref="M297"/>
    <hyperlink r:id="rId887" ref="N297"/>
    <hyperlink r:id="rId888" ref="O297"/>
    <hyperlink r:id="rId889" ref="M298"/>
    <hyperlink r:id="rId890" ref="N298"/>
    <hyperlink r:id="rId891" ref="O298"/>
    <hyperlink r:id="rId892" ref="M299"/>
    <hyperlink r:id="rId893" ref="N299"/>
    <hyperlink r:id="rId894" ref="O299"/>
    <hyperlink r:id="rId895" ref="M300"/>
    <hyperlink r:id="rId896" ref="N300"/>
    <hyperlink r:id="rId897" ref="O300"/>
    <hyperlink r:id="rId898" ref="M301"/>
    <hyperlink r:id="rId899" ref="N301"/>
    <hyperlink r:id="rId900" ref="O301"/>
    <hyperlink r:id="rId901" ref="M302"/>
    <hyperlink r:id="rId902" ref="N302"/>
    <hyperlink r:id="rId903" ref="O302"/>
    <hyperlink r:id="rId904" ref="M303"/>
    <hyperlink r:id="rId905" ref="N303"/>
    <hyperlink r:id="rId906" ref="O303"/>
    <hyperlink r:id="rId907" ref="M304"/>
    <hyperlink r:id="rId908" ref="N304"/>
    <hyperlink r:id="rId909" ref="O304"/>
    <hyperlink r:id="rId910" ref="M305"/>
    <hyperlink r:id="rId911" ref="N305"/>
    <hyperlink r:id="rId912" ref="O305"/>
    <hyperlink r:id="rId913" ref="M306"/>
    <hyperlink r:id="rId914" ref="N306"/>
    <hyperlink r:id="rId915" ref="O306"/>
    <hyperlink r:id="rId916" ref="M307"/>
    <hyperlink r:id="rId917" ref="N307"/>
    <hyperlink r:id="rId918" ref="O307"/>
    <hyperlink r:id="rId919" ref="M308"/>
    <hyperlink r:id="rId920" ref="N308"/>
    <hyperlink r:id="rId921" ref="O308"/>
    <hyperlink r:id="rId922" ref="M309"/>
    <hyperlink r:id="rId923" ref="N309"/>
    <hyperlink r:id="rId924" ref="O309"/>
    <hyperlink r:id="rId925" ref="M310"/>
    <hyperlink r:id="rId926" ref="N310"/>
    <hyperlink r:id="rId927" ref="O310"/>
    <hyperlink r:id="rId928" ref="M311"/>
    <hyperlink r:id="rId929" ref="N311"/>
    <hyperlink r:id="rId930" ref="O311"/>
    <hyperlink r:id="rId931" ref="M312"/>
    <hyperlink r:id="rId932" ref="N312"/>
    <hyperlink r:id="rId933" ref="O312"/>
    <hyperlink r:id="rId934" ref="M313"/>
    <hyperlink r:id="rId935" ref="N313"/>
    <hyperlink r:id="rId936" ref="O313"/>
    <hyperlink r:id="rId937" ref="M314"/>
    <hyperlink r:id="rId938" ref="N314"/>
    <hyperlink r:id="rId939" ref="O314"/>
    <hyperlink r:id="rId940" ref="M315"/>
    <hyperlink r:id="rId941" ref="N315"/>
    <hyperlink r:id="rId942" ref="O315"/>
    <hyperlink r:id="rId943" ref="M316"/>
    <hyperlink r:id="rId944" ref="N316"/>
    <hyperlink r:id="rId945" ref="O316"/>
    <hyperlink r:id="rId946" ref="M317"/>
    <hyperlink r:id="rId947" ref="N317"/>
    <hyperlink r:id="rId948" ref="O317"/>
    <hyperlink r:id="rId949" ref="M318"/>
    <hyperlink r:id="rId950" ref="N318"/>
    <hyperlink r:id="rId951" ref="O318"/>
    <hyperlink r:id="rId952" ref="M319"/>
    <hyperlink r:id="rId953" ref="N319"/>
    <hyperlink r:id="rId954" ref="O319"/>
    <hyperlink r:id="rId955" ref="M320"/>
    <hyperlink r:id="rId956" ref="N320"/>
    <hyperlink r:id="rId957" ref="O320"/>
    <hyperlink r:id="rId958" ref="M321"/>
    <hyperlink r:id="rId959" ref="N321"/>
    <hyperlink r:id="rId960" ref="O321"/>
    <hyperlink r:id="rId961" ref="M322"/>
    <hyperlink r:id="rId962" ref="N322"/>
    <hyperlink r:id="rId963" ref="O322"/>
    <hyperlink r:id="rId964" ref="M323"/>
    <hyperlink r:id="rId965" ref="N323"/>
    <hyperlink r:id="rId966" ref="O323"/>
    <hyperlink r:id="rId967" ref="M324"/>
    <hyperlink r:id="rId968" ref="N324"/>
    <hyperlink r:id="rId969" ref="O324"/>
    <hyperlink r:id="rId970" ref="M325"/>
    <hyperlink r:id="rId971" ref="N325"/>
    <hyperlink r:id="rId972" ref="O325"/>
    <hyperlink r:id="rId973" ref="M326"/>
    <hyperlink r:id="rId974" ref="N326"/>
    <hyperlink r:id="rId975" ref="O326"/>
    <hyperlink r:id="rId976" ref="M327"/>
    <hyperlink r:id="rId977" ref="N327"/>
    <hyperlink r:id="rId978" ref="O327"/>
    <hyperlink r:id="rId979" ref="M328"/>
    <hyperlink r:id="rId980" ref="N328"/>
    <hyperlink r:id="rId981" ref="O328"/>
    <hyperlink r:id="rId982" ref="M329"/>
    <hyperlink r:id="rId983" ref="N329"/>
    <hyperlink r:id="rId984" ref="O329"/>
    <hyperlink r:id="rId985" ref="M330"/>
    <hyperlink r:id="rId986" ref="N330"/>
    <hyperlink r:id="rId987" ref="O330"/>
    <hyperlink r:id="rId988" ref="M331"/>
    <hyperlink r:id="rId989" ref="N331"/>
    <hyperlink r:id="rId990" ref="O331"/>
    <hyperlink r:id="rId991" ref="M332"/>
    <hyperlink r:id="rId992" ref="N332"/>
    <hyperlink r:id="rId993" ref="O332"/>
    <hyperlink r:id="rId994" ref="M333"/>
    <hyperlink r:id="rId995" ref="N333"/>
    <hyperlink r:id="rId996" ref="O333"/>
    <hyperlink r:id="rId997" ref="M334"/>
    <hyperlink r:id="rId998" ref="N334"/>
    <hyperlink r:id="rId999" ref="O334"/>
    <hyperlink r:id="rId1000" ref="M335"/>
    <hyperlink r:id="rId1001" ref="N335"/>
    <hyperlink r:id="rId1002" ref="O335"/>
    <hyperlink r:id="rId1003" ref="M336"/>
    <hyperlink r:id="rId1004" ref="N336"/>
    <hyperlink r:id="rId1005" ref="O336"/>
    <hyperlink r:id="rId1006" ref="M337"/>
    <hyperlink r:id="rId1007" ref="N337"/>
    <hyperlink r:id="rId1008" ref="O337"/>
    <hyperlink r:id="rId1009" ref="M338"/>
    <hyperlink r:id="rId1010" ref="N338"/>
    <hyperlink r:id="rId1011" ref="O338"/>
    <hyperlink r:id="rId1012" ref="M339"/>
    <hyperlink r:id="rId1013" ref="N339"/>
    <hyperlink r:id="rId1014" ref="O339"/>
    <hyperlink r:id="rId1015" ref="M340"/>
    <hyperlink r:id="rId1016" ref="N340"/>
    <hyperlink r:id="rId1017" ref="O340"/>
    <hyperlink r:id="rId1018" ref="M341"/>
    <hyperlink r:id="rId1019" ref="N341"/>
    <hyperlink r:id="rId1020" ref="O341"/>
    <hyperlink r:id="rId1021" ref="M342"/>
    <hyperlink r:id="rId1022" ref="N342"/>
    <hyperlink r:id="rId1023" ref="O342"/>
    <hyperlink r:id="rId1024" ref="M343"/>
    <hyperlink r:id="rId1025" ref="N343"/>
    <hyperlink r:id="rId1026" ref="O343"/>
    <hyperlink r:id="rId1027" ref="M344"/>
    <hyperlink r:id="rId1028" ref="N344"/>
    <hyperlink r:id="rId1029" ref="O344"/>
    <hyperlink r:id="rId1030" ref="M345"/>
    <hyperlink r:id="rId1031" ref="N345"/>
    <hyperlink r:id="rId1032" ref="O345"/>
    <hyperlink r:id="rId1033" ref="M346"/>
    <hyperlink r:id="rId1034" ref="N346"/>
    <hyperlink r:id="rId1035" ref="O346"/>
    <hyperlink r:id="rId1036" ref="M347"/>
    <hyperlink r:id="rId1037" ref="N347"/>
    <hyperlink r:id="rId1038" ref="O347"/>
    <hyperlink r:id="rId1039" ref="M348"/>
    <hyperlink r:id="rId1040" ref="N348"/>
    <hyperlink r:id="rId1041" ref="O348"/>
    <hyperlink r:id="rId1042" ref="M349"/>
    <hyperlink r:id="rId1043" ref="N349"/>
    <hyperlink r:id="rId1044" ref="O349"/>
    <hyperlink r:id="rId1045" ref="M350"/>
    <hyperlink r:id="rId1046" ref="N350"/>
    <hyperlink r:id="rId1047" ref="O350"/>
    <hyperlink r:id="rId1048" ref="M351"/>
    <hyperlink r:id="rId1049" ref="N351"/>
    <hyperlink r:id="rId1050" ref="O351"/>
    <hyperlink r:id="rId1051" ref="M352"/>
    <hyperlink r:id="rId1052" ref="N352"/>
    <hyperlink r:id="rId1053" ref="O352"/>
    <hyperlink r:id="rId1054" ref="M353"/>
    <hyperlink r:id="rId1055" ref="N353"/>
    <hyperlink r:id="rId1056" ref="O353"/>
    <hyperlink r:id="rId1057" ref="M354"/>
    <hyperlink r:id="rId1058" ref="N354"/>
    <hyperlink r:id="rId1059" ref="O354"/>
    <hyperlink r:id="rId1060" ref="M355"/>
    <hyperlink r:id="rId1061" ref="N355"/>
    <hyperlink r:id="rId1062" ref="O355"/>
    <hyperlink r:id="rId1063" ref="M356"/>
    <hyperlink r:id="rId1064" ref="N356"/>
    <hyperlink r:id="rId1065" ref="O356"/>
    <hyperlink r:id="rId1066" ref="M357"/>
    <hyperlink r:id="rId1067" ref="N357"/>
    <hyperlink r:id="rId1068" ref="O357"/>
    <hyperlink r:id="rId1069" ref="M358"/>
    <hyperlink r:id="rId1070" ref="N358"/>
    <hyperlink r:id="rId1071" ref="O358"/>
    <hyperlink r:id="rId1072" ref="M359"/>
    <hyperlink r:id="rId1073" ref="N359"/>
    <hyperlink r:id="rId1074" ref="O359"/>
    <hyperlink r:id="rId1075" ref="M360"/>
    <hyperlink r:id="rId1076" ref="N360"/>
    <hyperlink r:id="rId1077" ref="O360"/>
    <hyperlink r:id="rId1078" ref="M361"/>
    <hyperlink r:id="rId1079" ref="N361"/>
    <hyperlink r:id="rId1080" ref="O361"/>
    <hyperlink r:id="rId1081" ref="M362"/>
    <hyperlink r:id="rId1082" ref="N362"/>
    <hyperlink r:id="rId1083" ref="O362"/>
    <hyperlink r:id="rId1084" ref="M363"/>
    <hyperlink r:id="rId1085" ref="N363"/>
    <hyperlink r:id="rId1086" ref="O363"/>
    <hyperlink r:id="rId1087" ref="M364"/>
    <hyperlink r:id="rId1088" ref="N364"/>
    <hyperlink r:id="rId1089" ref="O364"/>
    <hyperlink r:id="rId1090" ref="M365"/>
    <hyperlink r:id="rId1091" ref="N365"/>
    <hyperlink r:id="rId1092" ref="O365"/>
    <hyperlink r:id="rId1093" ref="M366"/>
    <hyperlink r:id="rId1094" ref="N366"/>
    <hyperlink r:id="rId1095" ref="O366"/>
    <hyperlink r:id="rId1096" ref="M367"/>
    <hyperlink r:id="rId1097" ref="N367"/>
    <hyperlink r:id="rId1098" ref="O367"/>
    <hyperlink r:id="rId1099" ref="M368"/>
    <hyperlink r:id="rId1100" ref="N368"/>
    <hyperlink r:id="rId1101" ref="O368"/>
    <hyperlink r:id="rId1102" ref="M369"/>
    <hyperlink r:id="rId1103" ref="N369"/>
    <hyperlink r:id="rId1104" ref="O369"/>
    <hyperlink r:id="rId1105" ref="M370"/>
    <hyperlink r:id="rId1106" ref="N370"/>
    <hyperlink r:id="rId1107" ref="O370"/>
    <hyperlink r:id="rId1108" ref="M371"/>
    <hyperlink r:id="rId1109" ref="N371"/>
    <hyperlink r:id="rId1110" ref="O371"/>
    <hyperlink r:id="rId1111" ref="M372"/>
    <hyperlink r:id="rId1112" ref="N372"/>
    <hyperlink r:id="rId1113" ref="O372"/>
    <hyperlink r:id="rId1114" ref="M373"/>
    <hyperlink r:id="rId1115" ref="N373"/>
    <hyperlink r:id="rId1116" ref="O373"/>
    <hyperlink r:id="rId1117" ref="M374"/>
    <hyperlink r:id="rId1118" ref="N374"/>
    <hyperlink r:id="rId1119" ref="O374"/>
    <hyperlink r:id="rId1120" ref="M375"/>
    <hyperlink r:id="rId1121" ref="N375"/>
    <hyperlink r:id="rId1122" ref="O375"/>
    <hyperlink r:id="rId1123" ref="M376"/>
    <hyperlink r:id="rId1124" ref="N376"/>
    <hyperlink r:id="rId1125" ref="O376"/>
    <hyperlink r:id="rId1126" ref="M377"/>
    <hyperlink r:id="rId1127" ref="N377"/>
    <hyperlink r:id="rId1128" ref="O377"/>
    <hyperlink r:id="rId1129" ref="M378"/>
    <hyperlink r:id="rId1130" ref="N378"/>
    <hyperlink r:id="rId1131" ref="O378"/>
    <hyperlink r:id="rId1132" ref="M379"/>
    <hyperlink r:id="rId1133" ref="N379"/>
    <hyperlink r:id="rId1134" ref="O379"/>
    <hyperlink r:id="rId1135" ref="M380"/>
    <hyperlink r:id="rId1136" ref="N380"/>
    <hyperlink r:id="rId1137" ref="O380"/>
    <hyperlink r:id="rId1138" ref="M381"/>
    <hyperlink r:id="rId1139" ref="N381"/>
    <hyperlink r:id="rId1140" ref="O381"/>
    <hyperlink r:id="rId1141" ref="M382"/>
    <hyperlink r:id="rId1142" ref="N382"/>
    <hyperlink r:id="rId1143" ref="O382"/>
    <hyperlink r:id="rId1144" ref="M383"/>
    <hyperlink r:id="rId1145" ref="N383"/>
    <hyperlink r:id="rId1146" ref="O383"/>
    <hyperlink r:id="rId1147" ref="M384"/>
    <hyperlink r:id="rId1148" ref="N384"/>
    <hyperlink r:id="rId1149" ref="O384"/>
    <hyperlink r:id="rId1150" ref="M385"/>
    <hyperlink r:id="rId1151" ref="N385"/>
    <hyperlink r:id="rId1152" ref="O385"/>
    <hyperlink r:id="rId1153" ref="M386"/>
    <hyperlink r:id="rId1154" ref="N386"/>
    <hyperlink r:id="rId1155" ref="O386"/>
    <hyperlink r:id="rId1156" ref="M387"/>
    <hyperlink r:id="rId1157" ref="N387"/>
    <hyperlink r:id="rId1158" ref="O387"/>
    <hyperlink r:id="rId1159" ref="M388"/>
    <hyperlink r:id="rId1160" ref="N388"/>
    <hyperlink r:id="rId1161" ref="O388"/>
    <hyperlink r:id="rId1162" ref="M389"/>
    <hyperlink r:id="rId1163" ref="N389"/>
    <hyperlink r:id="rId1164" ref="O389"/>
    <hyperlink r:id="rId1165" ref="M390"/>
    <hyperlink r:id="rId1166" ref="N390"/>
    <hyperlink r:id="rId1167" ref="O390"/>
    <hyperlink r:id="rId1168" ref="M391"/>
    <hyperlink r:id="rId1169" ref="N391"/>
    <hyperlink r:id="rId1170" ref="O391"/>
    <hyperlink r:id="rId1171" ref="M392"/>
    <hyperlink r:id="rId1172" ref="N392"/>
    <hyperlink r:id="rId1173" ref="O392"/>
    <hyperlink r:id="rId1174" ref="M393"/>
    <hyperlink r:id="rId1175" ref="N393"/>
    <hyperlink r:id="rId1176" ref="O393"/>
    <hyperlink r:id="rId1177" ref="M394"/>
    <hyperlink r:id="rId1178" ref="N394"/>
    <hyperlink r:id="rId1179" ref="O394"/>
    <hyperlink r:id="rId1180" ref="M395"/>
    <hyperlink r:id="rId1181" ref="N395"/>
    <hyperlink r:id="rId1182" ref="O395"/>
    <hyperlink r:id="rId1183" ref="M396"/>
    <hyperlink r:id="rId1184" ref="N396"/>
    <hyperlink r:id="rId1185" ref="O396"/>
    <hyperlink r:id="rId1186" ref="M397"/>
    <hyperlink r:id="rId1187" ref="N397"/>
    <hyperlink r:id="rId1188" ref="O397"/>
    <hyperlink r:id="rId1189" ref="M398"/>
    <hyperlink r:id="rId1190" ref="N398"/>
    <hyperlink r:id="rId1191" ref="O398"/>
    <hyperlink r:id="rId1192" ref="M399"/>
    <hyperlink r:id="rId1193" ref="N399"/>
    <hyperlink r:id="rId1194" ref="O399"/>
    <hyperlink r:id="rId1195" ref="M400"/>
    <hyperlink r:id="rId1196" ref="N400"/>
    <hyperlink r:id="rId1197" ref="O400"/>
    <hyperlink r:id="rId1198" ref="M401"/>
    <hyperlink r:id="rId1199" ref="N401"/>
    <hyperlink r:id="rId1200" ref="O401"/>
    <hyperlink r:id="rId1201" ref="M402"/>
    <hyperlink r:id="rId1202" ref="N402"/>
    <hyperlink r:id="rId1203" ref="O402"/>
    <hyperlink r:id="rId1204" ref="M403"/>
    <hyperlink r:id="rId1205" ref="N403"/>
    <hyperlink r:id="rId1206" ref="O403"/>
    <hyperlink r:id="rId1207" ref="M404"/>
    <hyperlink r:id="rId1208" ref="N404"/>
    <hyperlink r:id="rId1209" ref="O404"/>
    <hyperlink r:id="rId1210" ref="M405"/>
    <hyperlink r:id="rId1211" ref="N405"/>
    <hyperlink r:id="rId1212" ref="O405"/>
    <hyperlink r:id="rId1213" ref="M406"/>
    <hyperlink r:id="rId1214" ref="N406"/>
    <hyperlink r:id="rId1215" ref="O406"/>
    <hyperlink r:id="rId1216" ref="M407"/>
    <hyperlink r:id="rId1217" ref="N407"/>
    <hyperlink r:id="rId1218" ref="O407"/>
    <hyperlink r:id="rId1219" ref="M408"/>
    <hyperlink r:id="rId1220" ref="N408"/>
    <hyperlink r:id="rId1221" ref="O408"/>
    <hyperlink r:id="rId1222" ref="M409"/>
    <hyperlink r:id="rId1223" ref="N409"/>
    <hyperlink r:id="rId1224" ref="O409"/>
    <hyperlink r:id="rId1225" ref="M410"/>
    <hyperlink r:id="rId1226" ref="N410"/>
    <hyperlink r:id="rId1227" ref="O410"/>
    <hyperlink r:id="rId1228" ref="M411"/>
    <hyperlink r:id="rId1229" ref="N411"/>
    <hyperlink r:id="rId1230" ref="O411"/>
    <hyperlink r:id="rId1231" ref="M412"/>
    <hyperlink r:id="rId1232" ref="N412"/>
    <hyperlink r:id="rId1233" ref="O412"/>
    <hyperlink r:id="rId1234" ref="M413"/>
    <hyperlink r:id="rId1235" ref="N413"/>
    <hyperlink r:id="rId1236" ref="O413"/>
    <hyperlink r:id="rId1237" ref="M414"/>
    <hyperlink r:id="rId1238" ref="N414"/>
    <hyperlink r:id="rId1239" ref="O414"/>
    <hyperlink r:id="rId1240" ref="M415"/>
    <hyperlink r:id="rId1241" ref="N415"/>
    <hyperlink r:id="rId1242" ref="O415"/>
    <hyperlink r:id="rId1243" ref="M416"/>
    <hyperlink r:id="rId1244" ref="N416"/>
    <hyperlink r:id="rId1245" ref="O416"/>
    <hyperlink r:id="rId1246" ref="M417"/>
    <hyperlink r:id="rId1247" ref="N417"/>
    <hyperlink r:id="rId1248" ref="O417"/>
    <hyperlink r:id="rId1249" ref="M418"/>
    <hyperlink r:id="rId1250" ref="N418"/>
    <hyperlink r:id="rId1251" ref="O418"/>
    <hyperlink r:id="rId1252" ref="M419"/>
    <hyperlink r:id="rId1253" ref="N419"/>
    <hyperlink r:id="rId1254" ref="O419"/>
    <hyperlink r:id="rId1255" ref="M420"/>
    <hyperlink r:id="rId1256" ref="N420"/>
    <hyperlink r:id="rId1257" ref="O420"/>
    <hyperlink r:id="rId1258" ref="M421"/>
    <hyperlink r:id="rId1259" ref="N421"/>
    <hyperlink r:id="rId1260" ref="O421"/>
    <hyperlink r:id="rId1261" ref="M422"/>
    <hyperlink r:id="rId1262" ref="N422"/>
    <hyperlink r:id="rId1263" ref="O422"/>
    <hyperlink r:id="rId1264" ref="M423"/>
    <hyperlink r:id="rId1265" ref="N423"/>
    <hyperlink r:id="rId1266" ref="O423"/>
    <hyperlink r:id="rId1267" ref="M424"/>
    <hyperlink r:id="rId1268" ref="N424"/>
    <hyperlink r:id="rId1269" ref="O424"/>
    <hyperlink r:id="rId1270" ref="M425"/>
    <hyperlink r:id="rId1271" ref="N425"/>
    <hyperlink r:id="rId1272" ref="O425"/>
    <hyperlink r:id="rId1273" ref="M426"/>
    <hyperlink r:id="rId1274" ref="N426"/>
    <hyperlink r:id="rId1275" ref="O426"/>
    <hyperlink r:id="rId1276" ref="M427"/>
    <hyperlink r:id="rId1277" ref="N427"/>
    <hyperlink r:id="rId1278" ref="O427"/>
    <hyperlink r:id="rId1279" ref="M428"/>
    <hyperlink r:id="rId1280" ref="N428"/>
    <hyperlink r:id="rId1281" ref="O428"/>
    <hyperlink r:id="rId1282" ref="M429"/>
    <hyperlink r:id="rId1283" ref="N429"/>
    <hyperlink r:id="rId1284" ref="O429"/>
    <hyperlink r:id="rId1285" ref="M430"/>
    <hyperlink r:id="rId1286" ref="N430"/>
    <hyperlink r:id="rId1287" ref="O430"/>
    <hyperlink r:id="rId1288" ref="M431"/>
    <hyperlink r:id="rId1289" ref="N431"/>
    <hyperlink r:id="rId1290" ref="O431"/>
    <hyperlink r:id="rId1291" ref="M432"/>
    <hyperlink r:id="rId1292" ref="N432"/>
    <hyperlink r:id="rId1293" ref="O432"/>
    <hyperlink r:id="rId1294" ref="M433"/>
    <hyperlink r:id="rId1295" ref="N433"/>
    <hyperlink r:id="rId1296" ref="O433"/>
    <hyperlink r:id="rId1297" ref="M434"/>
    <hyperlink r:id="rId1298" ref="N434"/>
    <hyperlink r:id="rId1299" ref="O434"/>
    <hyperlink r:id="rId1300" ref="M435"/>
    <hyperlink r:id="rId1301" ref="N435"/>
    <hyperlink r:id="rId1302" ref="O435"/>
    <hyperlink r:id="rId1303" ref="M436"/>
    <hyperlink r:id="rId1304" ref="N436"/>
    <hyperlink r:id="rId1305" ref="O436"/>
    <hyperlink r:id="rId1306" ref="M437"/>
    <hyperlink r:id="rId1307" ref="N437"/>
    <hyperlink r:id="rId1308" ref="O437"/>
    <hyperlink r:id="rId1309" ref="M438"/>
    <hyperlink r:id="rId1310" ref="N438"/>
    <hyperlink r:id="rId1311" ref="O438"/>
    <hyperlink r:id="rId1312" ref="M439"/>
    <hyperlink r:id="rId1313" ref="N439"/>
    <hyperlink r:id="rId1314" ref="O439"/>
    <hyperlink r:id="rId1315" ref="M440"/>
    <hyperlink r:id="rId1316" ref="N440"/>
    <hyperlink r:id="rId1317" ref="O440"/>
    <hyperlink r:id="rId1318" ref="M441"/>
    <hyperlink r:id="rId1319" ref="N441"/>
    <hyperlink r:id="rId1320" ref="O441"/>
    <hyperlink r:id="rId1321" ref="M442"/>
    <hyperlink r:id="rId1322" ref="N442"/>
    <hyperlink r:id="rId1323" ref="O442"/>
    <hyperlink r:id="rId1324" ref="M443"/>
    <hyperlink r:id="rId1325" ref="N443"/>
    <hyperlink r:id="rId1326" ref="O443"/>
    <hyperlink r:id="rId1327" ref="M444"/>
    <hyperlink r:id="rId1328" ref="N444"/>
    <hyperlink r:id="rId1329" ref="O444"/>
    <hyperlink r:id="rId1330" ref="M445"/>
    <hyperlink r:id="rId1331" ref="N445"/>
    <hyperlink r:id="rId1332" ref="O445"/>
    <hyperlink r:id="rId1333" ref="M446"/>
    <hyperlink r:id="rId1334" ref="N446"/>
    <hyperlink r:id="rId1335" ref="O446"/>
    <hyperlink r:id="rId1336" ref="M447"/>
    <hyperlink r:id="rId1337" ref="N447"/>
    <hyperlink r:id="rId1338" ref="O447"/>
    <hyperlink r:id="rId1339" ref="M448"/>
    <hyperlink r:id="rId1340" ref="N448"/>
    <hyperlink r:id="rId1341" ref="O448"/>
    <hyperlink r:id="rId1342" ref="M449"/>
    <hyperlink r:id="rId1343" ref="N449"/>
    <hyperlink r:id="rId1344" ref="O449"/>
    <hyperlink r:id="rId1345" ref="M450"/>
    <hyperlink r:id="rId1346" ref="N450"/>
    <hyperlink r:id="rId1347" ref="O450"/>
    <hyperlink r:id="rId1348" ref="M451"/>
    <hyperlink r:id="rId1349" ref="N451"/>
    <hyperlink r:id="rId1350" ref="O451"/>
    <hyperlink r:id="rId1351" ref="M452"/>
    <hyperlink r:id="rId1352" ref="N452"/>
    <hyperlink r:id="rId1353" ref="O452"/>
    <hyperlink r:id="rId1354" ref="M453"/>
    <hyperlink r:id="rId1355" ref="N453"/>
    <hyperlink r:id="rId1356" ref="O453"/>
    <hyperlink r:id="rId1357" ref="M454"/>
    <hyperlink r:id="rId1358" ref="N454"/>
    <hyperlink r:id="rId1359" ref="O454"/>
    <hyperlink r:id="rId1360" ref="M455"/>
    <hyperlink r:id="rId1361" ref="N455"/>
    <hyperlink r:id="rId1362" ref="O455"/>
    <hyperlink r:id="rId1363" ref="M456"/>
    <hyperlink r:id="rId1364" ref="N456"/>
    <hyperlink r:id="rId1365" ref="O456"/>
    <hyperlink r:id="rId1366" ref="M457"/>
    <hyperlink r:id="rId1367" ref="N457"/>
    <hyperlink r:id="rId1368" ref="O457"/>
    <hyperlink r:id="rId1369" ref="M458"/>
    <hyperlink r:id="rId1370" ref="N458"/>
    <hyperlink r:id="rId1371" ref="O458"/>
    <hyperlink r:id="rId1372" ref="M459"/>
    <hyperlink r:id="rId1373" ref="N459"/>
    <hyperlink r:id="rId1374" ref="O459"/>
    <hyperlink r:id="rId1375" ref="M460"/>
    <hyperlink r:id="rId1376" ref="N460"/>
    <hyperlink r:id="rId1377" ref="O460"/>
    <hyperlink r:id="rId1378" ref="M461"/>
    <hyperlink r:id="rId1379" ref="N461"/>
    <hyperlink r:id="rId1380" ref="O461"/>
    <hyperlink r:id="rId1381" ref="M462"/>
    <hyperlink r:id="rId1382" ref="N462"/>
    <hyperlink r:id="rId1383" ref="O462"/>
    <hyperlink r:id="rId1384" ref="M463"/>
    <hyperlink r:id="rId1385" ref="N463"/>
    <hyperlink r:id="rId1386" ref="O463"/>
    <hyperlink r:id="rId1387" ref="M464"/>
    <hyperlink r:id="rId1388" ref="N464"/>
    <hyperlink r:id="rId1389" ref="O464"/>
    <hyperlink r:id="rId1390" ref="M465"/>
    <hyperlink r:id="rId1391" ref="N465"/>
    <hyperlink r:id="rId1392" ref="O465"/>
    <hyperlink r:id="rId1393" ref="M466"/>
    <hyperlink r:id="rId1394" ref="N466"/>
    <hyperlink r:id="rId1395" ref="O466"/>
    <hyperlink r:id="rId1396" ref="M467"/>
    <hyperlink r:id="rId1397" ref="N467"/>
    <hyperlink r:id="rId1398" ref="O467"/>
    <hyperlink r:id="rId1399" ref="M468"/>
    <hyperlink r:id="rId1400" ref="N468"/>
    <hyperlink r:id="rId1401" ref="O468"/>
    <hyperlink r:id="rId1402" ref="M469"/>
    <hyperlink r:id="rId1403" ref="N469"/>
    <hyperlink r:id="rId1404" ref="O469"/>
    <hyperlink r:id="rId1405" ref="M470"/>
    <hyperlink r:id="rId1406" ref="N470"/>
    <hyperlink r:id="rId1407" ref="O470"/>
    <hyperlink r:id="rId1408" ref="M471"/>
    <hyperlink r:id="rId1409" ref="N471"/>
    <hyperlink r:id="rId1410" ref="O471"/>
    <hyperlink r:id="rId1411" ref="M472"/>
    <hyperlink r:id="rId1412" ref="N472"/>
    <hyperlink r:id="rId1413" ref="O472"/>
    <hyperlink r:id="rId1414" ref="M473"/>
    <hyperlink r:id="rId1415" ref="N473"/>
    <hyperlink r:id="rId1416" ref="O473"/>
    <hyperlink r:id="rId1417" ref="M474"/>
    <hyperlink r:id="rId1418" ref="N474"/>
    <hyperlink r:id="rId1419" ref="O474"/>
    <hyperlink r:id="rId1420" ref="M475"/>
    <hyperlink r:id="rId1421" ref="N475"/>
    <hyperlink r:id="rId1422" ref="O475"/>
    <hyperlink r:id="rId1423" ref="M476"/>
    <hyperlink r:id="rId1424" ref="N476"/>
    <hyperlink r:id="rId1425" ref="O476"/>
    <hyperlink r:id="rId1426" ref="M477"/>
    <hyperlink r:id="rId1427" ref="N477"/>
    <hyperlink r:id="rId1428" ref="O477"/>
    <hyperlink r:id="rId1429" ref="M478"/>
    <hyperlink r:id="rId1430" ref="N478"/>
    <hyperlink r:id="rId1431" ref="O478"/>
    <hyperlink r:id="rId1432" ref="M479"/>
    <hyperlink r:id="rId1433" ref="N479"/>
    <hyperlink r:id="rId1434" ref="O479"/>
    <hyperlink r:id="rId1435" ref="M480"/>
    <hyperlink r:id="rId1436" ref="N480"/>
    <hyperlink r:id="rId1437" ref="O480"/>
    <hyperlink r:id="rId1438" ref="M481"/>
    <hyperlink r:id="rId1439" ref="N481"/>
    <hyperlink r:id="rId1440" ref="O481"/>
    <hyperlink r:id="rId1441" ref="M482"/>
    <hyperlink r:id="rId1442" ref="N482"/>
    <hyperlink r:id="rId1443" ref="O482"/>
    <hyperlink r:id="rId1444" ref="M483"/>
    <hyperlink r:id="rId1445" ref="N483"/>
    <hyperlink r:id="rId1446" ref="O483"/>
    <hyperlink r:id="rId1447" ref="M484"/>
    <hyperlink r:id="rId1448" ref="N484"/>
    <hyperlink r:id="rId1449" ref="O484"/>
    <hyperlink r:id="rId1450" ref="M485"/>
    <hyperlink r:id="rId1451" ref="N485"/>
    <hyperlink r:id="rId1452" ref="O485"/>
    <hyperlink r:id="rId1453" ref="M486"/>
    <hyperlink r:id="rId1454" ref="N486"/>
    <hyperlink r:id="rId1455" ref="O486"/>
    <hyperlink r:id="rId1456" ref="M487"/>
    <hyperlink r:id="rId1457" ref="N487"/>
    <hyperlink r:id="rId1458" ref="O487"/>
    <hyperlink r:id="rId1459" ref="M488"/>
    <hyperlink r:id="rId1460" ref="N488"/>
    <hyperlink r:id="rId1461" ref="O488"/>
    <hyperlink r:id="rId1462" ref="M489"/>
    <hyperlink r:id="rId1463" ref="N489"/>
    <hyperlink r:id="rId1464" ref="O489"/>
    <hyperlink r:id="rId1465" ref="M490"/>
    <hyperlink r:id="rId1466" ref="N490"/>
    <hyperlink r:id="rId1467" ref="O490"/>
    <hyperlink r:id="rId1468" ref="M491"/>
    <hyperlink r:id="rId1469" ref="N491"/>
    <hyperlink r:id="rId1470" ref="O491"/>
    <hyperlink r:id="rId1471" ref="M492"/>
    <hyperlink r:id="rId1472" ref="N492"/>
    <hyperlink r:id="rId1473" ref="O492"/>
    <hyperlink r:id="rId1474" ref="M493"/>
    <hyperlink r:id="rId1475" ref="N493"/>
    <hyperlink r:id="rId1476" ref="O493"/>
    <hyperlink r:id="rId1477" ref="M494"/>
    <hyperlink r:id="rId1478" ref="N494"/>
    <hyperlink r:id="rId1479" ref="O494"/>
    <hyperlink r:id="rId1480" ref="M495"/>
    <hyperlink r:id="rId1481" ref="N495"/>
    <hyperlink r:id="rId1482" ref="O495"/>
    <hyperlink r:id="rId1483" ref="M496"/>
    <hyperlink r:id="rId1484" ref="N496"/>
    <hyperlink r:id="rId1485" ref="O496"/>
    <hyperlink r:id="rId1486" ref="M497"/>
    <hyperlink r:id="rId1487" ref="N497"/>
    <hyperlink r:id="rId1488" ref="O497"/>
    <hyperlink r:id="rId1489" ref="M498"/>
    <hyperlink r:id="rId1490" ref="N498"/>
    <hyperlink r:id="rId1491" ref="O498"/>
    <hyperlink r:id="rId1492" ref="M499"/>
    <hyperlink r:id="rId1493" ref="N499"/>
    <hyperlink r:id="rId1494" ref="O499"/>
    <hyperlink r:id="rId1495" ref="M500"/>
    <hyperlink r:id="rId1496" ref="N500"/>
    <hyperlink r:id="rId1497" ref="O500"/>
    <hyperlink r:id="rId1498" ref="M501"/>
    <hyperlink r:id="rId1499" ref="N501"/>
    <hyperlink r:id="rId1500" ref="O501"/>
    <hyperlink r:id="rId1501" ref="M502"/>
    <hyperlink r:id="rId1502" ref="N502"/>
    <hyperlink r:id="rId1503" ref="O502"/>
    <hyperlink r:id="rId1504" ref="M503"/>
    <hyperlink r:id="rId1505" ref="N503"/>
    <hyperlink r:id="rId1506" ref="O503"/>
    <hyperlink r:id="rId1507" ref="M504"/>
    <hyperlink r:id="rId1508" ref="N504"/>
    <hyperlink r:id="rId1509" ref="O504"/>
    <hyperlink r:id="rId1510" ref="M505"/>
    <hyperlink r:id="rId1511" ref="N505"/>
    <hyperlink r:id="rId1512" ref="O505"/>
    <hyperlink r:id="rId1513" ref="M506"/>
    <hyperlink r:id="rId1514" ref="N506"/>
    <hyperlink r:id="rId1515" ref="O506"/>
    <hyperlink r:id="rId1516" ref="M507"/>
    <hyperlink r:id="rId1517" ref="N507"/>
    <hyperlink r:id="rId1518" ref="O507"/>
    <hyperlink r:id="rId1519" ref="M508"/>
    <hyperlink r:id="rId1520" ref="N508"/>
    <hyperlink r:id="rId1521" ref="O508"/>
    <hyperlink r:id="rId1522" ref="M509"/>
    <hyperlink r:id="rId1523" ref="N509"/>
    <hyperlink r:id="rId1524" ref="O509"/>
    <hyperlink r:id="rId1525" ref="M510"/>
    <hyperlink r:id="rId1526" ref="N510"/>
    <hyperlink r:id="rId1527" ref="O510"/>
    <hyperlink r:id="rId1528" ref="M511"/>
    <hyperlink r:id="rId1529" ref="N511"/>
    <hyperlink r:id="rId1530" ref="O511"/>
    <hyperlink r:id="rId1531" ref="M512"/>
    <hyperlink r:id="rId1532" ref="N512"/>
    <hyperlink r:id="rId1533" ref="O512"/>
    <hyperlink r:id="rId1534" ref="M513"/>
    <hyperlink r:id="rId1535" ref="N513"/>
    <hyperlink r:id="rId1536" ref="O513"/>
    <hyperlink r:id="rId1537" ref="M514"/>
    <hyperlink r:id="rId1538" ref="N514"/>
    <hyperlink r:id="rId1539" ref="O514"/>
    <hyperlink r:id="rId1540" ref="M515"/>
    <hyperlink r:id="rId1541" ref="N515"/>
    <hyperlink r:id="rId1542" ref="O515"/>
    <hyperlink r:id="rId1543" ref="M516"/>
    <hyperlink r:id="rId1544" ref="N516"/>
    <hyperlink r:id="rId1545" ref="O516"/>
    <hyperlink r:id="rId1546" ref="M517"/>
    <hyperlink r:id="rId1547" ref="N517"/>
    <hyperlink r:id="rId1548" ref="O517"/>
    <hyperlink r:id="rId1549" ref="M518"/>
    <hyperlink r:id="rId1550" ref="N518"/>
    <hyperlink r:id="rId1551" ref="O518"/>
    <hyperlink r:id="rId1552" ref="M519"/>
    <hyperlink r:id="rId1553" ref="N519"/>
    <hyperlink r:id="rId1554" ref="O519"/>
    <hyperlink r:id="rId1555" ref="M520"/>
    <hyperlink r:id="rId1556" ref="N520"/>
    <hyperlink r:id="rId1557" ref="O520"/>
    <hyperlink r:id="rId1558" ref="M521"/>
    <hyperlink r:id="rId1559" ref="N521"/>
    <hyperlink r:id="rId1560" ref="O521"/>
    <hyperlink r:id="rId1561" ref="M522"/>
    <hyperlink r:id="rId1562" ref="N522"/>
    <hyperlink r:id="rId1563" ref="O522"/>
    <hyperlink r:id="rId1564" ref="M523"/>
    <hyperlink r:id="rId1565" ref="N523"/>
    <hyperlink r:id="rId1566" ref="O523"/>
    <hyperlink r:id="rId1567" ref="M524"/>
    <hyperlink r:id="rId1568" ref="N524"/>
    <hyperlink r:id="rId1569" ref="O524"/>
    <hyperlink r:id="rId1570" ref="M525"/>
    <hyperlink r:id="rId1571" ref="N525"/>
    <hyperlink r:id="rId1572" ref="O525"/>
    <hyperlink r:id="rId1573" ref="M526"/>
    <hyperlink r:id="rId1574" ref="N526"/>
    <hyperlink r:id="rId1575" ref="O526"/>
    <hyperlink r:id="rId1576" ref="M527"/>
    <hyperlink r:id="rId1577" ref="N527"/>
    <hyperlink r:id="rId1578" ref="O527"/>
    <hyperlink r:id="rId1579" ref="M528"/>
    <hyperlink r:id="rId1580" ref="N528"/>
    <hyperlink r:id="rId1581" ref="O528"/>
    <hyperlink r:id="rId1582" ref="M529"/>
    <hyperlink r:id="rId1583" ref="N529"/>
    <hyperlink r:id="rId1584" ref="O529"/>
    <hyperlink r:id="rId1585" ref="M530"/>
    <hyperlink r:id="rId1586" ref="N530"/>
    <hyperlink r:id="rId1587" ref="O530"/>
    <hyperlink r:id="rId1588" ref="M531"/>
    <hyperlink r:id="rId1589" ref="N531"/>
    <hyperlink r:id="rId1590" ref="O531"/>
    <hyperlink r:id="rId1591" ref="M532"/>
    <hyperlink r:id="rId1592" ref="N532"/>
    <hyperlink r:id="rId1593" ref="O532"/>
    <hyperlink r:id="rId1594" ref="M533"/>
    <hyperlink r:id="rId1595" ref="N533"/>
    <hyperlink r:id="rId1596" ref="O533"/>
    <hyperlink r:id="rId1597" ref="M534"/>
    <hyperlink r:id="rId1598" ref="N534"/>
    <hyperlink r:id="rId1599" ref="O534"/>
    <hyperlink r:id="rId1600" ref="M535"/>
    <hyperlink r:id="rId1601" ref="N535"/>
    <hyperlink r:id="rId1602" ref="O535"/>
    <hyperlink r:id="rId1603" ref="M536"/>
    <hyperlink r:id="rId1604" ref="N536"/>
    <hyperlink r:id="rId1605" ref="O536"/>
    <hyperlink r:id="rId1606" ref="M537"/>
    <hyperlink r:id="rId1607" ref="N537"/>
    <hyperlink r:id="rId1608" ref="O537"/>
    <hyperlink r:id="rId1609" ref="M538"/>
    <hyperlink r:id="rId1610" ref="N538"/>
    <hyperlink r:id="rId1611" ref="O538"/>
    <hyperlink r:id="rId1612" ref="M539"/>
    <hyperlink r:id="rId1613" ref="N539"/>
    <hyperlink r:id="rId1614" ref="O539"/>
    <hyperlink r:id="rId1615" ref="M540"/>
    <hyperlink r:id="rId1616" ref="N540"/>
    <hyperlink r:id="rId1617" ref="O540"/>
    <hyperlink r:id="rId1618" ref="M541"/>
    <hyperlink r:id="rId1619" ref="N541"/>
    <hyperlink r:id="rId1620" ref="O541"/>
    <hyperlink r:id="rId1621" ref="M542"/>
    <hyperlink r:id="rId1622" ref="N542"/>
    <hyperlink r:id="rId1623" ref="O542"/>
    <hyperlink r:id="rId1624" ref="M543"/>
    <hyperlink r:id="rId1625" ref="N543"/>
    <hyperlink r:id="rId1626" ref="O543"/>
    <hyperlink r:id="rId1627" ref="M544"/>
    <hyperlink r:id="rId1628" ref="N544"/>
    <hyperlink r:id="rId1629" ref="O544"/>
    <hyperlink r:id="rId1630" ref="M545"/>
    <hyperlink r:id="rId1631" ref="N545"/>
    <hyperlink r:id="rId1632" ref="O545"/>
    <hyperlink r:id="rId1633" ref="M546"/>
    <hyperlink r:id="rId1634" ref="N546"/>
    <hyperlink r:id="rId1635" ref="O546"/>
    <hyperlink r:id="rId1636" ref="M547"/>
    <hyperlink r:id="rId1637" ref="N547"/>
    <hyperlink r:id="rId1638" ref="O547"/>
    <hyperlink r:id="rId1639" ref="M548"/>
    <hyperlink r:id="rId1640" ref="N548"/>
    <hyperlink r:id="rId1641" ref="O548"/>
    <hyperlink r:id="rId1642" ref="M549"/>
    <hyperlink r:id="rId1643" ref="N549"/>
    <hyperlink r:id="rId1644" ref="O549"/>
    <hyperlink r:id="rId1645" ref="M550"/>
    <hyperlink r:id="rId1646" ref="N550"/>
    <hyperlink r:id="rId1647" ref="O550"/>
    <hyperlink r:id="rId1648" ref="M551"/>
    <hyperlink r:id="rId1649" ref="N551"/>
    <hyperlink r:id="rId1650" ref="O551"/>
    <hyperlink r:id="rId1651" ref="M552"/>
    <hyperlink r:id="rId1652" ref="N552"/>
    <hyperlink r:id="rId1653" ref="O552"/>
    <hyperlink r:id="rId1654" ref="M553"/>
    <hyperlink r:id="rId1655" ref="N553"/>
    <hyperlink r:id="rId1656" ref="O553"/>
    <hyperlink r:id="rId1657" ref="M554"/>
    <hyperlink r:id="rId1658" ref="N554"/>
    <hyperlink r:id="rId1659" ref="O554"/>
    <hyperlink r:id="rId1660" ref="M555"/>
    <hyperlink r:id="rId1661" ref="N555"/>
    <hyperlink r:id="rId1662" ref="O555"/>
    <hyperlink r:id="rId1663" ref="M556"/>
    <hyperlink r:id="rId1664" ref="N556"/>
    <hyperlink r:id="rId1665" ref="O556"/>
    <hyperlink r:id="rId1666" ref="M557"/>
    <hyperlink r:id="rId1667" ref="N557"/>
    <hyperlink r:id="rId1668" ref="O557"/>
    <hyperlink r:id="rId1669" ref="M558"/>
    <hyperlink r:id="rId1670" ref="N558"/>
    <hyperlink r:id="rId1671" ref="O558"/>
    <hyperlink r:id="rId1672" ref="M559"/>
    <hyperlink r:id="rId1673" ref="N559"/>
    <hyperlink r:id="rId1674" ref="O559"/>
    <hyperlink r:id="rId1675" ref="M560"/>
    <hyperlink r:id="rId1676" ref="N560"/>
    <hyperlink r:id="rId1677" ref="O560"/>
    <hyperlink r:id="rId1678" ref="M561"/>
    <hyperlink r:id="rId1679" ref="N561"/>
    <hyperlink r:id="rId1680" ref="O561"/>
    <hyperlink r:id="rId1681" ref="M562"/>
    <hyperlink r:id="rId1682" ref="N562"/>
    <hyperlink r:id="rId1683" ref="O562"/>
    <hyperlink r:id="rId1684" ref="M563"/>
    <hyperlink r:id="rId1685" ref="N563"/>
    <hyperlink r:id="rId1686" ref="O563"/>
    <hyperlink r:id="rId1687" ref="M564"/>
    <hyperlink r:id="rId1688" ref="N564"/>
    <hyperlink r:id="rId1689" ref="O564"/>
    <hyperlink r:id="rId1690" ref="M565"/>
    <hyperlink r:id="rId1691" ref="N565"/>
    <hyperlink r:id="rId1692" ref="O565"/>
    <hyperlink r:id="rId1693" ref="M566"/>
    <hyperlink r:id="rId1694" ref="N566"/>
    <hyperlink r:id="rId1695" ref="O566"/>
    <hyperlink r:id="rId1696" ref="M567"/>
    <hyperlink r:id="rId1697" ref="N567"/>
    <hyperlink r:id="rId1698" ref="O567"/>
    <hyperlink r:id="rId1699" ref="M568"/>
    <hyperlink r:id="rId1700" ref="N568"/>
    <hyperlink r:id="rId1701" ref="O568"/>
    <hyperlink r:id="rId1702" ref="M569"/>
    <hyperlink r:id="rId1703" ref="N569"/>
    <hyperlink r:id="rId1704" ref="O569"/>
    <hyperlink r:id="rId1705" ref="M570"/>
    <hyperlink r:id="rId1706" ref="N570"/>
    <hyperlink r:id="rId1707" ref="O570"/>
    <hyperlink r:id="rId1708" ref="M571"/>
    <hyperlink r:id="rId1709" ref="N571"/>
    <hyperlink r:id="rId1710" ref="O571"/>
    <hyperlink r:id="rId1711" ref="M572"/>
    <hyperlink r:id="rId1712" ref="N572"/>
    <hyperlink r:id="rId1713" ref="O572"/>
    <hyperlink r:id="rId1714" ref="M573"/>
    <hyperlink r:id="rId1715" ref="N573"/>
    <hyperlink r:id="rId1716" ref="O573"/>
    <hyperlink r:id="rId1717" ref="M574"/>
    <hyperlink r:id="rId1718" ref="N574"/>
    <hyperlink r:id="rId1719" ref="O574"/>
    <hyperlink r:id="rId1720" ref="M575"/>
    <hyperlink r:id="rId1721" ref="N575"/>
    <hyperlink r:id="rId1722" ref="O575"/>
    <hyperlink r:id="rId1723" ref="M576"/>
    <hyperlink r:id="rId1724" ref="N576"/>
    <hyperlink r:id="rId1725" ref="O576"/>
    <hyperlink r:id="rId1726" ref="M577"/>
    <hyperlink r:id="rId1727" ref="N577"/>
    <hyperlink r:id="rId1728" ref="O577"/>
    <hyperlink r:id="rId1729" ref="M578"/>
    <hyperlink r:id="rId1730" ref="N578"/>
    <hyperlink r:id="rId1731" ref="O578"/>
    <hyperlink r:id="rId1732" ref="M579"/>
    <hyperlink r:id="rId1733" ref="N579"/>
    <hyperlink r:id="rId1734" ref="O579"/>
    <hyperlink r:id="rId1735" ref="M580"/>
    <hyperlink r:id="rId1736" ref="N580"/>
    <hyperlink r:id="rId1737" ref="O580"/>
    <hyperlink r:id="rId1738" ref="M581"/>
    <hyperlink r:id="rId1739" ref="N581"/>
    <hyperlink r:id="rId1740" ref="O581"/>
    <hyperlink r:id="rId1741" ref="M582"/>
    <hyperlink r:id="rId1742" ref="N582"/>
    <hyperlink r:id="rId1743" ref="O582"/>
    <hyperlink r:id="rId1744" ref="M583"/>
    <hyperlink r:id="rId1745" ref="N583"/>
    <hyperlink r:id="rId1746" ref="O583"/>
    <hyperlink r:id="rId1747" ref="M584"/>
    <hyperlink r:id="rId1748" ref="N584"/>
    <hyperlink r:id="rId1749" ref="O584"/>
    <hyperlink r:id="rId1750" ref="M585"/>
    <hyperlink r:id="rId1751" ref="N585"/>
    <hyperlink r:id="rId1752" ref="O585"/>
    <hyperlink r:id="rId1753" ref="M586"/>
    <hyperlink r:id="rId1754" ref="N586"/>
    <hyperlink r:id="rId1755" ref="O586"/>
    <hyperlink r:id="rId1756" ref="M587"/>
    <hyperlink r:id="rId1757" ref="N587"/>
    <hyperlink r:id="rId1758" ref="O587"/>
    <hyperlink r:id="rId1759" ref="M588"/>
    <hyperlink r:id="rId1760" ref="N588"/>
    <hyperlink r:id="rId1761" ref="O588"/>
    <hyperlink r:id="rId1762" ref="M589"/>
    <hyperlink r:id="rId1763" ref="N589"/>
    <hyperlink r:id="rId1764" ref="O589"/>
    <hyperlink r:id="rId1765" ref="M590"/>
    <hyperlink r:id="rId1766" ref="N590"/>
    <hyperlink r:id="rId1767" ref="O590"/>
    <hyperlink r:id="rId1768" ref="M591"/>
    <hyperlink r:id="rId1769" ref="N591"/>
    <hyperlink r:id="rId1770" ref="O591"/>
    <hyperlink r:id="rId1771" ref="M592"/>
    <hyperlink r:id="rId1772" ref="N592"/>
    <hyperlink r:id="rId1773" ref="O592"/>
    <hyperlink r:id="rId1774" ref="M593"/>
    <hyperlink r:id="rId1775" ref="N593"/>
    <hyperlink r:id="rId1776" ref="O593"/>
    <hyperlink r:id="rId1777" ref="M594"/>
    <hyperlink r:id="rId1778" ref="N594"/>
    <hyperlink r:id="rId1779" ref="O594"/>
    <hyperlink r:id="rId1780" ref="M595"/>
    <hyperlink r:id="rId1781" ref="N595"/>
    <hyperlink r:id="rId1782" ref="O595"/>
    <hyperlink r:id="rId1783" ref="M596"/>
    <hyperlink r:id="rId1784" ref="N596"/>
    <hyperlink r:id="rId1785" ref="O596"/>
    <hyperlink r:id="rId1786" ref="M597"/>
    <hyperlink r:id="rId1787" ref="N597"/>
    <hyperlink r:id="rId1788" ref="O597"/>
    <hyperlink r:id="rId1789" ref="M598"/>
    <hyperlink r:id="rId1790" ref="N598"/>
    <hyperlink r:id="rId1791" ref="O598"/>
    <hyperlink r:id="rId1792" ref="M599"/>
    <hyperlink r:id="rId1793" ref="N599"/>
    <hyperlink r:id="rId1794" ref="O599"/>
    <hyperlink r:id="rId1795" ref="M600"/>
    <hyperlink r:id="rId1796" ref="N600"/>
    <hyperlink r:id="rId1797" ref="O600"/>
    <hyperlink r:id="rId1798" ref="M601"/>
    <hyperlink r:id="rId1799" ref="N601"/>
    <hyperlink r:id="rId1800" ref="O601"/>
    <hyperlink r:id="rId1801" ref="M602"/>
    <hyperlink r:id="rId1802" ref="N602"/>
    <hyperlink r:id="rId1803" ref="O602"/>
    <hyperlink r:id="rId1804" ref="M603"/>
    <hyperlink r:id="rId1805" ref="N603"/>
    <hyperlink r:id="rId1806" ref="O603"/>
    <hyperlink r:id="rId1807" ref="M604"/>
    <hyperlink r:id="rId1808" ref="N604"/>
    <hyperlink r:id="rId1809" ref="O604"/>
    <hyperlink r:id="rId1810" ref="M605"/>
    <hyperlink r:id="rId1811" ref="N605"/>
    <hyperlink r:id="rId1812" ref="O605"/>
    <hyperlink r:id="rId1813" ref="M606"/>
    <hyperlink r:id="rId1814" ref="N606"/>
    <hyperlink r:id="rId1815" ref="O606"/>
    <hyperlink r:id="rId1816" ref="M607"/>
    <hyperlink r:id="rId1817" ref="N607"/>
    <hyperlink r:id="rId1818" ref="O607"/>
    <hyperlink r:id="rId1819" ref="M608"/>
    <hyperlink r:id="rId1820" ref="N608"/>
    <hyperlink r:id="rId1821" ref="O608"/>
    <hyperlink r:id="rId1822" ref="M609"/>
    <hyperlink r:id="rId1823" ref="N609"/>
    <hyperlink r:id="rId1824" ref="O609"/>
    <hyperlink r:id="rId1825" ref="M610"/>
    <hyperlink r:id="rId1826" ref="N610"/>
    <hyperlink r:id="rId1827" ref="O610"/>
    <hyperlink r:id="rId1828" ref="M611"/>
    <hyperlink r:id="rId1829" ref="N611"/>
    <hyperlink r:id="rId1830" ref="O611"/>
    <hyperlink r:id="rId1831" ref="M612"/>
    <hyperlink r:id="rId1832" ref="N612"/>
    <hyperlink r:id="rId1833" ref="O612"/>
    <hyperlink r:id="rId1834" ref="M613"/>
    <hyperlink r:id="rId1835" ref="N613"/>
    <hyperlink r:id="rId1836" ref="O613"/>
    <hyperlink r:id="rId1837" ref="M614"/>
    <hyperlink r:id="rId1838" ref="N614"/>
    <hyperlink r:id="rId1839" ref="O614"/>
    <hyperlink r:id="rId1840" ref="M615"/>
    <hyperlink r:id="rId1841" ref="N615"/>
    <hyperlink r:id="rId1842" ref="O615"/>
    <hyperlink r:id="rId1843" ref="M616"/>
    <hyperlink r:id="rId1844" ref="N616"/>
    <hyperlink r:id="rId1845" ref="O616"/>
    <hyperlink r:id="rId1846" ref="M617"/>
    <hyperlink r:id="rId1847" ref="N617"/>
    <hyperlink r:id="rId1848" ref="O617"/>
    <hyperlink r:id="rId1849" ref="M618"/>
    <hyperlink r:id="rId1850" ref="N618"/>
    <hyperlink r:id="rId1851" ref="O618"/>
    <hyperlink r:id="rId1852" ref="M619"/>
    <hyperlink r:id="rId1853" ref="N619"/>
    <hyperlink r:id="rId1854" ref="O619"/>
    <hyperlink r:id="rId1855" ref="M620"/>
    <hyperlink r:id="rId1856" ref="N620"/>
    <hyperlink r:id="rId1857" ref="O620"/>
    <hyperlink r:id="rId1858" ref="M621"/>
    <hyperlink r:id="rId1859" ref="N621"/>
    <hyperlink r:id="rId1860" ref="O621"/>
    <hyperlink r:id="rId1861" ref="M622"/>
    <hyperlink r:id="rId1862" ref="N622"/>
    <hyperlink r:id="rId1863" ref="O622"/>
    <hyperlink r:id="rId1864" ref="M623"/>
    <hyperlink r:id="rId1865" ref="N623"/>
    <hyperlink r:id="rId1866" ref="O623"/>
    <hyperlink r:id="rId1867" ref="M624"/>
    <hyperlink r:id="rId1868" ref="N624"/>
    <hyperlink r:id="rId1869" ref="O624"/>
    <hyperlink r:id="rId1870" ref="M625"/>
    <hyperlink r:id="rId1871" ref="N625"/>
    <hyperlink r:id="rId1872" ref="O625"/>
    <hyperlink r:id="rId1873" ref="M626"/>
    <hyperlink r:id="rId1874" ref="N626"/>
    <hyperlink r:id="rId1875" ref="O626"/>
    <hyperlink r:id="rId1876" ref="M627"/>
    <hyperlink r:id="rId1877" ref="N627"/>
    <hyperlink r:id="rId1878" ref="O627"/>
    <hyperlink r:id="rId1879" ref="M628"/>
    <hyperlink r:id="rId1880" ref="N628"/>
    <hyperlink r:id="rId1881" ref="O628"/>
    <hyperlink r:id="rId1882" ref="M629"/>
    <hyperlink r:id="rId1883" ref="N629"/>
    <hyperlink r:id="rId1884" ref="O629"/>
    <hyperlink r:id="rId1885" ref="M630"/>
    <hyperlink r:id="rId1886" ref="N630"/>
    <hyperlink r:id="rId1887" ref="O630"/>
    <hyperlink r:id="rId1888" ref="M631"/>
    <hyperlink r:id="rId1889" ref="N631"/>
    <hyperlink r:id="rId1890" ref="O631"/>
    <hyperlink r:id="rId1891" ref="M632"/>
    <hyperlink r:id="rId1892" ref="N632"/>
    <hyperlink r:id="rId1893" ref="O632"/>
    <hyperlink r:id="rId1894" ref="M633"/>
    <hyperlink r:id="rId1895" ref="N633"/>
    <hyperlink r:id="rId1896" ref="O633"/>
    <hyperlink r:id="rId1897" ref="M634"/>
    <hyperlink r:id="rId1898" ref="N634"/>
    <hyperlink r:id="rId1899" ref="O634"/>
    <hyperlink r:id="rId1900" ref="M635"/>
    <hyperlink r:id="rId1901" ref="N635"/>
    <hyperlink r:id="rId1902" ref="O635"/>
    <hyperlink r:id="rId1903" ref="M636"/>
    <hyperlink r:id="rId1904" ref="N636"/>
    <hyperlink r:id="rId1905" ref="O636"/>
    <hyperlink r:id="rId1906" ref="M637"/>
    <hyperlink r:id="rId1907" ref="N637"/>
    <hyperlink r:id="rId1908" ref="O637"/>
    <hyperlink r:id="rId1909" ref="M638"/>
    <hyperlink r:id="rId1910" ref="N638"/>
    <hyperlink r:id="rId1911" ref="O638"/>
    <hyperlink r:id="rId1912" ref="M639"/>
    <hyperlink r:id="rId1913" ref="N639"/>
    <hyperlink r:id="rId1914" ref="O639"/>
    <hyperlink r:id="rId1915" ref="M640"/>
    <hyperlink r:id="rId1916" ref="N640"/>
    <hyperlink r:id="rId1917" ref="O640"/>
    <hyperlink r:id="rId1918" ref="M641"/>
    <hyperlink r:id="rId1919" ref="N641"/>
    <hyperlink r:id="rId1920" ref="O641"/>
    <hyperlink r:id="rId1921" ref="M642"/>
    <hyperlink r:id="rId1922" ref="N642"/>
    <hyperlink r:id="rId1923" ref="O642"/>
    <hyperlink r:id="rId1924" ref="M643"/>
    <hyperlink r:id="rId1925" ref="N643"/>
    <hyperlink r:id="rId1926" ref="O643"/>
    <hyperlink r:id="rId1927" ref="M644"/>
    <hyperlink r:id="rId1928" ref="N644"/>
    <hyperlink r:id="rId1929" ref="O644"/>
    <hyperlink r:id="rId1930" ref="M645"/>
    <hyperlink r:id="rId1931" ref="N645"/>
    <hyperlink r:id="rId1932" ref="O645"/>
    <hyperlink r:id="rId1933" ref="M646"/>
    <hyperlink r:id="rId1934" ref="N646"/>
    <hyperlink r:id="rId1935" ref="O646"/>
    <hyperlink r:id="rId1936" ref="M647"/>
    <hyperlink r:id="rId1937" ref="N647"/>
    <hyperlink r:id="rId1938" ref="O647"/>
    <hyperlink r:id="rId1939" ref="M648"/>
    <hyperlink r:id="rId1940" ref="N648"/>
    <hyperlink r:id="rId1941" ref="O648"/>
    <hyperlink r:id="rId1942" ref="M649"/>
    <hyperlink r:id="rId1943" ref="N649"/>
    <hyperlink r:id="rId1944" ref="O649"/>
    <hyperlink r:id="rId1945" ref="M650"/>
    <hyperlink r:id="rId1946" ref="N650"/>
    <hyperlink r:id="rId1947" ref="O650"/>
    <hyperlink r:id="rId1948" ref="M651"/>
    <hyperlink r:id="rId1949" ref="N651"/>
    <hyperlink r:id="rId1950" ref="O651"/>
    <hyperlink r:id="rId1951" ref="M652"/>
    <hyperlink r:id="rId1952" ref="N652"/>
    <hyperlink r:id="rId1953" ref="O652"/>
    <hyperlink r:id="rId1954" ref="M653"/>
    <hyperlink r:id="rId1955" ref="N653"/>
    <hyperlink r:id="rId1956" ref="O653"/>
    <hyperlink r:id="rId1957" ref="M654"/>
    <hyperlink r:id="rId1958" ref="N654"/>
    <hyperlink r:id="rId1959" ref="O654"/>
    <hyperlink r:id="rId1960" ref="M655"/>
    <hyperlink r:id="rId1961" ref="N655"/>
    <hyperlink r:id="rId1962" ref="O655"/>
    <hyperlink r:id="rId1963" ref="M656"/>
    <hyperlink r:id="rId1964" ref="N656"/>
    <hyperlink r:id="rId1965" ref="O656"/>
    <hyperlink r:id="rId1966" ref="M657"/>
    <hyperlink r:id="rId1967" ref="N657"/>
    <hyperlink r:id="rId1968" ref="O657"/>
    <hyperlink r:id="rId1969" ref="M658"/>
    <hyperlink r:id="rId1970" ref="N658"/>
    <hyperlink r:id="rId1971" ref="O658"/>
    <hyperlink r:id="rId1972" ref="M659"/>
    <hyperlink r:id="rId1973" ref="N659"/>
    <hyperlink r:id="rId1974" ref="O659"/>
    <hyperlink r:id="rId1975" ref="M660"/>
    <hyperlink r:id="rId1976" ref="N660"/>
    <hyperlink r:id="rId1977" ref="O660"/>
    <hyperlink r:id="rId1978" ref="M661"/>
    <hyperlink r:id="rId1979" ref="N661"/>
    <hyperlink r:id="rId1980" ref="O661"/>
    <hyperlink r:id="rId1981" ref="M662"/>
    <hyperlink r:id="rId1982" ref="N662"/>
    <hyperlink r:id="rId1983" ref="O662"/>
    <hyperlink r:id="rId1984" ref="M663"/>
    <hyperlink r:id="rId1985" ref="N663"/>
    <hyperlink r:id="rId1986" ref="O663"/>
    <hyperlink r:id="rId1987" ref="M664"/>
    <hyperlink r:id="rId1988" ref="N664"/>
    <hyperlink r:id="rId1989" ref="O664"/>
    <hyperlink r:id="rId1990" ref="M665"/>
    <hyperlink r:id="rId1991" ref="N665"/>
    <hyperlink r:id="rId1992" ref="O665"/>
    <hyperlink r:id="rId1993" ref="M666"/>
    <hyperlink r:id="rId1994" ref="N666"/>
    <hyperlink r:id="rId1995" ref="O666"/>
    <hyperlink r:id="rId1996" ref="M667"/>
    <hyperlink r:id="rId1997" ref="N667"/>
    <hyperlink r:id="rId1998" ref="O667"/>
    <hyperlink r:id="rId1999" ref="M668"/>
    <hyperlink r:id="rId2000" ref="N668"/>
    <hyperlink r:id="rId2001" ref="O668"/>
    <hyperlink r:id="rId2002" ref="M669"/>
    <hyperlink r:id="rId2003" ref="N669"/>
    <hyperlink r:id="rId2004" ref="O669"/>
    <hyperlink r:id="rId2005" ref="M670"/>
    <hyperlink r:id="rId2006" ref="N670"/>
    <hyperlink r:id="rId2007" ref="O670"/>
    <hyperlink r:id="rId2008" ref="M671"/>
    <hyperlink r:id="rId2009" ref="N671"/>
    <hyperlink r:id="rId2010" ref="O671"/>
    <hyperlink r:id="rId2011" ref="M672"/>
    <hyperlink r:id="rId2012" ref="N672"/>
    <hyperlink r:id="rId2013" ref="O672"/>
    <hyperlink r:id="rId2014" ref="M673"/>
    <hyperlink r:id="rId2015" ref="N673"/>
    <hyperlink r:id="rId2016" ref="O673"/>
    <hyperlink r:id="rId2017" ref="M674"/>
    <hyperlink r:id="rId2018" ref="N674"/>
    <hyperlink r:id="rId2019" ref="O674"/>
    <hyperlink r:id="rId2020" ref="M675"/>
    <hyperlink r:id="rId2021" ref="N675"/>
    <hyperlink r:id="rId2022" ref="O675"/>
    <hyperlink r:id="rId2023" ref="M676"/>
    <hyperlink r:id="rId2024" ref="N676"/>
    <hyperlink r:id="rId2025" ref="O676"/>
    <hyperlink r:id="rId2026" ref="M677"/>
    <hyperlink r:id="rId2027" ref="N677"/>
    <hyperlink r:id="rId2028" ref="O677"/>
    <hyperlink r:id="rId2029" ref="M678"/>
    <hyperlink r:id="rId2030" ref="N678"/>
    <hyperlink r:id="rId2031" ref="O678"/>
    <hyperlink r:id="rId2032" ref="M679"/>
    <hyperlink r:id="rId2033" ref="N679"/>
    <hyperlink r:id="rId2034" ref="O679"/>
    <hyperlink r:id="rId2035" ref="M680"/>
    <hyperlink r:id="rId2036" ref="N680"/>
    <hyperlink r:id="rId2037" ref="O680"/>
    <hyperlink r:id="rId2038" ref="M681"/>
    <hyperlink r:id="rId2039" ref="N681"/>
    <hyperlink r:id="rId2040" ref="O681"/>
    <hyperlink r:id="rId2041" ref="M682"/>
    <hyperlink r:id="rId2042" ref="N682"/>
    <hyperlink r:id="rId2043" ref="O682"/>
    <hyperlink r:id="rId2044" ref="M683"/>
    <hyperlink r:id="rId2045" ref="N683"/>
    <hyperlink r:id="rId2046" ref="O683"/>
    <hyperlink r:id="rId2047" ref="M684"/>
    <hyperlink r:id="rId2048" ref="N684"/>
    <hyperlink r:id="rId2049" ref="O684"/>
    <hyperlink r:id="rId2050" ref="M685"/>
    <hyperlink r:id="rId2051" ref="N685"/>
    <hyperlink r:id="rId2052" ref="O685"/>
    <hyperlink r:id="rId2053" ref="M686"/>
    <hyperlink r:id="rId2054" ref="N686"/>
    <hyperlink r:id="rId2055" ref="O686"/>
    <hyperlink r:id="rId2056" ref="M687"/>
    <hyperlink r:id="rId2057" ref="N687"/>
    <hyperlink r:id="rId2058" ref="O687"/>
    <hyperlink r:id="rId2059" ref="M688"/>
    <hyperlink r:id="rId2060" ref="N688"/>
    <hyperlink r:id="rId2061" ref="O688"/>
    <hyperlink r:id="rId2062" ref="M689"/>
    <hyperlink r:id="rId2063" ref="N689"/>
    <hyperlink r:id="rId2064" ref="O689"/>
    <hyperlink r:id="rId2065" ref="M690"/>
    <hyperlink r:id="rId2066" ref="N690"/>
    <hyperlink r:id="rId2067" ref="O690"/>
    <hyperlink r:id="rId2068" ref="M691"/>
    <hyperlink r:id="rId2069" ref="N691"/>
    <hyperlink r:id="rId2070" ref="O691"/>
    <hyperlink r:id="rId2071" ref="M692"/>
    <hyperlink r:id="rId2072" ref="N692"/>
    <hyperlink r:id="rId2073" ref="O692"/>
    <hyperlink r:id="rId2074" ref="M693"/>
    <hyperlink r:id="rId2075" ref="N693"/>
    <hyperlink r:id="rId2076" ref="O693"/>
    <hyperlink r:id="rId2077" ref="M694"/>
    <hyperlink r:id="rId2078" ref="N694"/>
    <hyperlink r:id="rId2079" ref="O694"/>
    <hyperlink r:id="rId2080" ref="M695"/>
    <hyperlink r:id="rId2081" ref="N695"/>
    <hyperlink r:id="rId2082" ref="O695"/>
    <hyperlink r:id="rId2083" ref="M696"/>
    <hyperlink r:id="rId2084" ref="N696"/>
    <hyperlink r:id="rId2085" ref="O696"/>
    <hyperlink r:id="rId2086" ref="M697"/>
    <hyperlink r:id="rId2087" ref="N697"/>
    <hyperlink r:id="rId2088" ref="O697"/>
    <hyperlink r:id="rId2089" ref="M698"/>
    <hyperlink r:id="rId2090" ref="N698"/>
    <hyperlink r:id="rId2091" ref="O698"/>
    <hyperlink r:id="rId2092" ref="M699"/>
    <hyperlink r:id="rId2093" ref="N699"/>
    <hyperlink r:id="rId2094" ref="O699"/>
    <hyperlink r:id="rId2095" ref="M700"/>
    <hyperlink r:id="rId2096" ref="N700"/>
    <hyperlink r:id="rId2097" ref="O700"/>
    <hyperlink r:id="rId2098" ref="M701"/>
    <hyperlink r:id="rId2099" ref="N701"/>
    <hyperlink r:id="rId2100" ref="O701"/>
    <hyperlink r:id="rId2101" ref="M702"/>
    <hyperlink r:id="rId2102" ref="N702"/>
    <hyperlink r:id="rId2103" ref="O702"/>
    <hyperlink r:id="rId2104" ref="M703"/>
    <hyperlink r:id="rId2105" ref="N703"/>
    <hyperlink r:id="rId2106" ref="O703"/>
    <hyperlink r:id="rId2107" ref="M704"/>
    <hyperlink r:id="rId2108" ref="N704"/>
    <hyperlink r:id="rId2109" ref="O704"/>
    <hyperlink r:id="rId2110" ref="M705"/>
    <hyperlink r:id="rId2111" ref="N705"/>
    <hyperlink r:id="rId2112" ref="O705"/>
    <hyperlink r:id="rId2113" ref="M706"/>
    <hyperlink r:id="rId2114" ref="N706"/>
    <hyperlink r:id="rId2115" ref="O706"/>
    <hyperlink r:id="rId2116" ref="M707"/>
    <hyperlink r:id="rId2117" ref="N707"/>
    <hyperlink r:id="rId2118" ref="O707"/>
    <hyperlink r:id="rId2119" ref="M708"/>
    <hyperlink r:id="rId2120" ref="N708"/>
    <hyperlink r:id="rId2121" ref="O708"/>
    <hyperlink r:id="rId2122" ref="M709"/>
    <hyperlink r:id="rId2123" ref="N709"/>
    <hyperlink r:id="rId2124" ref="O709"/>
    <hyperlink r:id="rId2125" ref="M710"/>
    <hyperlink r:id="rId2126" ref="N710"/>
    <hyperlink r:id="rId2127" ref="O710"/>
    <hyperlink r:id="rId2128" ref="M711"/>
    <hyperlink r:id="rId2129" ref="N711"/>
    <hyperlink r:id="rId2130" ref="O711"/>
    <hyperlink r:id="rId2131" ref="M712"/>
    <hyperlink r:id="rId2132" ref="N712"/>
    <hyperlink r:id="rId2133" ref="O712"/>
    <hyperlink r:id="rId2134" ref="M713"/>
    <hyperlink r:id="rId2135" ref="N713"/>
    <hyperlink r:id="rId2136" ref="O713"/>
    <hyperlink r:id="rId2137" ref="M714"/>
    <hyperlink r:id="rId2138" ref="N714"/>
    <hyperlink r:id="rId2139" ref="O714"/>
    <hyperlink r:id="rId2140" ref="M715"/>
    <hyperlink r:id="rId2141" ref="N715"/>
    <hyperlink r:id="rId2142" ref="O715"/>
    <hyperlink r:id="rId2143" ref="M716"/>
    <hyperlink r:id="rId2144" ref="N716"/>
    <hyperlink r:id="rId2145" ref="O716"/>
    <hyperlink r:id="rId2146" ref="M717"/>
    <hyperlink r:id="rId2147" ref="N717"/>
    <hyperlink r:id="rId2148" ref="O717"/>
    <hyperlink r:id="rId2149" ref="M718"/>
    <hyperlink r:id="rId2150" ref="N718"/>
    <hyperlink r:id="rId2151" ref="O718"/>
    <hyperlink r:id="rId2152" ref="M719"/>
    <hyperlink r:id="rId2153" ref="N719"/>
    <hyperlink r:id="rId2154" ref="O719"/>
    <hyperlink r:id="rId2155" ref="M720"/>
    <hyperlink r:id="rId2156" ref="N720"/>
    <hyperlink r:id="rId2157" ref="O720"/>
    <hyperlink r:id="rId2158" ref="M721"/>
    <hyperlink r:id="rId2159" ref="N721"/>
    <hyperlink r:id="rId2160" ref="O721"/>
  </hyperlinks>
  <printOptions/>
  <pageMargins bottom="1.0" footer="0.0" header="0.0" left="0.75" right="0.75" top="1.0"/>
  <pageSetup orientation="landscape"/>
  <drawing r:id="rId2161"/>
</worksheet>
</file>