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Nakajima_Shinsuke\Documents\work\cltools\templates\"/>
    </mc:Choice>
  </mc:AlternateContent>
  <xr:revisionPtr revIDLastSave="0" documentId="13_ncr:1_{A9A77C0E-3A0E-4F5B-AF48-780E17AC9F51}" xr6:coauthVersionLast="41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index" sheetId="4" r:id="rId1"/>
    <sheet name="checksheet" sheetId="6" r:id="rId2"/>
    <sheet name="管理" sheetId="5" state="hidden" r:id="rId3"/>
  </sheets>
  <definedNames>
    <definedName name="check_cell" comment="チェック欄の範囲" localSheetId="1">checksheet!$E$21:$E$21</definedName>
    <definedName name="check_cell_row" localSheetId="1">OFFSET(checksheet!check_cell, ROW()-ROW(checksheet!check_cell), 0, 1, COLUMNS(checksheet!check_cell))</definedName>
    <definedName name="check_item" comment="確認欄ドロップダウンリスト用">管理!$B$31:$B$37</definedName>
    <definedName name="check_today" comment="条件付き書式で参照する用">管理!$B$6</definedName>
    <definedName name="last_update" localSheetId="1">MAX(IF(ISERROR(VALUE(RIGHT(checksheet!check_cell,6))),0,DATE("20"&amp;LEFT(RIGHT(checksheet!check_cell,6),2),LEFT(RIGHT(checksheet!check_cell,4),2),RIGHT(checksheet!check_cell,2))))</definedName>
    <definedName name="last_update_range" localSheetId="0">OFFSET(index!A$16,0,0,ROW(index!A1)-ROW(index!A$16),1)</definedName>
    <definedName name="start_date" comment="開始判定用">管理!$B$9</definedName>
    <definedName name="tester" comment="条件付き書式で参照する用">管理!$B$3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24" i="5" l="1"/>
  <c r="B25" i="5" s="1"/>
  <c r="Q21" i="6" l="1" a="1"/>
  <c r="Q21" i="6" s="1"/>
  <c r="K21" i="6" l="1"/>
  <c r="J21" i="6" s="1"/>
  <c r="L21" i="6"/>
  <c r="E6" i="6" l="1"/>
  <c r="I16" i="4"/>
  <c r="M21" i="6" l="1"/>
  <c r="B9" i="5"/>
  <c r="O21" i="6" s="1" a="1"/>
  <c r="O21" i="6" s="1"/>
  <c r="F4" i="6" s="1"/>
  <c r="E8" i="6" l="1" a="1"/>
  <c r="E8" i="6" s="1"/>
  <c r="P21" i="6" a="1"/>
  <c r="P21" i="6" s="1"/>
  <c r="F5" i="6" s="1"/>
  <c r="E4" i="6" a="1"/>
  <c r="E4" i="6" s="1"/>
  <c r="E11" i="6"/>
  <c r="N16" i="4"/>
  <c r="G16" i="4"/>
  <c r="R21" i="6" l="1"/>
  <c r="E14" i="6" s="1" a="1"/>
  <c r="E14" i="6" s="1"/>
  <c r="D12" i="4"/>
  <c r="P16" i="4"/>
  <c r="Q16" i="4" l="1"/>
  <c r="B3" i="5"/>
  <c r="B18" i="5"/>
  <c r="B33" i="5" s="1"/>
  <c r="B34" i="5"/>
  <c r="B12" i="5"/>
  <c r="B15" i="5"/>
  <c r="E9" i="6"/>
  <c r="O16" i="4"/>
  <c r="R16" i="4" l="1"/>
  <c r="O17" i="4"/>
  <c r="N17" i="4"/>
  <c r="E5" i="6" a="1"/>
  <c r="E5" i="6" s="1"/>
  <c r="E10" i="6"/>
  <c r="E12" i="6" s="1"/>
  <c r="E13" i="6" a="1"/>
  <c r="E13" i="6" s="1"/>
  <c r="C16" i="4"/>
  <c r="H16" i="4"/>
  <c r="F16" i="4"/>
  <c r="L16" i="4" l="1"/>
  <c r="T16" i="4" s="1"/>
  <c r="K16" i="4"/>
  <c r="R17" i="4"/>
  <c r="Q17" i="4"/>
  <c r="P17" i="4"/>
  <c r="I17" i="4"/>
  <c r="H17" i="4"/>
  <c r="G17" i="4"/>
  <c r="E7" i="6"/>
  <c r="B6" i="5"/>
  <c r="B28" i="5" s="1"/>
  <c r="J16" i="4"/>
  <c r="B31" i="5" l="1"/>
  <c r="B32" i="5"/>
  <c r="K17" i="4"/>
  <c r="L17" i="4"/>
  <c r="C17" i="4"/>
  <c r="L2" i="4" s="1"/>
  <c r="B35" i="5"/>
  <c r="B36" i="5"/>
  <c r="J17" i="4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中島伸介</author>
  </authors>
  <commentList>
    <comment ref="D7" authorId="0" shapeId="0" xr:uid="{B8906772-F5E9-4797-8710-F51F24B456AD}">
      <text>
        <r>
          <rPr>
            <b/>
            <sz val="11"/>
            <color indexed="81"/>
            <rFont val="MS P ゴシック"/>
            <family val="3"/>
            <charset val="128"/>
          </rPr>
          <t>メイン、ステーションのどちらかしか存在しない場合は空欄にしてください</t>
        </r>
      </text>
    </comment>
  </commentList>
</comments>
</file>

<file path=xl/sharedStrings.xml><?xml version="1.0" encoding="utf-8"?>
<sst xmlns="http://schemas.openxmlformats.org/spreadsheetml/2006/main" count="84" uniqueCount="80">
  <si>
    <t>更新日：</t>
    <rPh sb="0" eb="3">
      <t>コウシンビ</t>
    </rPh>
    <phoneticPr fontId="3"/>
  </si>
  <si>
    <t>項目 作成者</t>
    <rPh sb="0" eb="2">
      <t>コウモク</t>
    </rPh>
    <rPh sb="3" eb="6">
      <t>サクセイシャ</t>
    </rPh>
    <phoneticPr fontId="3"/>
  </si>
  <si>
    <t>項目 確認者</t>
    <rPh sb="0" eb="2">
      <t>コウモク</t>
    </rPh>
    <rPh sb="3" eb="5">
      <t>カクニン</t>
    </rPh>
    <rPh sb="5" eb="6">
      <t>シャ</t>
    </rPh>
    <phoneticPr fontId="3"/>
  </si>
  <si>
    <t>項目 実施者</t>
    <rPh sb="0" eb="2">
      <t>コウモク</t>
    </rPh>
    <rPh sb="3" eb="6">
      <t>ジッシシャ</t>
    </rPh>
    <phoneticPr fontId="3"/>
  </si>
  <si>
    <t>更新日</t>
    <rPh sb="0" eb="3">
      <t>コウシンビ</t>
    </rPh>
    <phoneticPr fontId="3"/>
  </si>
  <si>
    <t>総項目数</t>
    <rPh sb="0" eb="1">
      <t>ソウ</t>
    </rPh>
    <rPh sb="1" eb="4">
      <t>コウモクスウ</t>
    </rPh>
    <phoneticPr fontId="3"/>
  </si>
  <si>
    <t>問題なし</t>
    <rPh sb="0" eb="2">
      <t>モンダイ</t>
    </rPh>
    <phoneticPr fontId="3"/>
  </si>
  <si>
    <t>問題あり</t>
    <rPh sb="0" eb="2">
      <t>モンダイ</t>
    </rPh>
    <phoneticPr fontId="3"/>
  </si>
  <si>
    <t>未確認数</t>
    <rPh sb="0" eb="3">
      <t>ミカクニン</t>
    </rPh>
    <rPh sb="3" eb="4">
      <t>スウ</t>
    </rPh>
    <phoneticPr fontId="3"/>
  </si>
  <si>
    <t>備考欄</t>
    <rPh sb="0" eb="2">
      <t>ビコウ</t>
    </rPh>
    <rPh sb="2" eb="3">
      <t>ラン</t>
    </rPh>
    <phoneticPr fontId="3"/>
  </si>
  <si>
    <t>-</t>
    <phoneticPr fontId="3"/>
  </si>
  <si>
    <t>項目の追加等が必要な場合は、チェックリストを直接編集せずに、項目作成者までご一報いただけますようお願いいたします。</t>
    <rPh sb="0" eb="2">
      <t>コウモク</t>
    </rPh>
    <rPh sb="3" eb="5">
      <t>ツイカ</t>
    </rPh>
    <rPh sb="5" eb="6">
      <t>ナド</t>
    </rPh>
    <rPh sb="7" eb="9">
      <t>ヒツヨウ</t>
    </rPh>
    <rPh sb="10" eb="12">
      <t>バアイ</t>
    </rPh>
    <rPh sb="22" eb="24">
      <t>チョクセツ</t>
    </rPh>
    <rPh sb="24" eb="26">
      <t>ヘンシュウ</t>
    </rPh>
    <rPh sb="30" eb="32">
      <t>コウモク</t>
    </rPh>
    <rPh sb="32" eb="35">
      <t>サクセイシャ</t>
    </rPh>
    <rPh sb="38" eb="40">
      <t>イッポウ</t>
    </rPh>
    <rPh sb="49" eb="50">
      <t>ネガ</t>
    </rPh>
    <phoneticPr fontId="3"/>
  </si>
  <si>
    <t>メイン ＆ ステーション バージョン</t>
    <phoneticPr fontId="3"/>
  </si>
  <si>
    <t>総項目数</t>
    <rPh sb="0" eb="1">
      <t>ソウ</t>
    </rPh>
    <rPh sb="1" eb="4">
      <t>コウモクスウ</t>
    </rPh>
    <phoneticPr fontId="16"/>
  </si>
  <si>
    <t>問題なし</t>
    <rPh sb="0" eb="2">
      <t>モンダイ</t>
    </rPh>
    <phoneticPr fontId="16"/>
  </si>
  <si>
    <t>問題あり</t>
    <rPh sb="0" eb="2">
      <t>モンダイ</t>
    </rPh>
    <phoneticPr fontId="16"/>
  </si>
  <si>
    <t>チェック内容</t>
    <phoneticPr fontId="3"/>
  </si>
  <si>
    <t>確認欄</t>
    <rPh sb="0" eb="2">
      <t>カクニン</t>
    </rPh>
    <rPh sb="2" eb="3">
      <t>ラン</t>
    </rPh>
    <phoneticPr fontId="3"/>
  </si>
  <si>
    <t>未確認数</t>
    <rPh sb="0" eb="3">
      <t>ミカクニン</t>
    </rPh>
    <rPh sb="3" eb="4">
      <t>カズ</t>
    </rPh>
    <phoneticPr fontId="16"/>
  </si>
  <si>
    <t>確認日</t>
    <rPh sb="0" eb="2">
      <t>カクニン</t>
    </rPh>
    <rPh sb="2" eb="3">
      <t>ビ</t>
    </rPh>
    <phoneticPr fontId="3"/>
  </si>
  <si>
    <t>項目 実施日</t>
    <rPh sb="0" eb="2">
      <t>コウモク</t>
    </rPh>
    <rPh sb="3" eb="6">
      <t>ジッシビ</t>
    </rPh>
    <phoneticPr fontId="3"/>
  </si>
  <si>
    <t>[H1]</t>
    <phoneticPr fontId="3"/>
  </si>
  <si>
    <t>checksheet</t>
    <phoneticPr fontId="3"/>
  </si>
  <si>
    <t>$AUTHOR$</t>
    <phoneticPr fontId="3"/>
  </si>
  <si>
    <t>$TITLE$</t>
    <phoneticPr fontId="3"/>
  </si>
  <si>
    <t>BTk ID</t>
    <phoneticPr fontId="3"/>
  </si>
  <si>
    <t>備考</t>
    <rPh sb="0" eb="2">
      <t>ビコウ</t>
    </rPh>
    <phoneticPr fontId="3"/>
  </si>
  <si>
    <t>作業時間（計画）</t>
    <phoneticPr fontId="3"/>
  </si>
  <si>
    <t>作業時間（実績）</t>
    <phoneticPr fontId="3"/>
  </si>
  <si>
    <t>作業時間（計画）</t>
    <rPh sb="5" eb="7">
      <t>ケイカク</t>
    </rPh>
    <phoneticPr fontId="3"/>
  </si>
  <si>
    <t>$H_ITEM$</t>
    <phoneticPr fontId="3"/>
  </si>
  <si>
    <t>[UL]</t>
    <phoneticPr fontId="3"/>
  </si>
  <si>
    <t>$_VERSION_STATION$</t>
    <phoneticPr fontId="3"/>
  </si>
  <si>
    <t>$_CONFIRMOR$</t>
    <phoneticPr fontId="3"/>
  </si>
  <si>
    <t>開始日</t>
    <rPh sb="0" eb="3">
      <t>カイシビ</t>
    </rPh>
    <phoneticPr fontId="3"/>
  </si>
  <si>
    <t>開始日</t>
    <rPh sb="0" eb="2">
      <t>カイシ</t>
    </rPh>
    <rPh sb="2" eb="3">
      <t>ビ</t>
    </rPh>
    <phoneticPr fontId="3"/>
  </si>
  <si>
    <t>$START_DATE$</t>
    <phoneticPr fontId="3"/>
  </si>
  <si>
    <t>集計</t>
  </si>
  <si>
    <t>!ID!</t>
    <phoneticPr fontId="3"/>
  </si>
  <si>
    <t>$_VERSION_MAIN$</t>
  </si>
  <si>
    <t>バージョン</t>
    <phoneticPr fontId="3"/>
  </si>
  <si>
    <t>$VERSION$</t>
    <phoneticPr fontId="3"/>
  </si>
  <si>
    <t>現バージョンではチェック対象外</t>
    <rPh sb="0" eb="1">
      <t>ゲン</t>
    </rPh>
    <rPh sb="12" eb="14">
      <t>タイショウ</t>
    </rPh>
    <rPh sb="14" eb="15">
      <t>ガイ</t>
    </rPh>
    <phoneticPr fontId="3"/>
  </si>
  <si>
    <t>低優先度</t>
  </si>
  <si>
    <t>未実装</t>
    <rPh sb="0" eb="3">
      <t>ミジッソウ</t>
    </rPh>
    <phoneticPr fontId="3"/>
  </si>
  <si>
    <t>&lt; 未実装 &gt;</t>
    <rPh sb="2" eb="5">
      <t>ミジッソウ</t>
    </rPh>
    <phoneticPr fontId="3"/>
  </si>
  <si>
    <t>検証中</t>
    <rPh sb="0" eb="3">
      <t>ケンショウチュウ</t>
    </rPh>
    <phoneticPr fontId="3"/>
  </si>
  <si>
    <t>チェック実施者</t>
    <rPh sb="4" eb="7">
      <t>ジッシシャ</t>
    </rPh>
    <phoneticPr fontId="3"/>
  </si>
  <si>
    <t>ステータス</t>
    <phoneticPr fontId="3"/>
  </si>
  <si>
    <t>チェック未完行数</t>
    <rPh sb="4" eb="6">
      <t>ミカン</t>
    </rPh>
    <rPh sb="6" eb="7">
      <t>ギョウ</t>
    </rPh>
    <rPh sb="7" eb="8">
      <t>スウ</t>
    </rPh>
    <phoneticPr fontId="3"/>
  </si>
  <si>
    <t>チェック可行数</t>
    <rPh sb="4" eb="5">
      <t>カ</t>
    </rPh>
    <rPh sb="5" eb="7">
      <t>ギョウスウ</t>
    </rPh>
    <phoneticPr fontId="3"/>
  </si>
  <si>
    <t>営業秘密</t>
    <rPh sb="0" eb="2">
      <t>エイギョウ</t>
    </rPh>
    <rPh sb="2" eb="4">
      <t>ヒミツ</t>
    </rPh>
    <phoneticPr fontId="3"/>
  </si>
  <si>
    <t>残務時間</t>
    <phoneticPr fontId="3"/>
  </si>
  <si>
    <t>完了予定日</t>
    <phoneticPr fontId="3"/>
  </si>
  <si>
    <t>作業時間（実績）</t>
    <phoneticPr fontId="3"/>
  </si>
  <si>
    <t>残務時間</t>
    <rPh sb="0" eb="2">
      <t>ザンム</t>
    </rPh>
    <rPh sb="2" eb="4">
      <t>ジカン</t>
    </rPh>
    <phoneticPr fontId="3"/>
  </si>
  <si>
    <t>進捗</t>
    <rPh sb="0" eb="2">
      <t>シンチョク</t>
    </rPh>
    <phoneticPr fontId="3"/>
  </si>
  <si>
    <t>対象確認欄総数</t>
    <rPh sb="0" eb="2">
      <t>タイショウ</t>
    </rPh>
    <rPh sb="2" eb="4">
      <t>カクニン</t>
    </rPh>
    <rPh sb="4" eb="5">
      <t>ラン</t>
    </rPh>
    <rPh sb="5" eb="7">
      <t>ソウスウ</t>
    </rPh>
    <phoneticPr fontId="3"/>
  </si>
  <si>
    <t>対象確認欄完了数</t>
    <rPh sb="0" eb="2">
      <t>タイショウ</t>
    </rPh>
    <rPh sb="2" eb="4">
      <t>カクニン</t>
    </rPh>
    <rPh sb="4" eb="5">
      <t>ラン</t>
    </rPh>
    <rPh sb="5" eb="7">
      <t>カンリョウ</t>
    </rPh>
    <rPh sb="7" eb="8">
      <t>スウ</t>
    </rPh>
    <phoneticPr fontId="3"/>
  </si>
  <si>
    <t>計画作業時間/確認欄</t>
    <rPh sb="0" eb="2">
      <t>ケイカク</t>
    </rPh>
    <rPh sb="2" eb="4">
      <t>サギョウ</t>
    </rPh>
    <rPh sb="4" eb="6">
      <t>ジカン</t>
    </rPh>
    <rPh sb="7" eb="9">
      <t>カクニン</t>
    </rPh>
    <rPh sb="9" eb="10">
      <t>ラン</t>
    </rPh>
    <phoneticPr fontId="3"/>
  </si>
  <si>
    <t>達成率（作業時間）</t>
    <rPh sb="0" eb="3">
      <t>タッセイリツ</t>
    </rPh>
    <rPh sb="4" eb="6">
      <t>サギョウ</t>
    </rPh>
    <rPh sb="6" eb="8">
      <t>ジカン</t>
    </rPh>
    <phoneticPr fontId="3"/>
  </si>
  <si>
    <t>実績/計画</t>
    <rPh sb="0" eb="2">
      <t>ジッセキ</t>
    </rPh>
    <rPh sb="3" eb="5">
      <t>ケイカク</t>
    </rPh>
    <phoneticPr fontId="3"/>
  </si>
  <si>
    <t>MAIN Rev.</t>
  </si>
  <si>
    <t>STATION Rev.</t>
  </si>
  <si>
    <t>消化率</t>
    <rPh sb="0" eb="2">
      <t>ショウカ</t>
    </rPh>
    <rPh sb="2" eb="3">
      <t>リツ</t>
    </rPh>
    <phoneticPr fontId="3"/>
  </si>
  <si>
    <t>進捗率</t>
    <rPh sb="0" eb="2">
      <t>シンチョクリツ2</t>
    </rPh>
    <phoneticPr fontId="3"/>
  </si>
  <si>
    <t>計画時間（分）</t>
    <rPh sb="0" eb="2">
      <t>ケイカク</t>
    </rPh>
    <rPh sb="2" eb="4">
      <t>ジカン</t>
    </rPh>
    <rPh sb="5" eb="6">
      <t>フン</t>
    </rPh>
    <phoneticPr fontId="3"/>
  </si>
  <si>
    <t>実績時間（分）</t>
    <rPh sb="0" eb="2">
      <t>ジッセキ</t>
    </rPh>
    <rPh sb="2" eb="4">
      <t>ジカン</t>
    </rPh>
    <rPh sb="5" eb="6">
      <t>フン</t>
    </rPh>
    <phoneticPr fontId="3"/>
  </si>
  <si>
    <t>確認日</t>
    <rPh sb="0" eb="2">
      <t>カクニン</t>
    </rPh>
    <rPh sb="2" eb="3">
      <t>ビ</t>
    </rPh>
    <phoneticPr fontId="3"/>
  </si>
  <si>
    <t>確認者</t>
    <rPh sb="0" eb="2">
      <t>カクニン</t>
    </rPh>
    <rPh sb="2" eb="3">
      <t>モノ</t>
    </rPh>
    <phoneticPr fontId="3"/>
  </si>
  <si>
    <t>Rev.</t>
    <phoneticPr fontId="3"/>
  </si>
  <si>
    <t>対象外</t>
    <rPh sb="0" eb="3">
      <t>タイショウガイ</t>
    </rPh>
    <phoneticPr fontId="3"/>
  </si>
  <si>
    <t>$_TESTER$</t>
    <phoneticPr fontId="3"/>
  </si>
  <si>
    <t>Rev</t>
    <phoneticPr fontId="3"/>
  </si>
  <si>
    <t>結果情報</t>
    <rPh sb="0" eb="2">
      <t>ケッカ</t>
    </rPh>
    <rPh sb="2" eb="4">
      <t>ジョウホウ</t>
    </rPh>
    <phoneticPr fontId="3"/>
  </si>
  <si>
    <t>#result</t>
    <phoneticPr fontId="3"/>
  </si>
  <si>
    <t>#estimated_time</t>
    <phoneticPr fontId="3"/>
  </si>
  <si>
    <t>#execution_time</t>
    <phoneticPr fontId="3"/>
  </si>
  <si>
    <t>#bug_ID</t>
    <phoneticPr fontId="3"/>
  </si>
  <si>
    <t>#comment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</si>
</sst>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&quot;月&quot;d&quot;日&quot;;@"/>
    <numFmt numFmtId="177" formatCode="[h]:mm"/>
  </numFmts>
  <fonts count="25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rgb="FF00B0F0"/>
      <name val="ＭＳ Ｐゴシック"/>
      <family val="3"/>
      <charset val="128"/>
      <scheme val="minor"/>
    </font>
    <font>
      <b/>
      <sz val="16"/>
      <color theme="1"/>
      <name val="ＭＳ Ｐゴシック"/>
      <family val="3"/>
      <charset val="128"/>
      <scheme val="minor"/>
    </font>
    <font>
      <sz val="11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sz val="11"/>
      <name val="ＭＳ Ｐゴシック"/>
      <family val="3"/>
      <charset val="128"/>
      <scheme val="minor"/>
    </font>
    <font>
      <u/>
      <sz val="11"/>
      <color theme="10"/>
      <name val="ＭＳ Ｐゴシック"/>
      <family val="3"/>
      <charset val="128"/>
    </font>
    <font>
      <b/>
      <sz val="11"/>
      <color theme="0"/>
      <name val="ＭＳ Ｐゴシック"/>
      <family val="3"/>
      <charset val="128"/>
      <scheme val="minor"/>
    </font>
    <font>
      <u/>
      <sz val="9.9"/>
      <color theme="10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color theme="1"/>
      <name val="ＭＳ Ｐゴシック"/>
      <family val="3"/>
      <charset val="128"/>
      <scheme val="minor"/>
    </font>
    <font>
      <b/>
      <sz val="16"/>
      <color theme="1"/>
      <name val="ＭＳ Ｐゴシック"/>
      <family val="3"/>
      <charset val="128"/>
    </font>
    <font>
      <sz val="11"/>
      <color theme="1"/>
      <name val="ＭＳ Ｐゴシック"/>
      <family val="3"/>
      <charset val="128"/>
    </font>
    <font>
      <sz val="6"/>
      <name val="ＭＳ Ｐゴシック"/>
      <family val="3"/>
      <charset val="128"/>
      <scheme val="minor"/>
    </font>
    <font>
      <sz val="11"/>
      <color rgb="FF0000FF"/>
      <name val="ＭＳ Ｐゴシック"/>
      <family val="3"/>
      <charset val="128"/>
      <scheme val="minor"/>
    </font>
    <font>
      <sz val="11"/>
      <color rgb="FFFF0000"/>
      <name val="ＭＳ Ｐゴシック"/>
      <family val="3"/>
      <charset val="128"/>
      <scheme val="minor"/>
    </font>
    <font>
      <b/>
      <sz val="11"/>
      <color theme="1"/>
      <name val="ＭＳ Ｐゴシック"/>
      <family val="3"/>
      <charset val="128"/>
    </font>
    <font>
      <b/>
      <sz val="11"/>
      <color rgb="FFFF0000"/>
      <name val="ＭＳ Ｐゴシック"/>
      <family val="3"/>
      <charset val="128"/>
      <scheme val="minor"/>
    </font>
    <font>
      <sz val="11"/>
      <color rgb="FF9C0006"/>
      <name val="ＭＳ Ｐゴシック"/>
      <family val="2"/>
      <charset val="128"/>
      <scheme val="minor"/>
    </font>
    <font>
      <b/>
      <sz val="16"/>
      <color rgb="FFFF0000"/>
      <name val="ＭＳ Ｐゴシック"/>
      <family val="3"/>
      <charset val="128"/>
      <scheme val="minor"/>
    </font>
    <font>
      <sz val="10"/>
      <color theme="1"/>
      <name val="ＭＳ ゴシック"/>
      <family val="3"/>
      <charset val="128"/>
    </font>
    <font>
      <b/>
      <sz val="11"/>
      <color indexed="81"/>
      <name val="MS P ゴシック"/>
      <family val="3"/>
      <charset val="128"/>
    </font>
  </fonts>
  <fills count="11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7CE"/>
      </patternFill>
    </fill>
  </fills>
  <borders count="1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7">
    <xf numFmtId="0" fontId="0" fillId="0" borderId="0">
      <alignment vertical="center"/>
    </xf>
    <xf numFmtId="0" fontId="9" fillId="0" borderId="0" applyNumberFormat="0" applyFill="0" applyBorder="0" applyAlignment="0" applyProtection="0">
      <alignment vertical="top"/>
      <protection locked="0"/>
    </xf>
    <xf numFmtId="0" fontId="9" fillId="0" borderId="0" applyNumberFormat="0" applyFill="0" applyBorder="0" applyAlignment="0" applyProtection="0">
      <alignment vertical="top"/>
      <protection locked="0"/>
    </xf>
    <xf numFmtId="0" fontId="11" fillId="0" borderId="0" applyNumberFormat="0" applyFill="0" applyBorder="0" applyAlignment="0" applyProtection="0">
      <alignment vertical="top"/>
      <protection locked="0"/>
    </xf>
    <xf numFmtId="0" fontId="1" fillId="0" borderId="0">
      <alignment vertical="center"/>
    </xf>
    <xf numFmtId="0" fontId="1" fillId="0" borderId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0" fontId="12" fillId="0" borderId="0"/>
    <xf numFmtId="0" fontId="13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1" fillId="10" borderId="0" applyNumberFormat="0" applyBorder="0" applyAlignment="0" applyProtection="0">
      <alignment vertical="center"/>
    </xf>
  </cellStyleXfs>
  <cellXfs count="79">
    <xf numFmtId="0" fontId="0" fillId="0" borderId="0" xfId="0">
      <alignment vertical="center"/>
    </xf>
    <xf numFmtId="0" fontId="4" fillId="2" borderId="0" xfId="0" applyFont="1" applyFill="1">
      <alignment vertical="center"/>
    </xf>
    <xf numFmtId="0" fontId="5" fillId="2" borderId="0" xfId="0" applyFont="1" applyFill="1">
      <alignment vertical="center"/>
    </xf>
    <xf numFmtId="0" fontId="0" fillId="2" borderId="0" xfId="0" applyFill="1" applyAlignment="1">
      <alignment horizontal="center" vertical="center"/>
    </xf>
    <xf numFmtId="0" fontId="0" fillId="2" borderId="0" xfId="0" applyFill="1">
      <alignment vertical="center"/>
    </xf>
    <xf numFmtId="0" fontId="6" fillId="2" borderId="0" xfId="0" applyFont="1" applyFill="1">
      <alignment vertical="center"/>
    </xf>
    <xf numFmtId="0" fontId="2" fillId="2" borderId="0" xfId="0" applyFont="1" applyFill="1">
      <alignment vertical="center"/>
    </xf>
    <xf numFmtId="0" fontId="7" fillId="2" borderId="0" xfId="0" applyFont="1" applyFill="1" applyAlignment="1">
      <alignment horizontal="right" vertical="center"/>
    </xf>
    <xf numFmtId="176" fontId="7" fillId="2" borderId="0" xfId="0" applyNumberFormat="1" applyFont="1" applyFill="1" applyAlignment="1">
      <alignment horizontal="left" vertical="center"/>
    </xf>
    <xf numFmtId="0" fontId="0" fillId="0" borderId="0" xfId="0" applyAlignment="1">
      <alignment horizontal="center" vertical="center"/>
    </xf>
    <xf numFmtId="0" fontId="6" fillId="0" borderId="0" xfId="0" applyFont="1">
      <alignment vertical="center"/>
    </xf>
    <xf numFmtId="0" fontId="2" fillId="0" borderId="0" xfId="0" applyFont="1">
      <alignment vertical="center"/>
    </xf>
    <xf numFmtId="0" fontId="7" fillId="0" borderId="0" xfId="0" applyFont="1">
      <alignment vertical="center"/>
    </xf>
    <xf numFmtId="10" fontId="0" fillId="0" borderId="0" xfId="0" applyNumberFormat="1">
      <alignment vertical="center"/>
    </xf>
    <xf numFmtId="0" fontId="7" fillId="3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7" fillId="3" borderId="3" xfId="0" applyFont="1" applyFill="1" applyBorder="1" applyAlignment="1">
      <alignment horizontal="center" vertical="center"/>
    </xf>
    <xf numFmtId="0" fontId="0" fillId="0" borderId="4" xfId="0" applyBorder="1" applyAlignment="1">
      <alignment horizontal="left" vertical="center"/>
    </xf>
    <xf numFmtId="0" fontId="7" fillId="3" borderId="5" xfId="0" applyFont="1" applyFill="1" applyBorder="1" applyAlignment="1">
      <alignment horizontal="center" vertical="center"/>
    </xf>
    <xf numFmtId="0" fontId="0" fillId="0" borderId="6" xfId="0" applyBorder="1" applyAlignment="1">
      <alignment horizontal="left" vertical="center"/>
    </xf>
    <xf numFmtId="0" fontId="7" fillId="3" borderId="7" xfId="0" applyFont="1" applyFill="1" applyBorder="1" applyAlignment="1">
      <alignment horizontal="center" vertical="center"/>
    </xf>
    <xf numFmtId="0" fontId="0" fillId="0" borderId="8" xfId="0" applyBorder="1" applyAlignment="1">
      <alignment horizontal="left" vertical="center"/>
    </xf>
    <xf numFmtId="0" fontId="7" fillId="3" borderId="9" xfId="0" applyFont="1" applyFill="1" applyBorder="1" applyAlignment="1">
      <alignment horizontal="center" vertical="center"/>
    </xf>
    <xf numFmtId="0" fontId="7" fillId="3" borderId="10" xfId="0" applyFont="1" applyFill="1" applyBorder="1" applyAlignment="1">
      <alignment horizontal="center" vertical="center"/>
    </xf>
    <xf numFmtId="0" fontId="10" fillId="4" borderId="10" xfId="0" applyFont="1" applyFill="1" applyBorder="1" applyAlignment="1">
      <alignment horizontal="center" vertical="center"/>
    </xf>
    <xf numFmtId="0" fontId="10" fillId="5" borderId="10" xfId="0" applyFont="1" applyFill="1" applyBorder="1" applyAlignment="1">
      <alignment horizontal="center" vertical="center"/>
    </xf>
    <xf numFmtId="10" fontId="7" fillId="6" borderId="10" xfId="0" applyNumberFormat="1" applyFont="1" applyFill="1" applyBorder="1" applyAlignment="1">
      <alignment horizontal="center" vertical="center"/>
    </xf>
    <xf numFmtId="176" fontId="0" fillId="0" borderId="3" xfId="0" applyNumberFormat="1" applyBorder="1" applyAlignment="1">
      <alignment horizontal="center" vertical="center"/>
    </xf>
    <xf numFmtId="0" fontId="7" fillId="0" borderId="11" xfId="0" applyFont="1" applyBorder="1">
      <alignment vertical="center"/>
    </xf>
    <xf numFmtId="10" fontId="7" fillId="0" borderId="11" xfId="0" applyNumberFormat="1" applyFont="1" applyBorder="1">
      <alignment vertical="center"/>
    </xf>
    <xf numFmtId="0" fontId="7" fillId="0" borderId="12" xfId="0" applyFont="1" applyBorder="1">
      <alignment vertical="center"/>
    </xf>
    <xf numFmtId="10" fontId="7" fillId="0" borderId="12" xfId="0" applyNumberFormat="1" applyFont="1" applyBorder="1">
      <alignment vertical="center"/>
    </xf>
    <xf numFmtId="0" fontId="9" fillId="0" borderId="11" xfId="1" applyFill="1" applyBorder="1" applyAlignment="1" applyProtection="1">
      <alignment horizontal="center" vertical="center"/>
    </xf>
    <xf numFmtId="0" fontId="0" fillId="8" borderId="0" xfId="0" applyFill="1">
      <alignment vertical="center"/>
    </xf>
    <xf numFmtId="0" fontId="14" fillId="2" borderId="0" xfId="0" applyFont="1" applyFill="1" applyAlignment="1">
      <alignment horizontal="left" vertical="center"/>
    </xf>
    <xf numFmtId="0" fontId="14" fillId="2" borderId="0" xfId="0" applyFont="1" applyFill="1" applyBorder="1" applyAlignment="1">
      <alignment horizontal="center" vertical="center"/>
    </xf>
    <xf numFmtId="0" fontId="15" fillId="0" borderId="0" xfId="0" applyFont="1" applyFill="1" applyBorder="1" applyAlignment="1">
      <alignment horizontal="center" vertical="center" shrinkToFit="1"/>
    </xf>
    <xf numFmtId="0" fontId="15" fillId="0" borderId="0" xfId="0" applyFont="1" applyFill="1" applyBorder="1" applyAlignment="1">
      <alignment horizontal="center" vertical="center" wrapText="1" shrinkToFit="1"/>
    </xf>
    <xf numFmtId="0" fontId="0" fillId="0" borderId="0" xfId="0" applyAlignment="1">
      <alignment vertical="center"/>
    </xf>
    <xf numFmtId="0" fontId="17" fillId="0" borderId="0" xfId="0" applyFont="1" applyAlignment="1">
      <alignment vertical="center"/>
    </xf>
    <xf numFmtId="0" fontId="18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15" fillId="0" borderId="0" xfId="0" applyFont="1" applyAlignment="1">
      <alignment horizontal="center" vertical="center"/>
    </xf>
    <xf numFmtId="0" fontId="19" fillId="3" borderId="11" xfId="0" applyFont="1" applyFill="1" applyBorder="1" applyAlignment="1">
      <alignment horizontal="center" vertical="center"/>
    </xf>
    <xf numFmtId="0" fontId="19" fillId="6" borderId="11" xfId="0" applyFont="1" applyFill="1" applyBorder="1" applyAlignment="1">
      <alignment horizontal="center" vertical="center"/>
    </xf>
    <xf numFmtId="14" fontId="0" fillId="0" borderId="0" xfId="0" applyNumberFormat="1" applyAlignment="1">
      <alignment vertical="center"/>
    </xf>
    <xf numFmtId="0" fontId="12" fillId="7" borderId="11" xfId="0" applyFont="1" applyFill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12" fillId="0" borderId="11" xfId="1" applyFont="1" applyFill="1" applyBorder="1" applyAlignment="1" applyProtection="1">
      <alignment horizontal="center" vertical="center"/>
    </xf>
    <xf numFmtId="0" fontId="20" fillId="0" borderId="0" xfId="0" applyFont="1" applyAlignment="1">
      <alignment horizontal="left" vertical="center"/>
    </xf>
    <xf numFmtId="14" fontId="0" fillId="0" borderId="6" xfId="0" applyNumberFormat="1" applyBorder="1" applyAlignment="1">
      <alignment horizontal="left" vertical="center"/>
    </xf>
    <xf numFmtId="14" fontId="0" fillId="8" borderId="0" xfId="0" applyNumberFormat="1" applyFill="1">
      <alignment vertical="center"/>
    </xf>
    <xf numFmtId="0" fontId="9" fillId="0" borderId="12" xfId="0" applyFont="1" applyFill="1" applyBorder="1" applyAlignment="1" applyProtection="1">
      <alignment horizontal="center" vertical="center"/>
    </xf>
    <xf numFmtId="0" fontId="12" fillId="0" borderId="12" xfId="0" applyFont="1" applyFill="1" applyBorder="1" applyAlignment="1" applyProtection="1">
      <alignment horizontal="center" vertical="center"/>
    </xf>
    <xf numFmtId="0" fontId="8" fillId="0" borderId="12" xfId="0" applyFont="1" applyBorder="1" applyAlignment="1">
      <alignment horizontal="left" vertical="center"/>
    </xf>
    <xf numFmtId="0" fontId="7" fillId="3" borderId="13" xfId="0" applyFont="1" applyFill="1" applyBorder="1" applyAlignment="1">
      <alignment horizontal="center" vertical="center"/>
    </xf>
    <xf numFmtId="0" fontId="0" fillId="0" borderId="14" xfId="0" applyBorder="1" applyAlignment="1">
      <alignment horizontal="left" vertical="center"/>
    </xf>
    <xf numFmtId="0" fontId="6" fillId="10" borderId="11" xfId="16" applyFont="1" applyBorder="1" applyAlignment="1">
      <alignment horizontal="center" vertical="center"/>
    </xf>
    <xf numFmtId="0" fontId="22" fillId="2" borderId="0" xfId="0" applyFont="1" applyFill="1">
      <alignment vertical="center"/>
    </xf>
    <xf numFmtId="0" fontId="7" fillId="2" borderId="0" xfId="0" applyFont="1" applyFill="1">
      <alignment vertical="center"/>
    </xf>
    <xf numFmtId="10" fontId="0" fillId="2" borderId="0" xfId="0" applyNumberFormat="1" applyFill="1">
      <alignment vertical="center"/>
    </xf>
    <xf numFmtId="176" fontId="0" fillId="0" borderId="7" xfId="0" applyNumberFormat="1" applyBorder="1" applyAlignment="1">
      <alignment horizontal="center" vertical="center"/>
    </xf>
    <xf numFmtId="0" fontId="7" fillId="3" borderId="15" xfId="0" applyFont="1" applyFill="1" applyBorder="1" applyAlignment="1">
      <alignment horizontal="center" vertical="center"/>
    </xf>
    <xf numFmtId="176" fontId="12" fillId="0" borderId="16" xfId="1" applyNumberFormat="1" applyFont="1" applyFill="1" applyBorder="1" applyAlignment="1" applyProtection="1">
      <alignment horizontal="center" vertical="center"/>
    </xf>
    <xf numFmtId="177" fontId="12" fillId="0" borderId="12" xfId="0" applyNumberFormat="1" applyFont="1" applyFill="1" applyBorder="1" applyAlignment="1" applyProtection="1">
      <alignment horizontal="center" vertical="center"/>
    </xf>
    <xf numFmtId="177" fontId="12" fillId="0" borderId="11" xfId="1" applyNumberFormat="1" applyFont="1" applyFill="1" applyBorder="1" applyAlignment="1" applyProtection="1">
      <alignment horizontal="center" vertical="center"/>
    </xf>
    <xf numFmtId="10" fontId="12" fillId="0" borderId="16" xfId="1" applyNumberFormat="1" applyFont="1" applyFill="1" applyBorder="1" applyAlignment="1" applyProtection="1">
      <alignment horizontal="center" vertical="center"/>
    </xf>
    <xf numFmtId="10" fontId="12" fillId="0" borderId="12" xfId="0" applyNumberFormat="1" applyFont="1" applyFill="1" applyBorder="1" applyAlignment="1" applyProtection="1">
      <alignment horizontal="center" vertical="center"/>
    </xf>
    <xf numFmtId="0" fontId="12" fillId="0" borderId="11" xfId="1" applyNumberFormat="1" applyFont="1" applyFill="1" applyBorder="1" applyAlignment="1" applyProtection="1">
      <alignment horizontal="center" vertical="center"/>
    </xf>
    <xf numFmtId="0" fontId="12" fillId="7" borderId="11" xfId="0" applyNumberFormat="1" applyFont="1" applyFill="1" applyBorder="1" applyAlignment="1">
      <alignment horizontal="left" vertical="center"/>
    </xf>
    <xf numFmtId="14" fontId="12" fillId="7" borderId="11" xfId="0" applyNumberFormat="1" applyFont="1" applyFill="1" applyBorder="1" applyAlignment="1">
      <alignment horizontal="left" vertical="center"/>
    </xf>
    <xf numFmtId="0" fontId="12" fillId="7" borderId="11" xfId="0" applyFont="1" applyFill="1" applyBorder="1" applyAlignment="1" applyProtection="1">
      <alignment horizontal="left" vertical="center"/>
      <protection locked="0"/>
    </xf>
    <xf numFmtId="0" fontId="12" fillId="7" borderId="11" xfId="0" applyNumberFormat="1" applyFont="1" applyFill="1" applyBorder="1" applyAlignment="1" applyProtection="1">
      <alignment horizontal="left" vertical="center"/>
      <protection locked="0"/>
    </xf>
    <xf numFmtId="0" fontId="12" fillId="0" borderId="11" xfId="1" applyFont="1" applyFill="1" applyBorder="1" applyAlignment="1" applyProtection="1">
      <alignment horizontal="center" vertical="center"/>
      <protection locked="0"/>
    </xf>
    <xf numFmtId="0" fontId="8" fillId="0" borderId="11" xfId="0" applyFont="1" applyBorder="1" applyAlignment="1" applyProtection="1">
      <alignment horizontal="left" vertical="center"/>
      <protection locked="0"/>
    </xf>
    <xf numFmtId="0" fontId="0" fillId="0" borderId="6" xfId="0" applyBorder="1" applyAlignment="1" applyProtection="1">
      <alignment horizontal="left" vertical="center"/>
      <protection locked="0"/>
    </xf>
    <xf numFmtId="0" fontId="0" fillId="7" borderId="11" xfId="0" applyFill="1" applyBorder="1" applyAlignment="1" applyProtection="1">
      <alignment horizontal="center" vertical="center"/>
      <protection locked="0"/>
    </xf>
    <xf numFmtId="0" fontId="23" fillId="9" borderId="11" xfId="0" applyFont="1" applyFill="1" applyBorder="1" applyAlignment="1">
      <alignment horizontal="left" vertical="top" wrapText="1"/>
    </xf>
    <xf numFmtId="49" fontId="15" fillId="0" borderId="0" xfId="0" applyNumberFormat="1" applyFont="1" applyAlignment="1">
      <alignment horizontal="center" vertical="center"/>
    </xf>
  </cellXfs>
  <cellStyles count="17">
    <cellStyle name="ハイパーリンク" xfId="1" builtinId="8"/>
    <cellStyle name="ハイパーリンク 2" xfId="2" xr:uid="{00000000-0005-0000-0000-000001000000}"/>
    <cellStyle name="ハイパーリンク 3" xfId="3" xr:uid="{00000000-0005-0000-0000-000002000000}"/>
    <cellStyle name="悪い" xfId="16" builtinId="27"/>
    <cellStyle name="標準" xfId="0" builtinId="0"/>
    <cellStyle name="標準 10" xfId="4" xr:uid="{00000000-0005-0000-0000-000005000000}"/>
    <cellStyle name="標準 11" xfId="5" xr:uid="{00000000-0005-0000-0000-000006000000}"/>
    <cellStyle name="標準 2" xfId="6" xr:uid="{00000000-0005-0000-0000-000007000000}"/>
    <cellStyle name="標準 2 2" xfId="7" xr:uid="{00000000-0005-0000-0000-000008000000}"/>
    <cellStyle name="標準 2 2 2" xfId="8" xr:uid="{00000000-0005-0000-0000-000009000000}"/>
    <cellStyle name="標準 3" xfId="9" xr:uid="{00000000-0005-0000-0000-00000A000000}"/>
    <cellStyle name="標準 4" xfId="10" xr:uid="{00000000-0005-0000-0000-00000B000000}"/>
    <cellStyle name="標準 5" xfId="11" xr:uid="{00000000-0005-0000-0000-00000C000000}"/>
    <cellStyle name="標準 6" xfId="12" xr:uid="{00000000-0005-0000-0000-00000D000000}"/>
    <cellStyle name="標準 7" xfId="13" xr:uid="{00000000-0005-0000-0000-00000E000000}"/>
    <cellStyle name="標準 8" xfId="14" xr:uid="{00000000-0005-0000-0000-00000F000000}"/>
    <cellStyle name="標準 9" xfId="15" xr:uid="{00000000-0005-0000-0000-000010000000}"/>
  </cellStyles>
  <dxfs count="7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ＭＳ Ｐゴシック"/>
        <family val="3"/>
        <charset val="128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medium">
          <color indexed="64"/>
        </bottom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ＭＳ Ｐゴシック"/>
        <family val="3"/>
        <charset val="128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medium">
          <color indexed="64"/>
        </bottom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ＭＳ Ｐゴシック"/>
        <family val="3"/>
        <charset val="128"/>
        <scheme val="none"/>
      </font>
      <numFmt numFmtId="14" formatCode="0.00%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medium">
          <color indexed="64"/>
        </bottom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ＭＳ Ｐゴシック"/>
        <family val="3"/>
        <charset val="128"/>
        <scheme val="none"/>
      </font>
      <numFmt numFmtId="14" formatCode="0.00%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medium">
          <color indexed="64"/>
        </bottom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ＭＳ Ｐゴシック"/>
        <family val="3"/>
        <charset val="128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medium">
          <color indexed="64"/>
        </bottom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ＭＳ Ｐゴシック"/>
        <family val="3"/>
        <charset val="128"/>
        <scheme val="none"/>
      </font>
      <numFmt numFmtId="177" formatCode="[h]:mm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medium">
          <color indexed="64"/>
        </bottom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ＭＳ Ｐゴシック"/>
        <family val="3"/>
        <charset val="128"/>
        <scheme val="none"/>
      </font>
      <numFmt numFmtId="177" formatCode="[h]:mm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medium">
          <color indexed="64"/>
        </bottom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ＭＳ Ｐゴシック"/>
        <family val="3"/>
        <charset val="128"/>
        <scheme val="minor"/>
      </font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ＭＳ Ｐゴシック"/>
        <family val="3"/>
        <charset val="128"/>
        <scheme val="minor"/>
      </font>
      <numFmt numFmtId="14" formatCode="0.00%"/>
      <border diagonalUp="0" diagonalDown="0" outline="0">
        <left style="thin">
          <color indexed="64"/>
        </left>
        <right style="thin">
          <color indexed="64"/>
        </right>
        <top/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ＭＳ Ｐゴシック"/>
        <family val="3"/>
        <charset val="128"/>
        <scheme val="minor"/>
      </font>
      <numFmt numFmtId="14" formatCode="0.00%"/>
      <border diagonalUp="0" diagonalDown="0" outline="0">
        <left style="thin">
          <color indexed="64"/>
        </left>
        <right style="thin">
          <color indexed="64"/>
        </right>
        <top/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ＭＳ Ｐゴシック"/>
        <family val="3"/>
        <charset val="128"/>
        <scheme val="minor"/>
      </font>
      <border diagonalUp="0" diagonalDown="0" outline="0">
        <left style="thin">
          <color indexed="64"/>
        </left>
        <right style="thin">
          <color indexed="64"/>
        </right>
        <top/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ＭＳ Ｐゴシック"/>
        <family val="3"/>
        <charset val="128"/>
        <scheme val="minor"/>
      </font>
      <border diagonalUp="0" diagonalDown="0" outline="0">
        <left style="thin">
          <color indexed="64"/>
        </left>
        <right style="thin">
          <color indexed="64"/>
        </right>
        <top/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ＭＳ Ｐゴシック"/>
        <family val="3"/>
        <charset val="128"/>
        <scheme val="minor"/>
      </font>
      <border diagonalUp="0" diagonalDown="0" outline="0">
        <left style="thin">
          <color indexed="64"/>
        </left>
        <right style="thin">
          <color indexed="64"/>
        </right>
        <top/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ＭＳ Ｐゴシック"/>
        <family val="3"/>
        <charset val="128"/>
        <scheme val="minor"/>
      </font>
      <border diagonalUp="0" diagonalDown="0" outline="0">
        <left style="thin">
          <color indexed="64"/>
        </left>
        <right style="thin">
          <color indexed="64"/>
        </right>
        <top/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ＭＳ Ｐゴシック"/>
        <family val="3"/>
        <charset val="128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medium">
          <color indexed="64"/>
        </bottom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ＭＳ Ｐゴシック"/>
        <family val="3"/>
        <charset val="128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medium">
          <color indexed="64"/>
        </bottom>
      </border>
      <protection locked="1" hidden="0"/>
    </dxf>
    <dxf>
      <font>
        <b val="0"/>
        <i val="0"/>
        <strike val="0"/>
        <condense val="0"/>
        <extend val="0"/>
        <outline val="0"/>
        <shadow val="0"/>
        <u/>
        <vertAlign val="baseline"/>
        <sz val="11"/>
        <color theme="10"/>
        <name val="ＭＳ Ｐゴシック"/>
        <family val="3"/>
        <charset val="128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medium">
          <color indexed="64"/>
        </bottom>
      </border>
      <protection locked="1" hidden="0"/>
    </dxf>
    <dxf>
      <numFmt numFmtId="176" formatCode="m&quot;月&quot;d&quot;日&quot;;@"/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theme="1" tint="0.24994659260841701"/>
        </patternFill>
      </fill>
    </dxf>
    <dxf>
      <fill>
        <patternFill>
          <bgColor theme="0" tint="-0.34998626667073579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b/>
        <i val="0"/>
        <color rgb="FF9C6500"/>
      </font>
    </dxf>
    <dxf>
      <font>
        <color theme="0"/>
      </font>
      <fill>
        <patternFill>
          <bgColor rgb="FF0000FF"/>
        </patternFill>
      </fill>
    </dxf>
    <dxf>
      <font>
        <color theme="0"/>
      </font>
      <fill>
        <patternFill>
          <bgColor rgb="FFFF0000"/>
        </patternFill>
      </fill>
    </dxf>
    <dxf>
      <font>
        <b/>
        <i val="0"/>
        <color rgb="FFFFC000"/>
      </font>
    </dxf>
    <dxf>
      <font>
        <color theme="4" tint="0.39994506668294322"/>
      </font>
      <fill>
        <patternFill>
          <bgColor theme="4" tint="-0.499984740745262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0"/>
      </font>
      <fill>
        <patternFill>
          <bgColor rgb="FF639725"/>
        </patternFill>
      </fill>
    </dxf>
    <dxf>
      <font>
        <color theme="1" tint="0.34998626667073579"/>
      </font>
      <fill>
        <patternFill>
          <bgColor rgb="FFB4DE86"/>
        </patternFill>
      </fill>
    </dxf>
    <dxf>
      <font>
        <color rgb="FF002060"/>
      </font>
      <fill>
        <patternFill>
          <bgColor theme="8" tint="0.39994506668294322"/>
        </patternFill>
      </fill>
    </dxf>
    <dxf>
      <font>
        <b/>
        <i val="0"/>
        <color theme="5" tint="-0.499984740745262"/>
      </font>
      <fill>
        <patternFill>
          <bgColor theme="5" tint="0.39994506668294322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theme="1" tint="0.24994659260841701"/>
        </patternFill>
      </fill>
    </dxf>
    <dxf>
      <font>
        <color rgb="FF0000FF"/>
      </font>
      <fill>
        <patternFill>
          <bgColor rgb="FF00B0F0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ＭＳ Ｐゴシック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relative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medium">
          <color auto="1"/>
        </top>
        <bottom style="medium">
          <color auto="1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ＭＳ Ｐゴシック"/>
        <family val="3"/>
        <charset val="128"/>
        <scheme val="none"/>
      </font>
      <numFmt numFmtId="176" formatCode="m&quot;月&quot;d&quot;日&quot;;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ＭＳ Ｐゴシック"/>
        <family val="3"/>
        <charset val="128"/>
        <scheme val="none"/>
      </font>
      <numFmt numFmtId="14" formatCode="0.00%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ＭＳ Ｐゴシック"/>
        <family val="3"/>
        <charset val="128"/>
        <scheme val="none"/>
      </font>
      <numFmt numFmtId="14" formatCode="0.00%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ＭＳ Ｐゴシック"/>
        <family val="3"/>
        <charset val="128"/>
        <scheme val="none"/>
      </font>
      <numFmt numFmtId="177" formatCode="[h]:mm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ＭＳ Ｐゴシック"/>
        <family val="3"/>
        <charset val="128"/>
        <scheme val="none"/>
      </font>
      <numFmt numFmtId="177" formatCode="[h]:mm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ＭＳ Ｐゴシック"/>
        <family val="3"/>
        <scheme val="none"/>
      </font>
      <numFmt numFmtId="177" formatCode="[h]:mm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ＭＳ Ｐゴシック"/>
        <scheme val="minor"/>
      </font>
      <alignment horizontal="left" vertical="center" textRotation="0" wrapText="0" relative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medium">
          <color auto="1"/>
        </top>
        <bottom style="medium">
          <color auto="1"/>
        </bottom>
      </border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ＭＳ Ｐゴシック"/>
        <scheme val="minor"/>
      </font>
      <numFmt numFmtId="14" formatCode="0.00%"/>
      <border diagonalUp="0" diagonalDown="0" outline="0">
        <left style="thin">
          <color indexed="64"/>
        </left>
        <right style="thin">
          <color indexed="64"/>
        </right>
        <top style="medium">
          <color auto="1"/>
        </top>
        <bottom style="medium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ＭＳ Ｐゴシック"/>
        <scheme val="minor"/>
      </font>
      <numFmt numFmtId="14" formatCode="0.00%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ＭＳ Ｐゴシック"/>
        <scheme val="minor"/>
      </font>
      <border diagonalUp="0" diagonalDown="0">
        <left style="thin">
          <color indexed="64"/>
        </left>
        <right style="thin">
          <color indexed="64"/>
        </right>
        <top style="medium">
          <color auto="1"/>
        </top>
        <bottom style="medium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ＭＳ Ｐゴシック"/>
        <scheme val="minor"/>
      </font>
      <border diagonalUp="0" diagonalDown="0">
        <left style="thin">
          <color indexed="64"/>
        </left>
        <right style="thin">
          <color indexed="64"/>
        </right>
        <top style="medium">
          <color auto="1"/>
        </top>
        <bottom style="medium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ＭＳ Ｐゴシック"/>
        <scheme val="minor"/>
      </font>
      <border diagonalUp="0" diagonalDown="0">
        <left style="thin">
          <color indexed="64"/>
        </left>
        <right style="thin">
          <color indexed="64"/>
        </right>
        <top style="medium">
          <color auto="1"/>
        </top>
        <bottom style="medium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ＭＳ Ｐゴシック"/>
        <scheme val="minor"/>
      </font>
      <border diagonalUp="0" diagonalDown="0">
        <left style="thin">
          <color indexed="64"/>
        </left>
        <right style="thin">
          <color indexed="64"/>
        </right>
        <top style="medium">
          <color auto="1"/>
        </top>
        <bottom style="medium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ＭＳ Ｐゴシック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relative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medium">
          <color auto="1"/>
        </top>
        <bottom style="medium">
          <color auto="1"/>
        </bottom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ＭＳ Ｐゴシック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relative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medium">
          <color auto="1"/>
        </top>
        <bottom style="medium">
          <color auto="1"/>
        </bottom>
      </border>
      <protection locked="0" hidden="0"/>
    </dxf>
    <dxf>
      <fill>
        <patternFill patternType="none">
          <fgColor indexed="64"/>
          <bgColor indexed="65"/>
        </patternFill>
      </fill>
      <alignment horizontal="center" vertical="center" textRotation="0" wrapText="0" relative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medium">
          <color auto="1"/>
        </top>
        <bottom style="medium">
          <color auto="1"/>
        </bottom>
      </border>
      <protection locked="1" hidden="0"/>
    </dxf>
    <dxf>
      <numFmt numFmtId="176" formatCode="m&quot;月&quot;d&quot;日&quot;;@"/>
      <alignment horizontal="center" vertical="center" textRotation="0" wrapText="0" relativeIndent="0" justifyLastLine="0" shrinkToFit="0" readingOrder="0"/>
      <border diagonalUp="0" diagonalDown="0">
        <left style="medium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right style="medium">
          <color indexed="64"/>
        </right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ＭＳ Ｐゴシック"/>
        <scheme val="minor"/>
      </font>
      <fill>
        <patternFill patternType="solid">
          <fgColor indexed="64"/>
          <bgColor rgb="FF00B050"/>
        </patternFill>
      </fill>
      <alignment horizontal="center" vertical="center" textRotation="0" wrapText="0" relative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00FF"/>
      </font>
      <fill>
        <patternFill>
          <bgColor rgb="FF00B0F0"/>
        </patternFill>
      </fill>
    </dxf>
    <dxf>
      <font>
        <color rgb="FF0000FF"/>
      </font>
      <fill>
        <patternFill>
          <bgColor rgb="FF00B0F0"/>
        </patternFill>
      </fill>
    </dxf>
    <dxf>
      <font>
        <color rgb="FF0000FF"/>
      </font>
      <fill>
        <patternFill>
          <bgColor rgb="FF00B0F0"/>
        </patternFill>
      </fill>
    </dxf>
    <dxf>
      <fill>
        <patternFill>
          <bgColor theme="1" tint="0.499984740745262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0000FF"/>
      </font>
      <fill>
        <patternFill>
          <bgColor rgb="FF00B0F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b/>
        <i val="0"/>
        <color rgb="FFFF0000"/>
      </font>
    </dxf>
    <dxf>
      <font>
        <b val="0"/>
        <i val="0"/>
        <color theme="4" tint="0.39994506668294322"/>
      </font>
      <fill>
        <patternFill>
          <bgColor rgb="FF002060"/>
        </patternFill>
      </fill>
    </dxf>
    <dxf>
      <fill>
        <patternFill>
          <bgColor theme="1" tint="0.499984740745262"/>
        </patternFill>
      </fill>
    </dxf>
  </dxfs>
  <tableStyles count="0" defaultTableStyle="TableStyleMedium9" defaultPivotStyle="PivotStyleLight16"/>
  <colors>
    <mruColors>
      <color rgb="FFB4DE86"/>
      <color rgb="FF0000FF"/>
      <color rgb="FF639725"/>
      <color rgb="FFFFC7CE"/>
      <color rgb="FF9C0006"/>
      <color rgb="FFFFEB9C"/>
      <color rgb="FF9C6500"/>
      <color rgb="FFFFFF9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テーブル1" displayName="テーブル1" ref="B15:T17" totalsRowCount="1" headerRowDxfId="60" tableBorderDxfId="59">
  <autoFilter ref="B15:T16" xr:uid="{00000000-0009-0000-0100-000001000000}"/>
  <tableColumns count="19">
    <tableColumn id="1" xr3:uid="{00000000-0010-0000-0000-000001000000}" name="!ID!" totalsRowLabel="集計"/>
    <tableColumn id="2" xr3:uid="{00000000-0010-0000-0000-000002000000}" name="更新日" totalsRowFunction="custom" dataDxfId="58" totalsRowDxfId="17">
      <calculatedColumnFormula>INDIRECT(ADDRESS(ROW(checksheet!E$13),COLUMN(checksheet!E$13),1,TRUE,テーブル1[$H_ITEM$]))</calculatedColumnFormula>
      <totalsRowFormula>IF(MAX(last_update_range)&gt;0, MAX(last_update_range), "-")</totalsRowFormula>
    </tableColumn>
    <tableColumn id="3" xr3:uid="{00000000-0010-0000-0000-000003000000}" name="$H_ITEM$" dataDxfId="57" totalsRowDxfId="16" dataCellStyle="ハイパーリンク"/>
    <tableColumn id="4" xr3:uid="{00000000-0010-0000-0000-000004000000}" name="対象外" dataDxfId="56" totalsRowDxfId="15" dataCellStyle="ハイパーリンク"/>
    <tableColumn id="5" xr3:uid="{00000000-0010-0000-0000-000005000000}" name="ステータス" dataDxfId="55" totalsRowDxfId="14" dataCellStyle="ハイパーリンク">
      <calculatedColumnFormula>IF($E16&lt;&gt;"","-",INDIRECT(ADDRESS(ROW(checksheet!E$12),COLUMN(checksheet!E$12),1,TRUE,テーブル1[$H_ITEM$])))</calculatedColumnFormula>
    </tableColumn>
    <tableColumn id="6" xr3:uid="{00000000-0010-0000-0000-000006000000}" name="総項目数" totalsRowFunction="sum" dataDxfId="54" totalsRowDxfId="13">
      <calculatedColumnFormula>IF($E16&lt;&gt;"","-",INDIRECT(ADDRESS(ROW(checksheet!E$4),COLUMN(checksheet!E$4),1,TRUE,テーブル1[$H_ITEM$])))</calculatedColumnFormula>
    </tableColumn>
    <tableColumn id="7" xr3:uid="{00000000-0010-0000-0000-000007000000}" name="問題なし" totalsRowFunction="sum" dataDxfId="53" totalsRowDxfId="12">
      <calculatedColumnFormula>IF($E16&lt;&gt;"","-",INDIRECT(ADDRESS(ROW(checksheet!E$5),COLUMN(checksheet!E$5),1,TRUE,テーブル1[$H_ITEM$])))</calculatedColumnFormula>
    </tableColumn>
    <tableColumn id="8" xr3:uid="{00000000-0010-0000-0000-000008000000}" name="問題あり" totalsRowFunction="sum" dataDxfId="52" totalsRowDxfId="11">
      <calculatedColumnFormula>IF($E16&lt;&gt;"","-",INDIRECT(ADDRESS(ROW(checksheet!E$6),COLUMN(checksheet!E$6),1,TRUE,テーブル1[$H_ITEM$])))</calculatedColumnFormula>
    </tableColumn>
    <tableColumn id="9" xr3:uid="{00000000-0010-0000-0000-000009000000}" name="未確認数" totalsRowFunction="sum" dataDxfId="51" totalsRowDxfId="10">
      <calculatedColumnFormula>IF($E16&lt;&gt;"","-",INDIRECT(ADDRESS(ROW(checksheet!E$7),COLUMN(checksheet!E$7),1,TRUE,テーブル1[$H_ITEM$])))</calculatedColumnFormula>
    </tableColumn>
    <tableColumn id="14" xr3:uid="{00000000-0010-0000-0000-00000E000000}" name="消化率" totalsRowFunction="custom" dataDxfId="50" totalsRowDxfId="9">
      <calculatedColumnFormula>IF(OR($E16&lt;&gt;"",G16=0),"-",(H16+I16)/G16)</calculatedColumnFormula>
      <totalsRowFormula>IF(G17&gt;0,(H17+I17)/G17,0)</totalsRowFormula>
    </tableColumn>
    <tableColumn id="10" xr3:uid="{00000000-0010-0000-0000-00000A000000}" name="進捗率" totalsRowFunction="custom" dataDxfId="49" totalsRowDxfId="8">
      <calculatedColumnFormula>IF(OR($E16&lt;&gt;"",G16=0),"-",H16/G16)</calculatedColumnFormula>
      <totalsRowFormula>IF(G17&gt;0,H17/G17,0)</totalsRowFormula>
    </tableColumn>
    <tableColumn id="11" xr3:uid="{00000000-0010-0000-0000-00000B000000}" name="備考欄" dataDxfId="48" totalsRowDxfId="7"/>
    <tableColumn id="12" xr3:uid="{00000000-0010-0000-0000-00000C000000}" name="作業時間（計画）" totalsRowFunction="sum" dataDxfId="47" totalsRowDxfId="6" dataCellStyle="ハイパーリンク">
      <calculatedColumnFormula>IF($E16&lt;&gt;"","-",INDIRECT(ADDRESS(ROW(checksheet!E$8),COLUMN(checksheet!E$8),1,TRUE,テーブル1[$H_ITEM$]))/1440)</calculatedColumnFormula>
    </tableColumn>
    <tableColumn id="16" xr3:uid="{00000000-0010-0000-0000-000010000000}" name="作業時間（実績）" totalsRowFunction="sum" dataDxfId="46" totalsRowDxfId="5" dataCellStyle="ハイパーリンク">
      <calculatedColumnFormula>IF($E16&lt;&gt;"","-",INDIRECT(ADDRESS(ROW(checksheet!E$9),COLUMN(checksheet!E$9),1,TRUE,テーブル1[$H_ITEM$]))/1440)</calculatedColumnFormula>
    </tableColumn>
    <tableColumn id="18" xr3:uid="{00000000-0010-0000-0000-000012000000}" name="残務時間" totalsRowFunction="custom" dataDxfId="45" totalsRowDxfId="4" dataCellStyle="ハイパーリンク">
      <calculatedColumnFormula>IF($E16&lt;&gt;"","-",INDIRECT(ADDRESS(ROW(checksheet!E$14),COLUMN(checksheet!E$14),1,TRUE,テーブル1[$H_ITEM$]))/1440)</calculatedColumnFormula>
      <totalsRowFormula>TEXT(SUBTOTAL(109,テーブル1[残務時間]), "[h]:mm") &amp;  " (" &amp;ROUND(SUBTOTAL(109,テーブル1[残務時間])*1440/60/6.5,2) &amp; "人日)"</totalsRowFormula>
    </tableColumn>
    <tableColumn id="15" xr3:uid="{00000000-0010-0000-0000-00000F000000}" name="達成率（作業時間）" totalsRowFunction="custom" dataDxfId="44" totalsRowDxfId="3" dataCellStyle="ハイパーリンク">
      <calculatedColumnFormula>IF($E16&lt;&gt;"","-",IF(テーブル1[作業時間（計画）]&gt;0, 1-テーブル1[残務時間]/テーブル1[作業時間（計画）],"-"))</calculatedColumnFormula>
      <totalsRowFormula>IF(テーブル1[[#Totals],[作業時間（計画）]]&gt;0,1-SUBTOTAL(109,テーブル1[残務時間])/テーブル1[[#Totals],[作業時間（計画）]],"-")</totalsRowFormula>
    </tableColumn>
    <tableColumn id="19" xr3:uid="{00000000-0010-0000-0000-000013000000}" name="実績/計画" totalsRowFunction="custom" dataDxfId="43" totalsRowDxfId="2" dataCellStyle="ハイパーリンク">
      <calculatedColumnFormula>IF($E16="保留","-",IF(テーブル1[作業時間（計画）]&lt;&gt;テーブル1[残務時間], テーブル1[作業時間（実績）]/(テーブル1[作業時間（計画）]-テーブル1[残務時間]),"-"))</calculatedColumnFormula>
      <totalsRowFormula>IF(テーブル1[[#Totals],[作業時間（計画）]]&lt;&gt;SUBTOTAL(109,テーブル1[残務時間]), テーブル1[[#Totals],[作業時間（実績）]]/(テーブル1[[#Totals],[作業時間（計画）]]-SUBTOTAL(109,テーブル1[残務時間])),"-")</totalsRowFormula>
    </tableColumn>
    <tableColumn id="17" xr3:uid="{00000000-0010-0000-0000-000011000000}" name="完了予定日" dataDxfId="42" totalsRowDxfId="1" dataCellStyle="ハイパーリンク"/>
    <tableColumn id="13" xr3:uid="{00000000-0010-0000-0000-00000D000000}" name="進捗" dataDxfId="41" totalsRowDxfId="0" dataCellStyle="ハイパーリンク">
      <calculatedColumnFormula>IF($E16&lt;&gt;"","-",IF(テーブル1[進捗率]&gt;=1,"完了",IF(AND(テーブル1[進捗率]&lt;1,テーブル1[完了予定日]&lt;&gt;"",TODAY()&gt;テーブル1[完了予定日]),"遅延","")))</calculatedColumnFormula>
    </tableColumn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4">
    <tabColor rgb="FFFF0000"/>
  </sheetPr>
  <dimension ref="A1:T20"/>
  <sheetViews>
    <sheetView showGridLines="0" tabSelected="1" zoomScale="85" zoomScaleNormal="85" workbookViewId="0">
      <selection activeCell="D13" sqref="D13"/>
    </sheetView>
  </sheetViews>
  <sheetFormatPr defaultColWidth="2.5" defaultRowHeight="13.5"/>
  <cols>
    <col min="1" max="1" width="9" customWidth="1"/>
    <col min="2" max="2" width="4.375" hidden="1" customWidth="1"/>
    <col min="3" max="3" width="14.375" customWidth="1"/>
    <col min="4" max="4" width="27.5" style="9" customWidth="1"/>
    <col min="5" max="5" width="8.5" style="9" customWidth="1"/>
    <col min="6" max="6" width="13.125" style="9" customWidth="1"/>
    <col min="7" max="7" width="11.75" customWidth="1"/>
    <col min="8" max="8" width="11.75" style="10" customWidth="1"/>
    <col min="9" max="9" width="11.75" style="11" customWidth="1"/>
    <col min="10" max="11" width="11.75" style="12" customWidth="1"/>
    <col min="12" max="12" width="11.75" style="13" customWidth="1"/>
    <col min="13" max="13" width="32.25" customWidth="1"/>
    <col min="14" max="16" width="16.375" style="9" customWidth="1"/>
    <col min="17" max="17" width="23.125" style="9" customWidth="1"/>
    <col min="18" max="18" width="23.125" style="9" hidden="1" customWidth="1"/>
    <col min="19" max="19" width="16.25" style="9" customWidth="1"/>
    <col min="20" max="20" width="14.125" bestFit="1" customWidth="1"/>
    <col min="21" max="21" width="2.5" customWidth="1"/>
  </cols>
  <sheetData>
    <row r="1" spans="1:20" s="4" customFormat="1" ht="18.75">
      <c r="C1" s="58" t="s">
        <v>51</v>
      </c>
      <c r="D1" s="3"/>
      <c r="E1" s="3"/>
      <c r="F1" s="3"/>
      <c r="H1" s="5"/>
      <c r="I1" s="6"/>
      <c r="J1" s="59"/>
      <c r="K1" s="59"/>
      <c r="L1" s="60"/>
      <c r="N1" s="3"/>
      <c r="O1" s="3"/>
      <c r="P1" s="3"/>
      <c r="Q1" s="3"/>
      <c r="R1" s="3"/>
      <c r="S1" s="3"/>
    </row>
    <row r="2" spans="1:20" s="4" customFormat="1" ht="18.75">
      <c r="A2" s="1"/>
      <c r="B2" s="1"/>
      <c r="C2" s="2" t="s">
        <v>24</v>
      </c>
      <c r="D2" s="3"/>
      <c r="E2" s="3"/>
      <c r="F2" s="3"/>
      <c r="H2" s="5"/>
      <c r="I2" s="6"/>
      <c r="J2" s="7" t="s">
        <v>0</v>
      </c>
      <c r="K2" s="7"/>
      <c r="L2" s="8" t="str">
        <f ca="1">テーブル1[[#Totals],[更新日]]</f>
        <v>-</v>
      </c>
      <c r="N2" s="3"/>
      <c r="O2" s="3"/>
      <c r="P2" s="3"/>
      <c r="Q2" s="3"/>
      <c r="R2" s="3"/>
      <c r="S2" s="3"/>
    </row>
    <row r="4" spans="1:20">
      <c r="C4" s="49" t="s">
        <v>11</v>
      </c>
    </row>
    <row r="5" spans="1:20" ht="14.25" thickBot="1"/>
    <row r="6" spans="1:20" ht="13.5" customHeight="1">
      <c r="C6" s="14" t="s">
        <v>40</v>
      </c>
      <c r="D6" s="15" t="s">
        <v>41</v>
      </c>
      <c r="E6" s="47"/>
      <c r="F6" s="47"/>
      <c r="H6"/>
      <c r="I6"/>
      <c r="J6"/>
      <c r="K6"/>
      <c r="L6"/>
      <c r="N6" s="47"/>
      <c r="O6" s="47"/>
      <c r="P6" s="47"/>
      <c r="Q6" s="47"/>
      <c r="R6" s="47"/>
      <c r="S6" s="47"/>
    </row>
    <row r="7" spans="1:20" ht="13.5" customHeight="1">
      <c r="C7" s="55" t="s">
        <v>62</v>
      </c>
      <c r="D7" s="56" t="s">
        <v>39</v>
      </c>
      <c r="E7" s="47"/>
      <c r="F7" s="47"/>
      <c r="H7"/>
      <c r="I7"/>
      <c r="J7"/>
      <c r="K7"/>
      <c r="L7"/>
      <c r="N7" s="47"/>
      <c r="O7" s="47"/>
      <c r="P7" s="47"/>
      <c r="Q7" s="47"/>
      <c r="R7" s="47"/>
      <c r="S7" s="47"/>
    </row>
    <row r="8" spans="1:20">
      <c r="C8" s="16" t="s">
        <v>63</v>
      </c>
      <c r="D8" s="17" t="s">
        <v>32</v>
      </c>
      <c r="E8" s="47"/>
      <c r="F8" s="47"/>
      <c r="H8"/>
      <c r="I8"/>
      <c r="J8"/>
      <c r="K8"/>
      <c r="L8"/>
      <c r="N8" s="47"/>
      <c r="O8" s="47"/>
      <c r="P8" s="47"/>
      <c r="Q8" s="47"/>
      <c r="R8" s="47"/>
      <c r="S8" s="47"/>
    </row>
    <row r="9" spans="1:20">
      <c r="C9" s="18" t="s">
        <v>1</v>
      </c>
      <c r="D9" s="19" t="s">
        <v>23</v>
      </c>
      <c r="E9" s="47"/>
      <c r="F9" s="47"/>
      <c r="H9"/>
      <c r="I9"/>
      <c r="J9"/>
      <c r="K9"/>
      <c r="L9"/>
      <c r="N9" s="47"/>
      <c r="O9" s="47"/>
      <c r="P9" s="47"/>
      <c r="Q9" s="47"/>
      <c r="R9" s="47"/>
      <c r="S9" s="47"/>
    </row>
    <row r="10" spans="1:20">
      <c r="C10" s="18" t="s">
        <v>2</v>
      </c>
      <c r="D10" s="75" t="s">
        <v>33</v>
      </c>
      <c r="E10" s="47"/>
      <c r="F10" s="47"/>
      <c r="H10"/>
      <c r="I10"/>
      <c r="J10"/>
      <c r="K10"/>
      <c r="L10"/>
      <c r="N10" s="47"/>
      <c r="O10" s="47"/>
      <c r="P10" s="47"/>
      <c r="Q10" s="47"/>
      <c r="R10" s="47"/>
      <c r="S10" s="47"/>
    </row>
    <row r="11" spans="1:20">
      <c r="C11" s="18" t="s">
        <v>34</v>
      </c>
      <c r="D11" s="50" t="s">
        <v>36</v>
      </c>
      <c r="E11" s="47"/>
      <c r="F11" s="47"/>
      <c r="H11"/>
      <c r="I11"/>
      <c r="J11"/>
      <c r="K11"/>
      <c r="L11"/>
      <c r="N11" s="47"/>
      <c r="O11" s="47"/>
      <c r="P11" s="47"/>
      <c r="Q11" s="47"/>
      <c r="R11" s="47"/>
      <c r="S11" s="47"/>
    </row>
    <row r="12" spans="1:20">
      <c r="C12" s="18" t="s">
        <v>20</v>
      </c>
      <c r="D12" s="50">
        <f ca="1">TODAY()</f>
        <v>44081</v>
      </c>
      <c r="E12" s="47"/>
      <c r="F12" s="47"/>
      <c r="H12"/>
      <c r="I12"/>
      <c r="J12"/>
      <c r="K12"/>
      <c r="L12"/>
      <c r="N12" s="47"/>
      <c r="O12" s="47"/>
      <c r="P12" s="47"/>
      <c r="Q12" s="47"/>
      <c r="R12" s="47"/>
      <c r="S12" s="47"/>
    </row>
    <row r="13" spans="1:20" ht="14.25" thickBot="1">
      <c r="C13" s="20" t="s">
        <v>3</v>
      </c>
      <c r="D13" s="21" t="s">
        <v>72</v>
      </c>
      <c r="E13" s="47"/>
      <c r="F13" s="47"/>
      <c r="H13"/>
      <c r="I13"/>
      <c r="J13"/>
      <c r="K13"/>
      <c r="L13"/>
      <c r="N13" s="47"/>
      <c r="O13" s="47"/>
      <c r="P13" s="47"/>
      <c r="Q13" s="47"/>
      <c r="R13" s="47"/>
      <c r="S13" s="47"/>
    </row>
    <row r="14" spans="1:20" ht="14.25" thickBot="1"/>
    <row r="15" spans="1:20" s="9" customFormat="1" ht="14.25" thickBot="1">
      <c r="B15" s="9" t="s">
        <v>38</v>
      </c>
      <c r="C15" s="22" t="s">
        <v>4</v>
      </c>
      <c r="D15" s="23" t="s">
        <v>30</v>
      </c>
      <c r="E15" s="23" t="s">
        <v>71</v>
      </c>
      <c r="F15" s="23" t="s">
        <v>48</v>
      </c>
      <c r="G15" s="23" t="s">
        <v>5</v>
      </c>
      <c r="H15" s="24" t="s">
        <v>6</v>
      </c>
      <c r="I15" s="25" t="s">
        <v>7</v>
      </c>
      <c r="J15" s="23" t="s">
        <v>8</v>
      </c>
      <c r="K15" s="23" t="s">
        <v>64</v>
      </c>
      <c r="L15" s="26" t="s">
        <v>65</v>
      </c>
      <c r="M15" s="23" t="s">
        <v>9</v>
      </c>
      <c r="N15" s="23" t="s">
        <v>29</v>
      </c>
      <c r="O15" s="62" t="s">
        <v>54</v>
      </c>
      <c r="P15" s="62" t="s">
        <v>52</v>
      </c>
      <c r="Q15" s="62" t="s">
        <v>60</v>
      </c>
      <c r="R15" s="62" t="s">
        <v>61</v>
      </c>
      <c r="S15" s="62" t="s">
        <v>53</v>
      </c>
      <c r="T15" s="23" t="s">
        <v>56</v>
      </c>
    </row>
    <row r="16" spans="1:20">
      <c r="B16">
        <v>1</v>
      </c>
      <c r="C16" s="27" t="str">
        <f ca="1">INDIRECT(ADDRESS(ROW(checksheet!E$13),COLUMN(checksheet!E$13),1,TRUE,テーブル1[$H_ITEM$]))</f>
        <v>-</v>
      </c>
      <c r="D16" s="32" t="s">
        <v>22</v>
      </c>
      <c r="E16" s="73"/>
      <c r="F16" s="48" t="str">
        <f ca="1">IF($E16&lt;&gt;"","-",INDIRECT(ADDRESS(ROW(checksheet!E$12),COLUMN(checksheet!E$12),1,TRUE,テーブル1[$H_ITEM$])))</f>
        <v>チェック可</v>
      </c>
      <c r="G16" s="28">
        <f ca="1">IF($E16&lt;&gt;"","-",INDIRECT(ADDRESS(ROW(checksheet!E$4),COLUMN(checksheet!E$4),1,TRUE,テーブル1[$H_ITEM$])))</f>
        <v>1</v>
      </c>
      <c r="H16" s="28">
        <f ca="1">IF($E16&lt;&gt;"","-",INDIRECT(ADDRESS(ROW(checksheet!E$5),COLUMN(checksheet!E$5),1,TRUE,テーブル1[$H_ITEM$])))</f>
        <v>0</v>
      </c>
      <c r="I16" s="28">
        <f ca="1">IF($E16&lt;&gt;"","-",INDIRECT(ADDRESS(ROW(checksheet!E$6),COLUMN(checksheet!E$6),1,TRUE,テーブル1[$H_ITEM$])))</f>
        <v>0</v>
      </c>
      <c r="J16" s="28">
        <f ca="1">IF($E16&lt;&gt;"","-",INDIRECT(ADDRESS(ROW(checksheet!E$7),COLUMN(checksheet!E$7),1,TRUE,テーブル1[$H_ITEM$])))</f>
        <v>1</v>
      </c>
      <c r="K16" s="29">
        <f ca="1">IF(OR($E16&lt;&gt;"",G16=0),"-",(H16+I16)/G16)</f>
        <v>0</v>
      </c>
      <c r="L16" s="29">
        <f ca="1">IF(OR($E16&lt;&gt;"",G16=0),"-",H16/G16)</f>
        <v>0</v>
      </c>
      <c r="M16" s="74"/>
      <c r="N16" s="65">
        <f ca="1">IF($E16&lt;&gt;"","-",INDIRECT(ADDRESS(ROW(checksheet!E$8),COLUMN(checksheet!E$8),1,TRUE,テーブル1[$H_ITEM$]))/1440)</f>
        <v>0</v>
      </c>
      <c r="O16" s="65">
        <f ca="1">IF($E16&lt;&gt;"","-",INDIRECT(ADDRESS(ROW(checksheet!E$9),COLUMN(checksheet!E$9),1,TRUE,テーブル1[$H_ITEM$]))/1440)</f>
        <v>0</v>
      </c>
      <c r="P16" s="65">
        <f ca="1">IF($E16&lt;&gt;"","-",INDIRECT(ADDRESS(ROW(checksheet!E$14),COLUMN(checksheet!E$14),1,TRUE,テーブル1[$H_ITEM$]))/1440)</f>
        <v>0</v>
      </c>
      <c r="Q16" s="66" t="str">
        <f ca="1">IF($E16&lt;&gt;"","-",IF(テーブル1[作業時間（計画）]&gt;0, 1-テーブル1[残務時間]/テーブル1[作業時間（計画）],"-"))</f>
        <v>-</v>
      </c>
      <c r="R16" s="66" t="str">
        <f ca="1">IF($E16="保留","-",IF(テーブル1[作業時間（計画）]&lt;&gt;テーブル1[残務時間], テーブル1[作業時間（実績）]/(テーブル1[作業時間（計画）]-テーブル1[残務時間]),"-"))</f>
        <v>-</v>
      </c>
      <c r="S16" s="63"/>
      <c r="T16" s="68" t="str">
        <f ca="1">IF($E16&lt;&gt;"","-",IF(テーブル1[進捗率]&gt;=1,"完了",IF(AND(テーブル1[進捗率]&lt;1,テーブル1[完了予定日]&lt;&gt;"",TODAY()&gt;テーブル1[完了予定日]),"遅延","")))</f>
        <v/>
      </c>
    </row>
    <row r="17" spans="2:20" s="12" customFormat="1" ht="14.25" thickBot="1">
      <c r="B17" t="s">
        <v>37</v>
      </c>
      <c r="C17" s="61" t="str">
        <f ca="1">IF(MAX(last_update_range)&gt;0, MAX(last_update_range), "-")</f>
        <v>-</v>
      </c>
      <c r="D17" s="52"/>
      <c r="E17" s="53"/>
      <c r="F17" s="53"/>
      <c r="G17" s="30">
        <f ca="1">SUBTOTAL(109,テーブル1[総項目数])</f>
        <v>1</v>
      </c>
      <c r="H17" s="30">
        <f ca="1">SUBTOTAL(109,テーブル1[問題なし])</f>
        <v>0</v>
      </c>
      <c r="I17" s="30">
        <f ca="1">SUBTOTAL(109,テーブル1[問題あり])</f>
        <v>0</v>
      </c>
      <c r="J17" s="30">
        <f ca="1">SUBTOTAL(109,テーブル1[未確認数])</f>
        <v>1</v>
      </c>
      <c r="K17" s="31">
        <f ca="1">IF(G17&gt;0,(H17+I17)/G17,0)</f>
        <v>0</v>
      </c>
      <c r="L17" s="31">
        <f ca="1">IF(G17&gt;0,H17/G17,0)</f>
        <v>0</v>
      </c>
      <c r="M17" s="54"/>
      <c r="N17" s="64">
        <f ca="1">SUBTOTAL(109,テーブル1[作業時間（計画）])</f>
        <v>0</v>
      </c>
      <c r="O17" s="64">
        <f ca="1">SUBTOTAL(109,テーブル1[作業時間（実績）])</f>
        <v>0</v>
      </c>
      <c r="P17" s="53" t="str">
        <f ca="1">TEXT(SUBTOTAL(109,テーブル1[残務時間]), "[h]:mm") &amp;  " (" &amp;ROUND(SUBTOTAL(109,テーブル1[残務時間])*1440/60/6.5,2) &amp; "人日)"</f>
        <v>0:00 (0人日)</v>
      </c>
      <c r="Q17" s="67" t="str">
        <f ca="1">IF(テーブル1[[#Totals],[作業時間（計画）]]&gt;0,1-SUBTOTAL(109,テーブル1[残務時間])/テーブル1[[#Totals],[作業時間（計画）]],"-")</f>
        <v>-</v>
      </c>
      <c r="R17" s="67" t="str">
        <f ca="1">IF(テーブル1[[#Totals],[作業時間（計画）]]&lt;&gt;SUBTOTAL(109,テーブル1[残務時間]), テーブル1[[#Totals],[作業時間（実績）]]/(テーブル1[[#Totals],[作業時間（計画）]]-SUBTOTAL(109,テーブル1[残務時間])),"-")</f>
        <v>-</v>
      </c>
      <c r="S17" s="53"/>
      <c r="T17" s="53"/>
    </row>
    <row r="20" spans="2:20" ht="13.5" customHeight="1"/>
  </sheetData>
  <sheetProtection selectLockedCells="1"/>
  <phoneticPr fontId="3"/>
  <conditionalFormatting sqref="C16:L16 N16:T16">
    <cfRule type="expression" dxfId="74" priority="1" stopIfTrue="1">
      <formula>$E16&lt;&gt;""</formula>
    </cfRule>
  </conditionalFormatting>
  <conditionalFormatting sqref="C16:K16 N16:T16">
    <cfRule type="expression" dxfId="73" priority="9" stopIfTrue="1">
      <formula>AND($G16=$H16,AND($C16&lt;$D$11,$C16&lt;&gt;"-"))</formula>
    </cfRule>
  </conditionalFormatting>
  <conditionalFormatting sqref="K16:L17">
    <cfRule type="dataBar" priority="20">
      <dataBar>
        <cfvo type="num" val="0"/>
        <cfvo type="num" val="1"/>
        <color rgb="FF008AEF"/>
      </dataBar>
      <extLst>
        <ext xmlns:x14="http://schemas.microsoft.com/office/spreadsheetml/2009/9/main" uri="{B025F937-C7B1-47D3-B67F-A62EFF666E3E}">
          <x14:id>{00000000-000E-0000-0000-000014000000}</x14:id>
        </ext>
      </extLst>
    </cfRule>
  </conditionalFormatting>
  <conditionalFormatting sqref="C16:C17">
    <cfRule type="timePeriod" dxfId="72" priority="8" timePeriod="today">
      <formula>FLOOR(C16,1)=TODAY()</formula>
    </cfRule>
  </conditionalFormatting>
  <conditionalFormatting sqref="I16:I17">
    <cfRule type="cellIs" dxfId="71" priority="22" stopIfTrue="1" operator="greaterThan">
      <formula>0</formula>
    </cfRule>
  </conditionalFormatting>
  <conditionalFormatting sqref="F16">
    <cfRule type="cellIs" dxfId="70" priority="10" stopIfTrue="1" operator="equal">
      <formula>"チェック完了"</formula>
    </cfRule>
    <cfRule type="cellIs" dxfId="69" priority="11" stopIfTrue="1" operator="equal">
      <formula>"チェック不可"</formula>
    </cfRule>
    <cfRule type="cellIs" dxfId="68" priority="18" stopIfTrue="1" operator="equal">
      <formula>"-"</formula>
    </cfRule>
  </conditionalFormatting>
  <conditionalFormatting sqref="J16:J17">
    <cfRule type="cellIs" dxfId="67" priority="32" stopIfTrue="1" operator="equal">
      <formula>0</formula>
    </cfRule>
  </conditionalFormatting>
  <conditionalFormatting sqref="H16:I17">
    <cfRule type="expression" dxfId="66" priority="41" stopIfTrue="1">
      <formula>$H16=$G16</formula>
    </cfRule>
  </conditionalFormatting>
  <conditionalFormatting sqref="T16">
    <cfRule type="containsText" dxfId="65" priority="6" stopIfTrue="1" operator="containsText" text="完了">
      <formula>NOT(ISERROR(SEARCH("完了",T16)))</formula>
    </cfRule>
    <cfRule type="containsText" dxfId="64" priority="7" stopIfTrue="1" operator="containsText" text="遅延">
      <formula>NOT(ISERROR(SEARCH("遅延",T16)))</formula>
    </cfRule>
  </conditionalFormatting>
  <conditionalFormatting sqref="R16:R17">
    <cfRule type="cellIs" dxfId="63" priority="3" stopIfTrue="1" operator="greaterThanOrEqual">
      <formula>1</formula>
    </cfRule>
    <cfRule type="cellIs" dxfId="62" priority="5" stopIfTrue="1" operator="lessThan">
      <formula>1</formula>
    </cfRule>
  </conditionalFormatting>
  <dataValidations count="1">
    <dataValidation type="list" allowBlank="1" showInputMessage="1" showErrorMessage="1" sqref="E16" xr:uid="{00000000-0002-0000-0000-000000000000}">
      <formula1>"対象外"</formula1>
    </dataValidation>
  </dataValidations>
  <hyperlinks>
    <hyperlink ref="D16" location="checksheet!B1" display="checksheet" xr:uid="{00000000-0004-0000-0000-000000000000}"/>
  </hyperlinks>
  <pageMargins left="0.7" right="0.7" top="0.75" bottom="0.75" header="0.3" footer="0.3"/>
  <pageSetup paperSize="9" orientation="portrait" r:id="rId1"/>
  <legacyDrawing r:id="rId2"/>
  <tableParts count="1">
    <tablePart r:id="rId3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00000000-000E-0000-0000-000014000000}">
            <x14:dataBar gradient="0" negativeBarColorSameAsPositive="1" axisPosition="none">
              <x14:cfvo type="num">
                <xm:f>0</xm:f>
              </x14:cfvo>
              <x14:cfvo type="num">
                <xm:f>1</xm:f>
              </x14:cfvo>
            </x14:dataBar>
          </x14:cfRule>
          <xm:sqref>K16:L17</xm:sqref>
        </x14:conditionalFormatting>
        <x14:conditionalFormatting xmlns:xm="http://schemas.microsoft.com/office/excel/2006/main">
          <x14:cfRule type="containsText" priority="14" stopIfTrue="1" operator="containsText" id="{2606E46D-8C34-4A12-9341-1FECD5C8DDBF}">
            <xm:f>NOT(ISERROR(SEARCH("チェック可",F16)))</xm:f>
            <xm:f>"チェック可"</xm:f>
            <x14:dxf>
              <font>
                <condense val="0"/>
                <extend val="0"/>
                <color rgb="FF006100"/>
              </font>
              <fill>
                <patternFill>
                  <bgColor rgb="FFC6EFCE"/>
                </patternFill>
              </fill>
            </x14:dxf>
          </x14:cfRule>
          <xm:sqref>F16</xm:sqref>
        </x14:conditionalFormatting>
        <x14:conditionalFormatting xmlns:xm="http://schemas.microsoft.com/office/excel/2006/main">
          <x14:cfRule type="containsText" priority="2" stopIfTrue="1" operator="containsText" id="{D09D5753-9F57-49BA-8939-F23ED254D93B}">
            <xm:f>NOT(ISERROR(SEARCH("-",R16)))</xm:f>
            <xm:f>"-"</xm:f>
            <x14:dxf/>
          </x14:cfRule>
          <xm:sqref>R16:R17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8">
    <tabColor theme="0" tint="-0.34998626667073579"/>
  </sheetPr>
  <dimension ref="B1:R21"/>
  <sheetViews>
    <sheetView showGridLines="0" zoomScale="85" zoomScaleNormal="85" workbookViewId="0">
      <pane xSplit="4" ySplit="20" topLeftCell="E21" activePane="bottomRight" state="frozen"/>
      <selection pane="topRight" activeCell="C1" sqref="C1"/>
      <selection pane="bottomLeft" activeCell="A17" sqref="A17"/>
      <selection pane="bottomRight" activeCell="D21" sqref="D21"/>
    </sheetView>
  </sheetViews>
  <sheetFormatPr defaultColWidth="9" defaultRowHeight="13.5" outlineLevelRow="1"/>
  <cols>
    <col min="1" max="1" width="0" style="42" hidden="1" customWidth="1"/>
    <col min="2" max="2" width="2.5" style="42" customWidth="1"/>
    <col min="3" max="3" width="2.5" style="42" hidden="1" customWidth="1"/>
    <col min="4" max="4" width="33.625" style="42" customWidth="1"/>
    <col min="5" max="5" width="20.625" style="42" customWidth="1"/>
    <col min="6" max="7" width="14.375" style="42" bestFit="1" customWidth="1"/>
    <col min="8" max="8" width="8.375" style="42" bestFit="1" customWidth="1"/>
    <col min="9" max="9" width="33" style="42" customWidth="1"/>
    <col min="10" max="10" width="21.25" style="42" customWidth="1"/>
    <col min="11" max="11" width="9.625" style="42" bestFit="1" customWidth="1"/>
    <col min="12" max="12" width="10.5" style="42" bestFit="1" customWidth="1"/>
    <col min="13" max="13" width="12" style="42" bestFit="1" customWidth="1"/>
    <col min="14" max="15" width="15.125" style="42" customWidth="1"/>
    <col min="16" max="17" width="17.25" style="42" customWidth="1"/>
    <col min="18" max="18" width="9" style="42" customWidth="1"/>
    <col min="19" max="16384" width="9" style="42"/>
  </cols>
  <sheetData>
    <row r="1" spans="2:15" hidden="1">
      <c r="E1" s="42" t="s">
        <v>75</v>
      </c>
      <c r="F1" s="42" t="s">
        <v>76</v>
      </c>
      <c r="G1" s="42" t="s">
        <v>77</v>
      </c>
      <c r="H1" s="42" t="s">
        <v>78</v>
      </c>
      <c r="I1" s="42" t="s">
        <v>79</v>
      </c>
    </row>
    <row r="2" spans="2:15" s="35" customFormat="1" ht="18.75">
      <c r="B2" s="4"/>
      <c r="C2" s="4"/>
      <c r="D2" s="34" t="s">
        <v>21</v>
      </c>
    </row>
    <row r="3" spans="2:15" s="36" customFormat="1">
      <c r="D3" s="37"/>
      <c r="E3" s="37"/>
    </row>
    <row r="4" spans="2:15" s="36" customFormat="1" ht="13.5" hidden="1" customHeight="1" outlineLevel="1">
      <c r="D4" s="38" t="s">
        <v>13</v>
      </c>
      <c r="E4" s="38">
        <f t="array" ref="E4">COUNTIF(check_cell,"&lt;&gt;-*") - SUM(IFERROR(IF((LEFT(check_cell)="○")*(VALUE(RIGHT(check_cell,6))&lt;VALUE(start_date)), 1), 0))</f>
        <v>1</v>
      </c>
      <c r="F4" s="38">
        <f ca="1">SUM(OFFSET(O21,0, 0, ROWS(check_cell),1))</f>
        <v>1</v>
      </c>
      <c r="G4" s="38"/>
      <c r="H4" s="38"/>
      <c r="I4" s="38"/>
      <c r="J4" s="38"/>
      <c r="K4" s="38"/>
      <c r="L4" s="38"/>
      <c r="M4" s="38"/>
      <c r="N4" s="38"/>
      <c r="O4" s="38"/>
    </row>
    <row r="5" spans="2:15" s="36" customFormat="1" ht="13.5" hidden="1" customHeight="1" outlineLevel="1">
      <c r="D5" s="39" t="s">
        <v>14</v>
      </c>
      <c r="E5" s="38">
        <f t="array" ref="E5">SUM(IFERROR(IF((LEFT(check_cell)="○") * (VALUE(RIGHT(check_cell,6))&gt;=VALUE(start_date)), 1), 0))</f>
        <v>0</v>
      </c>
      <c r="F5" s="39">
        <f ca="1">SUM(OFFSET(P21,0, 0, ROWS(check_cell),1))</f>
        <v>0</v>
      </c>
      <c r="G5" s="38"/>
      <c r="H5" s="39"/>
      <c r="I5" s="38"/>
      <c r="J5" s="38"/>
      <c r="K5" s="38"/>
      <c r="L5" s="38"/>
      <c r="M5" s="38"/>
      <c r="N5" s="38"/>
      <c r="O5" s="38"/>
    </row>
    <row r="6" spans="2:15" s="36" customFormat="1" ht="13.5" hidden="1" customHeight="1" outlineLevel="1">
      <c r="D6" s="40" t="s">
        <v>15</v>
      </c>
      <c r="E6" s="38">
        <f>COUNTIF(check_cell,"×*")</f>
        <v>0</v>
      </c>
      <c r="F6" s="38"/>
      <c r="G6" s="38"/>
      <c r="H6" s="40"/>
      <c r="I6" s="38"/>
      <c r="J6" s="38"/>
      <c r="K6" s="38"/>
      <c r="L6" s="38"/>
      <c r="M6" s="38"/>
      <c r="N6" s="38"/>
      <c r="O6" s="38"/>
    </row>
    <row r="7" spans="2:15" s="36" customFormat="1" ht="13.5" hidden="1" customHeight="1" outlineLevel="1">
      <c r="D7" s="41" t="s">
        <v>18</v>
      </c>
      <c r="E7" s="38">
        <f>E4-(E5+E6)</f>
        <v>1</v>
      </c>
      <c r="F7" s="38"/>
      <c r="G7" s="38"/>
      <c r="H7" s="41"/>
      <c r="I7" s="38"/>
      <c r="J7" s="38"/>
      <c r="K7" s="38"/>
      <c r="L7" s="38"/>
      <c r="M7" s="38"/>
      <c r="N7" s="38"/>
      <c r="O7" s="38"/>
    </row>
    <row r="8" spans="2:15" s="36" customFormat="1" ht="13.5" hidden="1" customHeight="1" outlineLevel="1">
      <c r="D8" s="41" t="s">
        <v>27</v>
      </c>
      <c r="E8" s="38">
        <f t="array" aca="1" ref="E8" ca="1">SUM(OFFSET(O21,0, 0, ROWS(check_cell),1)*OFFSET(Q21,0, 0, ROWS(check_cell),1))</f>
        <v>0</v>
      </c>
      <c r="F8" s="38"/>
      <c r="G8" s="38"/>
      <c r="H8" s="41"/>
      <c r="I8" s="38"/>
      <c r="J8" s="38"/>
      <c r="K8" s="38"/>
      <c r="L8" s="38"/>
      <c r="M8" s="38"/>
      <c r="N8" s="38"/>
      <c r="O8" s="38"/>
    </row>
    <row r="9" spans="2:15" s="36" customFormat="1" ht="13.5" hidden="1" customHeight="1" outlineLevel="1">
      <c r="D9" s="41" t="s">
        <v>28</v>
      </c>
      <c r="E9" s="38">
        <f ca="1">SUM(OFFSET(G21,0, 0, ROWS(check_cell),1))</f>
        <v>0</v>
      </c>
      <c r="F9" s="38"/>
      <c r="G9" s="38"/>
      <c r="H9" s="41"/>
      <c r="I9" s="38"/>
      <c r="J9" s="38"/>
      <c r="K9" s="38"/>
      <c r="L9" s="38"/>
      <c r="M9" s="38"/>
      <c r="N9" s="38"/>
      <c r="O9" s="38"/>
    </row>
    <row r="10" spans="2:15" s="36" customFormat="1" ht="13.5" hidden="1" customHeight="1" outlineLevel="1">
      <c r="D10" s="41" t="s">
        <v>50</v>
      </c>
      <c r="E10" s="38">
        <f ca="1">COUNTIF(OFFSET(M21,0, 0, ROWS(check_cell),1), "チェック可")</f>
        <v>1</v>
      </c>
      <c r="F10" s="38"/>
      <c r="G10" s="38"/>
      <c r="H10" s="41"/>
      <c r="I10" s="38"/>
      <c r="J10" s="38"/>
      <c r="K10" s="38"/>
      <c r="L10" s="38"/>
      <c r="M10" s="38"/>
      <c r="N10" s="38"/>
      <c r="O10" s="38"/>
    </row>
    <row r="11" spans="2:15" s="36" customFormat="1" ht="13.5" hidden="1" customHeight="1" outlineLevel="1">
      <c r="D11" s="41" t="s">
        <v>49</v>
      </c>
      <c r="E11" s="38">
        <f ca="1">COUNTIF(OFFSET(M21,0, 0, ROWS(check_cell),1), "*チェック*可")</f>
        <v>1</v>
      </c>
      <c r="F11" s="38"/>
      <c r="G11" s="38"/>
      <c r="H11" s="41"/>
      <c r="I11" s="38"/>
      <c r="J11" s="38"/>
      <c r="K11" s="38"/>
      <c r="L11" s="38"/>
      <c r="M11" s="38"/>
      <c r="N11" s="38"/>
      <c r="O11" s="38"/>
    </row>
    <row r="12" spans="2:15" s="36" customFormat="1" ht="13.5" hidden="1" customHeight="1" outlineLevel="1">
      <c r="D12" s="41" t="s">
        <v>48</v>
      </c>
      <c r="E12" s="38" t="str">
        <f ca="1">IF(E11=0, "チェック完了", IF(E10=E11, "チェック可", IF(E10+COUNTIF(OFFSET(M21,0, 0, ROWS(check_cell),1), "一部チェック可")=0, "チェック不可", "一部チェック可")))</f>
        <v>チェック可</v>
      </c>
      <c r="F12" s="38"/>
      <c r="G12" s="38"/>
      <c r="H12" s="41"/>
      <c r="I12" s="38"/>
      <c r="J12" s="38"/>
      <c r="K12" s="38"/>
      <c r="L12" s="38"/>
      <c r="M12" s="38"/>
      <c r="N12" s="38"/>
      <c r="O12" s="38"/>
    </row>
    <row r="13" spans="2:15" s="36" customFormat="1" ht="13.5" hidden="1" customHeight="1" outlineLevel="1">
      <c r="D13" s="41" t="s">
        <v>4</v>
      </c>
      <c r="E13" s="45" t="str">
        <f t="array" ref="E13">IF(last_update &gt; 0, last_update, "-")</f>
        <v>-</v>
      </c>
      <c r="F13" s="38"/>
      <c r="G13" s="38"/>
      <c r="H13" s="41"/>
      <c r="I13" s="38"/>
      <c r="J13" s="38"/>
      <c r="K13" s="38"/>
      <c r="L13" s="38"/>
      <c r="M13" s="38"/>
      <c r="N13" s="38"/>
      <c r="O13" s="38"/>
    </row>
    <row r="14" spans="2:15" s="36" customFormat="1" ht="13.5" hidden="1" customHeight="1" outlineLevel="1">
      <c r="D14" s="41" t="s">
        <v>55</v>
      </c>
      <c r="E14" s="38">
        <f t="array" aca="1" ref="E14" ca="1">SUM(OFFSET(R21,0, 0, ROWS(check_cell),1))</f>
        <v>0</v>
      </c>
      <c r="F14" s="38"/>
      <c r="G14" s="38"/>
      <c r="H14" s="41"/>
      <c r="I14" s="38"/>
      <c r="J14" s="38"/>
      <c r="K14" s="38"/>
      <c r="L14" s="38"/>
      <c r="M14" s="38"/>
      <c r="N14" s="38"/>
      <c r="O14" s="38"/>
    </row>
    <row r="15" spans="2:15" s="36" customFormat="1" ht="13.5" hidden="1" customHeight="1" outlineLevel="1">
      <c r="D15" s="41"/>
      <c r="E15" s="38"/>
      <c r="F15" s="38"/>
      <c r="G15" s="38"/>
      <c r="H15" s="41"/>
      <c r="I15" s="38"/>
      <c r="J15" s="38"/>
      <c r="K15" s="38"/>
      <c r="L15" s="38"/>
      <c r="M15" s="38"/>
      <c r="N15" s="38"/>
      <c r="O15" s="38"/>
    </row>
    <row r="16" spans="2:15" s="36" customFormat="1" ht="13.5" hidden="1" customHeight="1" outlineLevel="1">
      <c r="D16" s="41"/>
      <c r="E16" s="38"/>
      <c r="F16" s="38"/>
      <c r="G16" s="38"/>
      <c r="H16" s="41"/>
      <c r="I16" s="38"/>
      <c r="J16" s="38"/>
      <c r="K16" s="38"/>
      <c r="L16" s="38"/>
      <c r="M16" s="38"/>
      <c r="N16" s="38"/>
      <c r="O16" s="38"/>
    </row>
    <row r="17" spans="2:18" s="36" customFormat="1" ht="13.5" hidden="1" customHeight="1" outlineLevel="1">
      <c r="D17" s="41"/>
      <c r="E17" s="38"/>
      <c r="F17" s="38"/>
      <c r="G17" s="38"/>
      <c r="H17" s="41"/>
      <c r="I17" s="38"/>
      <c r="J17" s="38"/>
      <c r="K17" s="38"/>
      <c r="L17" s="38"/>
      <c r="M17" s="38"/>
      <c r="N17" s="38"/>
      <c r="O17" s="38"/>
    </row>
    <row r="18" spans="2:18" s="36" customFormat="1" collapsed="1">
      <c r="D18" s="37"/>
      <c r="E18" s="37"/>
    </row>
    <row r="19" spans="2:18" s="36" customFormat="1">
      <c r="D19" s="37"/>
      <c r="E19" s="37"/>
    </row>
    <row r="20" spans="2:18">
      <c r="B20" s="78"/>
      <c r="C20" s="78"/>
      <c r="D20" s="43" t="s">
        <v>16</v>
      </c>
      <c r="E20" s="44" t="s">
        <v>17</v>
      </c>
      <c r="F20" s="44" t="s">
        <v>66</v>
      </c>
      <c r="G20" s="44" t="s">
        <v>67</v>
      </c>
      <c r="H20" s="44" t="s">
        <v>25</v>
      </c>
      <c r="I20" s="44" t="s">
        <v>26</v>
      </c>
      <c r="J20" s="44" t="s">
        <v>70</v>
      </c>
      <c r="K20" s="44" t="s">
        <v>69</v>
      </c>
      <c r="L20" s="44" t="s">
        <v>68</v>
      </c>
      <c r="M20" s="44" t="s">
        <v>48</v>
      </c>
      <c r="O20" s="42" t="s">
        <v>57</v>
      </c>
      <c r="P20" s="42" t="s">
        <v>58</v>
      </c>
      <c r="Q20" s="42" t="s">
        <v>59</v>
      </c>
      <c r="R20" s="42" t="s">
        <v>55</v>
      </c>
    </row>
    <row r="21" spans="2:18">
      <c r="B21" s="78"/>
      <c r="C21" s="78"/>
      <c r="D21" s="77" t="s">
        <v>31</v>
      </c>
      <c r="E21" s="76"/>
      <c r="F21" s="71"/>
      <c r="G21" s="72"/>
      <c r="H21" s="71"/>
      <c r="I21" s="71"/>
      <c r="J21" s="46" t="str">
        <f>IFERROR(MID(checksheet!check_cell, 5, FIND(K21,checksheet!check_cell)-5-3),"")</f>
        <v/>
      </c>
      <c r="K21" s="69" t="str">
        <f>IF(ISERROR(VALUE(RIGHT(checksheet!check_cell,6))),"",MID(LEFT(checksheet!check_cell, LEN(checksheet!check_cell) - 9),FIND("/", checksheet!check_cell, 5)+2,LEN(checksheet!check_cell)))</f>
        <v/>
      </c>
      <c r="L21" s="70" t="str">
        <f>IF(ISERROR(VALUE(RIGHT(checksheet!check_cell,6))),"",DATE("20"&amp;LEFT(RIGHT(checksheet!check_cell,6),2),LEFT(RIGHT(checksheet!check_cell,4),2),RIGHT(checksheet!check_cell,2)))</f>
        <v/>
      </c>
      <c r="M21" s="57" t="str">
        <f ca="1">IF( COUNTBLANK(check_cell_row) + COUNTIF(check_cell_row, "×*") + COUNTIF(check_cell_row, "検証中*") &gt; 0, IF( COUNTIF(check_cell_row, "~&lt; 未実装*") &gt; 0, "一部チェック可", "チェック可"), IF( COUNTIF(check_cell_row, "~&lt; 未実装*") &gt; 0, "チェック不可", IF( COUNTIF(check_cell_row, "○*") &gt; 0, "チェック完了", "-")))</f>
        <v>チェック可</v>
      </c>
      <c r="O21" s="42">
        <f t="array" aca="1" ref="O21" ca="1">COUNTIF(check_cell_row,"&lt;&gt;-*") - SUM(IFERROR(IF((LEFT(check_cell_row)="○")*(VALUE(RIGHT(check_cell_row,6))&lt;VALUE(start_date)), 1), 0))</f>
        <v>1</v>
      </c>
      <c r="P21" s="42">
        <f t="array" aca="1" ref="P21" ca="1">SUM(IFERROR(IF((LEFT(check_cell_row)="○") * (VALUE(RIGHT(check_cell_row,6))&gt;=VALUE(start_date)), 1), 0))</f>
        <v>0</v>
      </c>
      <c r="Q21" s="42">
        <f t="array" aca="1" ref="Q21" ca="1">IF(COUNTIF(check_cell_row,"&lt;&gt;-")=0, 0, F21/COUNTIF(check_cell_row,"&lt;&gt;-"))</f>
        <v>0</v>
      </c>
      <c r="R21" s="42">
        <f ca="1">(O21-P21)*Q21</f>
        <v>0</v>
      </c>
    </row>
  </sheetData>
  <sheetProtection selectLockedCells="1"/>
  <phoneticPr fontId="3"/>
  <conditionalFormatting sqref="M21">
    <cfRule type="containsText" dxfId="40" priority="6" stopIfTrue="1" operator="containsText" text="チェック可">
      <formula>NOT(ISERROR(SEARCH("チェック可",M21)))</formula>
    </cfRule>
    <cfRule type="containsText" dxfId="39" priority="20" stopIfTrue="1" operator="containsText" text="チェック完了">
      <formula>NOT(ISERROR(SEARCH("チェック完了",M21)))</formula>
    </cfRule>
    <cfRule type="containsText" dxfId="38" priority="21" stopIfTrue="1" operator="containsText" text="*-">
      <formula>NOT(ISERROR(SEARCH("*-",M21)))</formula>
    </cfRule>
    <cfRule type="containsText" dxfId="37" priority="23" stopIfTrue="1" operator="containsText" text="チェック不可">
      <formula>NOT(ISERROR(SEARCH("チェック不可",M21)))</formula>
    </cfRule>
    <cfRule type="containsText" dxfId="36" priority="29" stopIfTrue="1" operator="containsText" text="一部チェック可">
      <formula>NOT(ISERROR(SEARCH("一部チェック可",M21)))</formula>
    </cfRule>
  </conditionalFormatting>
  <conditionalFormatting sqref="D21">
    <cfRule type="expression" dxfId="35" priority="1" stopIfTrue="1">
      <formula>COUNTIF(D21,"*※※*")</formula>
    </cfRule>
    <cfRule type="expression" dxfId="34" priority="2" stopIfTrue="1">
      <formula>COUNTIF(D21,"【*】*")</formula>
    </cfRule>
    <cfRule type="expression" dxfId="33" priority="8" stopIfTrue="1">
      <formula>AND(COUNTIF(D21,"*低優先度*"),$M21&lt;&gt;"-")</formula>
    </cfRule>
    <cfRule type="expression" priority="10" stopIfTrue="1">
      <formula>TRUE</formula>
    </cfRule>
    <cfRule type="expression" dxfId="32" priority="7" stopIfTrue="1">
      <formula>IF(MID(OFFSET($D21,0,-1),COLUMNS($D21:D21),1)="-",FALSE,     IF(MID(OFFSET($D21,0,-1),COLUMNS($D21:D21),1)="x",COUNTIF($M21,"*チェック*可")=0,         COUNTIF(             OFFSET($M$21,                 HEX2DEC(                     MID(                         OFFSET($D$21,-1,-1),                         1+8*HEX2DEC(                             MID(                                 OFFSET($D21,0,-1),                                 LEN(OFFSET($D21,0,-1))-3-4*HEX2DEC(                                     MID(                                         OFFSET($D21,0,-1),                                         COLUMNS($D21:D21),                                         1                                     )                                 ),                                 4                             )                         ),                         4                     )                 ),                 0,                 HEX2DEC(                     MID(                         OFFSET($D$21,-1,-1),                         1+8*HEX2DEC(                             MID(                                 OFFSET($D21,0,-1),                                 LEN(OFFSET($D21,0,-1))-3-4*HEX2DEC(                                     MID(                                         OFFSET($D21,0,-1),                                         COLUMNS($D21:D21),                                         1                                     )                                 ),                                 4                             )                         )+4,                         4                     )                 ),             ),             "*チェック*可"         )=0     ) )</formula>
    </cfRule>
  </conditionalFormatting>
  <conditionalFormatting sqref="A2:XFD2">
    <cfRule type="expression" priority="51" stopIfTrue="1">
      <formula>$E$4=$E$5</formula>
    </cfRule>
    <cfRule type="expression" dxfId="31" priority="52" stopIfTrue="1">
      <formula>COUNTIF($E$12,"*チェック可")&gt;0</formula>
    </cfRule>
    <cfRule type="expression" dxfId="30" priority="54" stopIfTrue="1">
      <formula>$E$12="チェック不可"</formula>
    </cfRule>
  </conditionalFormatting>
  <conditionalFormatting sqref="G21">
    <cfRule type="expression" dxfId="29" priority="71">
      <formula>AND($G21="",COUNTIFS($E21,"○*")&gt;0)</formula>
    </cfRule>
  </conditionalFormatting>
  <conditionalFormatting sqref="F21">
    <cfRule type="expression" dxfId="28" priority="72">
      <formula>AND($F21="",COUNTIFS($E21,"-*")=0)</formula>
    </cfRule>
  </conditionalFormatting>
  <conditionalFormatting sqref="E21">
    <cfRule type="containsText" dxfId="27" priority="17" operator="containsText" text="チェック不可">
      <formula>NOT(ISERROR(SEARCH("チェック不可",E21)))</formula>
    </cfRule>
    <cfRule type="expression" dxfId="26" priority="19" stopIfTrue="1">
      <formula>AND(COUNTIF(E21,"○*"),VALUE(RIGHT(E21,6))&lt; VALUE(start_date))</formula>
    </cfRule>
    <cfRule type="expression" dxfId="25" priority="22">
      <formula>COUNTIF(E21,"*" &amp; check_today)</formula>
    </cfRule>
    <cfRule type="containsText" dxfId="24" priority="25" stopIfTrue="1" operator="containsText" text="×*">
      <formula>NOT(ISERROR(SEARCH("×*",E21)))</formula>
    </cfRule>
    <cfRule type="containsText" dxfId="23" priority="26" stopIfTrue="1" operator="containsText" text="○*">
      <formula>NOT(ISERROR(SEARCH("○*",E21)))</formula>
    </cfRule>
    <cfRule type="expression" dxfId="22" priority="27">
      <formula>COUNTIF(E21,"*" &amp; tester)</formula>
    </cfRule>
    <cfRule type="containsText" dxfId="21" priority="32" stopIfTrue="1" operator="containsText" text="検証中">
      <formula>NOT(ISERROR(SEARCH("検証中",E21)))</formula>
    </cfRule>
    <cfRule type="containsText" dxfId="20" priority="48" stopIfTrue="1" operator="containsText" text="*低優先度*">
      <formula>NOT(ISERROR(SEARCH("*低優先度*",E21)))</formula>
    </cfRule>
    <cfRule type="expression" dxfId="19" priority="49" stopIfTrue="1">
      <formula>LEFT(E21,1)="-"</formula>
    </cfRule>
    <cfRule type="containsText" dxfId="18" priority="50" stopIfTrue="1" operator="containsText" text="*未実装*">
      <formula>NOT(ISERROR(SEARCH("*未実装*",E21)))</formula>
    </cfRule>
  </conditionalFormatting>
  <dataValidations count="4">
    <dataValidation type="list" allowBlank="1" showInputMessage="1" showErrorMessage="1" sqref="E21" xr:uid="{00000000-0002-0000-0100-000000000000}">
      <formula1>check_item</formula1>
    </dataValidation>
    <dataValidation allowBlank="1" showInputMessage="1" showErrorMessage="1" prompt="半角でID（番号）のみをコンマ区切りで記載" sqref="H21" xr:uid="{00000000-0002-0000-0100-000001000000}"/>
    <dataValidation allowBlank="1" showInputMessage="1" showErrorMessage="1" prompt="※バグについては記載不要（バグに関する情報はBTkへ集約）_x000a_補足した方が望ましいものがあれば記載_x000a_・具体的な数値_x000a_・チェック箇所・回数_x000a_・特殊な確認環境（試作筐体、デバッグ機能使用等）_x000a_等_x000a_" sqref="I21" xr:uid="{00000000-0002-0000-0100-000002000000}"/>
    <dataValidation type="decimal" operator="greaterThanOrEqual" allowBlank="1" showInputMessage="1" showErrorMessage="1" sqref="F21:G21" xr:uid="{1E3710D6-158C-47A5-9BB9-9D33863C7C15}">
      <formula1>0.25</formula1>
    </dataValidation>
  </dataValidation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17">
    <tabColor theme="0" tint="-0.34998626667073579"/>
  </sheetPr>
  <dimension ref="B2:B37"/>
  <sheetViews>
    <sheetView zoomScale="80" zoomScaleNormal="80" workbookViewId="0">
      <selection activeCell="B25" sqref="B25"/>
    </sheetView>
  </sheetViews>
  <sheetFormatPr defaultColWidth="9" defaultRowHeight="13.5"/>
  <cols>
    <col min="1" max="1" width="2.5" style="33" customWidth="1"/>
    <col min="2" max="2" width="27.5" style="33" customWidth="1"/>
    <col min="3" max="3" width="12.75" style="33" customWidth="1"/>
    <col min="4" max="16384" width="9" style="33"/>
  </cols>
  <sheetData>
    <row r="2" spans="2:2">
      <c r="B2" s="33" t="s">
        <v>47</v>
      </c>
    </row>
    <row r="3" spans="2:2">
      <c r="B3" s="33" t="str">
        <f>index!D13</f>
        <v>$_TESTER$</v>
      </c>
    </row>
    <row r="5" spans="2:2">
      <c r="B5" s="33" t="s">
        <v>19</v>
      </c>
    </row>
    <row r="6" spans="2:2">
      <c r="B6" s="51" t="str">
        <f ca="1">TEXT(index!D12,"yymmdd")</f>
        <v>200907</v>
      </c>
    </row>
    <row r="8" spans="2:2">
      <c r="B8" s="33" t="s">
        <v>35</v>
      </c>
    </row>
    <row r="9" spans="2:2">
      <c r="B9" s="51" t="str">
        <f>TEXT(IF(ISNUMBER(index!D11), index!D11,1),"yymmdd")</f>
        <v>000101</v>
      </c>
    </row>
    <row r="11" spans="2:2">
      <c r="B11" s="33" t="s">
        <v>42</v>
      </c>
    </row>
    <row r="12" spans="2:2">
      <c r="B12" s="33" t="str">
        <f>"- 対象外（" &amp; index!D6 &amp;"） -"</f>
        <v>- 対象外（$VERSION$） -</v>
      </c>
    </row>
    <row r="14" spans="2:2">
      <c r="B14" s="33" t="s">
        <v>43</v>
      </c>
    </row>
    <row r="15" spans="2:2">
      <c r="B15" s="33" t="str">
        <f>"- 低優先度 -"</f>
        <v>- 低優先度 -</v>
      </c>
    </row>
    <row r="17" spans="2:2">
      <c r="B17" s="33" t="s">
        <v>46</v>
      </c>
    </row>
    <row r="18" spans="2:2">
      <c r="B18" s="33" t="str">
        <f>"検証中 / " &amp; index!D13</f>
        <v>検証中 / $_TESTER$</v>
      </c>
    </row>
    <row r="20" spans="2:2">
      <c r="B20" s="33" t="s">
        <v>44</v>
      </c>
    </row>
    <row r="21" spans="2:2">
      <c r="B21" s="33" t="s">
        <v>45</v>
      </c>
    </row>
    <row r="23" spans="2:2">
      <c r="B23" s="33" t="s">
        <v>73</v>
      </c>
    </row>
    <row r="24" spans="2:2">
      <c r="B24" s="33" t="str">
        <f>"MN:(" &amp; index!D7 &amp;"), STA:(" &amp;  index!D8  &amp; ")"</f>
        <v>MN:($_VERSION_MAIN$), STA:($_VERSION_STATION$)</v>
      </c>
    </row>
    <row r="25" spans="2:2">
      <c r="B25" s="33" t="str">
        <f>IF( index!D7="",  index!D8, B24)</f>
        <v>MN:($_VERSION_MAIN$), STA:($_VERSION_STATION$)</v>
      </c>
    </row>
    <row r="27" spans="2:2">
      <c r="B27" s="33" t="s">
        <v>74</v>
      </c>
    </row>
    <row r="28" spans="2:2">
      <c r="B28" s="33" t="str">
        <f ca="1">" / " &amp; B25 &amp;  " / " &amp; index!D13 &amp; " / " &amp; B6</f>
        <v xml:space="preserve"> / MN:($_VERSION_MAIN$), STA:($_VERSION_STATION$) / $_TESTER$ / 200907</v>
      </c>
    </row>
    <row r="30" spans="2:2">
      <c r="B30" s="33" t="s">
        <v>12</v>
      </c>
    </row>
    <row r="31" spans="2:2">
      <c r="B31" s="33" t="str">
        <f ca="1">"○" &amp; B28</f>
        <v>○ / MN:($_VERSION_MAIN$), STA:($_VERSION_STATION$) / $_TESTER$ / 200907</v>
      </c>
    </row>
    <row r="32" spans="2:2">
      <c r="B32" s="33" t="str">
        <f ca="1">"×" &amp; B28</f>
        <v>× / MN:($_VERSION_MAIN$), STA:($_VERSION_STATION$) / $_TESTER$ / 200907</v>
      </c>
    </row>
    <row r="33" spans="2:2">
      <c r="B33" s="33" t="str">
        <f>B18</f>
        <v>検証中 / $_TESTER$</v>
      </c>
    </row>
    <row r="34" spans="2:2">
      <c r="B34" s="33" t="str">
        <f>B21</f>
        <v>&lt; 未実装 &gt;</v>
      </c>
    </row>
    <row r="35" spans="2:2">
      <c r="B35" s="33" t="str">
        <f>B12</f>
        <v>- 対象外（$VERSION$） -</v>
      </c>
    </row>
    <row r="36" spans="2:2">
      <c r="B36" s="33" t="str">
        <f>B15</f>
        <v>- 低優先度 -</v>
      </c>
    </row>
    <row r="37" spans="2:2">
      <c r="B37" s="33" t="s">
        <v>10</v>
      </c>
    </row>
  </sheetData>
  <phoneticPr fontId="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5</vt:i4>
      </vt:variant>
    </vt:vector>
  </HeadingPairs>
  <TitlesOfParts>
    <vt:vector size="8" baseType="lpstr">
      <vt:lpstr>index</vt:lpstr>
      <vt:lpstr>checksheet</vt:lpstr>
      <vt:lpstr>管理</vt:lpstr>
      <vt:lpstr>checksheet!check_cell</vt:lpstr>
      <vt:lpstr>check_item</vt:lpstr>
      <vt:lpstr>check_today</vt:lpstr>
      <vt:lpstr>start_date</vt:lpstr>
      <vt:lpstr>tester</vt:lpstr>
    </vt:vector>
  </TitlesOfParts>
  <Company>KONAMI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nakajima_shinsuke</dc:creator>
  <cp:lastModifiedBy>Nakajima_Shinsuke</cp:lastModifiedBy>
  <dcterms:created xsi:type="dcterms:W3CDTF">2016-10-03T05:54:53Z</dcterms:created>
  <dcterms:modified xsi:type="dcterms:W3CDTF">2020-09-07T06:16:18Z</dcterms:modified>
</cp:coreProperties>
</file>