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FE2A56F9-8ABA-436F-86F6-B7023BF51E2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Q21" i="6" l="1" a="1"/>
  <c r="Q21" i="6" s="1"/>
  <c r="K21" i="6" l="1"/>
  <c r="J21" i="6" s="1"/>
  <c r="L21" i="6"/>
  <c r="E6" i="6" l="1"/>
  <c r="I16" i="4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N16" i="4"/>
  <c r="G16" i="4"/>
  <c r="R21" i="6" l="1"/>
  <c r="E14" i="6" s="1" a="1"/>
  <c r="E14" i="6" s="1"/>
  <c r="D12" i="4"/>
  <c r="P16" i="4"/>
  <c r="Q16" i="4" l="1"/>
  <c r="B3" i="5"/>
  <c r="B18" i="5"/>
  <c r="B33" i="5" s="1"/>
  <c r="B34" i="5"/>
  <c r="B12" i="5"/>
  <c r="B15" i="5"/>
  <c r="E9" i="6"/>
  <c r="O16" i="4"/>
  <c r="R16" i="4" l="1"/>
  <c r="O17" i="4"/>
  <c r="N17" i="4"/>
  <c r="E5" i="6" a="1"/>
  <c r="E5" i="6" s="1"/>
  <c r="E10" i="6"/>
  <c r="E12" i="6" s="1"/>
  <c r="E13" i="6" a="1"/>
  <c r="E13" i="6" s="1"/>
  <c r="C16" i="4"/>
  <c r="F16" i="4"/>
  <c r="H16" i="4"/>
  <c r="L16" i="4" l="1"/>
  <c r="T16" i="4" s="1"/>
  <c r="K16" i="4"/>
  <c r="R17" i="4"/>
  <c r="Q17" i="4"/>
  <c r="P17" i="4"/>
  <c r="I17" i="4"/>
  <c r="H17" i="4"/>
  <c r="G17" i="4"/>
  <c r="E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>メインが存在しない場合は - としてください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<sst xmlns="http://schemas.openxmlformats.org/spreadsheetml/2006/main" count="84" uniqueCount="80">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</sst>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100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85" tableBorderDxfId="84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83" totalsRowDxfId="65">
      <calculatedColumnFormula>INDIRECT(ADDRESS(ROW(checksheet!E$13),COLUMN(checksheet!E$13),1,TRUE,テーブル1[$H_ITEM$]))</calculatedColumnFormula>
      <totalsRowFormula>IF(MAX(last_update_range)&gt;0, MAX(last_update_range), "-")</totalsRowFormula>
    </tableColumn>
    <tableColumn id="3" xr3:uid="{00000000-0010-0000-0000-000003000000}" name="$H_ITEM$" dataDxfId="82" totalsRowDxfId="64" dataCellStyle="ハイパーリンク"/>
    <tableColumn id="4" xr3:uid="{00000000-0010-0000-0000-000004000000}" name="対象外" dataDxfId="81" totalsRowDxfId="63" dataCellStyle="ハイパーリンク"/>
    <tableColumn id="5" xr3:uid="{00000000-0010-0000-0000-000005000000}" name="ステータス" dataDxfId="80" totalsRowDxfId="62" dataCellStyle="ハイパーリンク">
      <calculatedColumnFormula>IF($E16&lt;&gt;"","-",INDIRECT(ADDRESS(ROW(checksheet!E$12),COLUMN(checksheet!E$12),1,TRUE,テーブル1[$H_ITEM$])))</calculatedColumnFormula>
    </tableColumn>
    <tableColumn id="6" xr3:uid="{00000000-0010-0000-0000-000006000000}" name="総項目数" totalsRowFunction="sum" dataDxfId="79" totalsRowDxfId="61">
      <calculatedColumnFormula>IF($E16&lt;&gt;"","-",INDIRECT(ADDRESS(ROW(checksheet!E$4),COLUMN(checksheet!E$4),1,TRUE,テーブル1[$H_ITEM$])))</calculatedColumnFormula>
    </tableColumn>
    <tableColumn id="7" xr3:uid="{00000000-0010-0000-0000-000007000000}" name="問題なし" totalsRowFunction="sum" dataDxfId="78" totalsRowDxfId="60">
      <calculatedColumnFormula>IF($E16&lt;&gt;"","-",INDIRECT(ADDRESS(ROW(checksheet!E$5),COLUMN(checksheet!E$5),1,TRUE,テーブル1[$H_ITEM$])))</calculatedColumnFormula>
    </tableColumn>
    <tableColumn id="8" xr3:uid="{00000000-0010-0000-0000-000008000000}" name="問題あり" totalsRowFunction="sum" dataDxfId="77" totalsRowDxfId="59">
      <calculatedColumnFormula>IF($E16&lt;&gt;"","-",INDIRECT(ADDRESS(ROW(checksheet!E$6),COLUMN(checksheet!E$6),1,TRUE,テーブル1[$H_ITEM$])))</calculatedColumnFormula>
    </tableColumn>
    <tableColumn id="9" xr3:uid="{00000000-0010-0000-0000-000009000000}" name="未確認数" totalsRowFunction="sum" dataDxfId="76" totalsRowDxfId="58">
      <calculatedColumnFormula>IF($E16&lt;&gt;"","-",INDIRECT(ADDRESS(ROW(checksheet!E$7),COLUMN(checksheet!E$7),1,TRUE,テーブル1[$H_ITEM$])))</calculatedColumnFormula>
    </tableColumn>
    <tableColumn id="14" xr3:uid="{00000000-0010-0000-0000-00000E000000}" name="消化率" totalsRowFunction="custom" dataDxfId="75" totalsRowDxfId="57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74" totalsRowDxfId="56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73" totalsRowDxfId="55"/>
    <tableColumn id="12" xr3:uid="{00000000-0010-0000-0000-00000C000000}" name="作業時間（計画）" totalsRowFunction="sum" dataDxfId="72" totalsRowDxfId="54" dataCellStyle="ハイパーリンク">
      <calculatedColumnFormula>IF($E16&lt;&gt;"","-",INDIRECT(ADDRESS(ROW(checksheet!E$8),COLUMN(checksheet!E$8),1,TRUE,テーブル1[$H_ITEM$]))/1440)</calculatedColumnFormula>
    </tableColumn>
    <tableColumn id="16" xr3:uid="{00000000-0010-0000-0000-000010000000}" name="作業時間（実績）" totalsRowFunction="sum" dataDxfId="71" totalsRowDxfId="53" dataCellStyle="ハイパーリンク">
      <calculatedColumnFormula>IF($E16&lt;&gt;"","-",INDIRECT(ADDRESS(ROW(checksheet!E$9),COLUMN(checksheet!E$9),1,TRUE,テーブル1[$H_ITEM$]))/1440)</calculatedColumnFormula>
    </tableColumn>
    <tableColumn id="18" xr3:uid="{00000000-0010-0000-0000-000012000000}" name="残務時間" totalsRowFunction="custom" dataDxfId="70" totalsRowDxfId="52" dataCellStyle="ハイパーリンク">
      <calculatedColumnFormula>IF($E16&lt;&gt;"","-",INDIRECT(ADDRESS(ROW(checksheet!E$14),COLUMN(checksheet!E$14),1,TRUE,テーブル1[$H_ITEM$]))/1440)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69" totalsRowDxfId="51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68" totalsRowDxfId="50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67" totalsRowDxfId="49" dataCellStyle="ハイパーリンク"/>
    <tableColumn id="13" xr3:uid="{00000000-0010-0000-0000-00000D000000}" name="進捗" dataDxfId="66" totalsRowDxfId="48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44020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>
      <c r="B16">
        <v>1</v>
      </c>
      <c r="C16" s="27" t="str">
        <f ca="1">INDIRECT(ADDRESS(ROW(checksheet!E$13),COLUMN(checksheet!E$13),1,TRUE,テーブル1[$H_ITEM$]))</f>
        <v>-</v>
      </c>
      <c r="D16" s="32" t="s">
        <v>22</v>
      </c>
      <c r="E16" s="73"/>
      <c r="F16" s="48" t="str">
        <f ca="1">IF($E16&lt;&gt;"","-",INDIRECT(ADDRESS(ROW(checksheet!E$12),COLUMN(checksheet!E$12),1,TRUE,テーブル1[$H_ITEM$])))</f>
        <v>チェック可</v>
      </c>
      <c r="G16" s="28">
        <f ca="1">IF($E16&lt;&gt;"","-",INDIRECT(ADDRESS(ROW(checksheet!E$4),COLUMN(checksheet!E$4),1,TRUE,テーブル1[$H_ITEM$])))</f>
        <v>1</v>
      </c>
      <c r="H16" s="28">
        <f ca="1">IF($E16&lt;&gt;"","-",INDIRECT(ADDRESS(ROW(checksheet!E$5),COLUMN(checksheet!E$5),1,TRUE,テーブル1[$H_ITEM$])))</f>
        <v>0</v>
      </c>
      <c r="I16" s="28">
        <f ca="1">IF($E16&lt;&gt;"","-",INDIRECT(ADDRESS(ROW(checksheet!E$6),COLUMN(checksheet!E$6),1,TRUE,テーブル1[$H_ITEM$])))</f>
        <v>0</v>
      </c>
      <c r="J16" s="28">
        <f ca="1">IF($E16&lt;&gt;"","-",INDIRECT(ADDRESS(ROW(checksheet!E$7),COLUMN(checksheet!E$7),1,TRUE,テーブル1[$H_ITEM$])))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IF($E16&lt;&gt;"","-",INDIRECT(ADDRESS(ROW(checksheet!E$8),COLUMN(checksheet!E$8),1,TRUE,テーブル1[$H_ITEM$]))/1440)</f>
        <v>0</v>
      </c>
      <c r="O16" s="65">
        <f ca="1">IF($E16&lt;&gt;"","-",INDIRECT(ADDRESS(ROW(checksheet!E$9),COLUMN(checksheet!E$9),1,TRUE,テーブル1[$H_ITEM$]))/1440)</f>
        <v>0</v>
      </c>
      <c r="P16" s="65">
        <f ca="1">IF($E16&lt;&gt;"","-",INDIRECT(ADDRESS(ROW(checksheet!E$14),COLUMN(checksheet!E$14),1,TRUE,テーブル1[$H_ITEM$]))/1440)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99" priority="1" stopIfTrue="1">
      <formula>$E16&lt;&gt;""</formula>
    </cfRule>
  </conditionalFormatting>
  <conditionalFormatting sqref="C16:K16 N16:T16">
    <cfRule type="expression" dxfId="98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97" priority="8" timePeriod="today">
      <formula>FLOOR(C16,1)=TODAY()</formula>
    </cfRule>
  </conditionalFormatting>
  <conditionalFormatting sqref="I16:I17">
    <cfRule type="cellIs" dxfId="96" priority="22" stopIfTrue="1" operator="greaterThan">
      <formula>0</formula>
    </cfRule>
  </conditionalFormatting>
  <conditionalFormatting sqref="F16">
    <cfRule type="cellIs" dxfId="95" priority="10" stopIfTrue="1" operator="equal">
      <formula>"チェック完了"</formula>
    </cfRule>
    <cfRule type="cellIs" dxfId="94" priority="11" stopIfTrue="1" operator="equal">
      <formula>"チェック不可"</formula>
    </cfRule>
    <cfRule type="cellIs" dxfId="93" priority="18" stopIfTrue="1" operator="equal">
      <formula>"-"</formula>
    </cfRule>
  </conditionalFormatting>
  <conditionalFormatting sqref="J16:J17">
    <cfRule type="cellIs" dxfId="92" priority="32" stopIfTrue="1" operator="equal">
      <formula>0</formula>
    </cfRule>
  </conditionalFormatting>
  <conditionalFormatting sqref="H16:I17">
    <cfRule type="expression" dxfId="91" priority="41" stopIfTrue="1">
      <formula>$H16=$G16</formula>
    </cfRule>
  </conditionalFormatting>
  <conditionalFormatting sqref="T16">
    <cfRule type="containsText" dxfId="90" priority="6" stopIfTrue="1" operator="containsText" text="完了">
      <formula>NOT(ISERROR(SEARCH("完了",T16)))</formula>
    </cfRule>
    <cfRule type="containsText" dxfId="89" priority="7" stopIfTrue="1" operator="containsText" text="遅延">
      <formula>NOT(ISERROR(SEARCH("遅延",T16)))</formula>
    </cfRule>
  </conditionalFormatting>
  <conditionalFormatting sqref="R16:R17">
    <cfRule type="cellIs" dxfId="88" priority="3" stopIfTrue="1" operator="greaterThanOrEqual">
      <formula>1</formula>
    </cfRule>
    <cfRule type="cellIs" dxfId="87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tabSelected="1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2.5" style="42" hidden="1" customWidth="1"/>
    <col min="4" max="4" width="33.625" style="42" customWidth="1"/>
    <col min="5" max="5" width="20.625" style="42" customWidth="1"/>
    <col min="6" max="7" width="14.375" style="42" bestFit="1" customWidth="1"/>
    <col min="8" max="8" width="8.375" style="42" bestFit="1" customWidth="1"/>
    <col min="9" max="9" width="33" style="42" customWidth="1"/>
    <col min="10" max="10" width="21.25" style="42" customWidth="1"/>
    <col min="11" max="11" width="9.625" style="42" bestFit="1" customWidth="1"/>
    <col min="12" max="12" width="10.5" style="42" bestFit="1" customWidth="1"/>
    <col min="13" max="13" width="12" style="42" bestFit="1" customWidth="1"/>
    <col min="14" max="15" width="15.125" style="42" customWidth="1"/>
    <col min="16" max="17" width="17.25" style="42" customWidth="1"/>
    <col min="18" max="18" width="9" style="42" customWidth="1"/>
    <col min="19" max="16384" width="9" style="42"/>
  </cols>
  <sheetData>
    <row r="1" spans="2:15" hidden="1">
      <c r="E1" s="42" t="s">
        <v>75</v>
      </c>
      <c r="F1" s="42" t="s">
        <v>76</v>
      </c>
      <c r="G1" s="42" t="s">
        <v>77</v>
      </c>
      <c r="H1" s="42" t="s">
        <v>78</v>
      </c>
      <c r="I1" s="42" t="s">
        <v>79</v>
      </c>
    </row>
    <row r="2" spans="2:15" s="35" customFormat="1" ht="18.75">
      <c r="B2" s="4"/>
      <c r="C2" s="4"/>
      <c r="D2" s="34" t="s">
        <v>21</v>
      </c>
    </row>
    <row r="3" spans="2:15" s="36" customFormat="1">
      <c r="D3" s="37"/>
      <c r="E3" s="37"/>
    </row>
    <row r="4" spans="2:15" s="36" customFormat="1" ht="13.5" hidden="1" customHeight="1" outlineLevel="1">
      <c r="D4" s="38" t="s">
        <v>13</v>
      </c>
      <c r="E4" s="38">
        <f t="array" ref="E4">COUNTIF(check_cell,"&lt;&gt;-*") - SUM(IFERROR(IF((LEFT(check_cell)="○")*(VALUE(RIGHT(check_cell,6))&lt;VALUE(start_date)), 1), 0))</f>
        <v>1</v>
      </c>
      <c r="F4" s="38">
        <f ca="1">SUM(OFFSET(O21,0, 0, ROWS(check_cell),1))</f>
        <v>1</v>
      </c>
      <c r="G4" s="38"/>
      <c r="H4" s="38"/>
      <c r="I4" s="38"/>
      <c r="J4" s="38"/>
      <c r="K4" s="38"/>
      <c r="L4" s="38"/>
      <c r="M4" s="38"/>
      <c r="N4" s="38"/>
      <c r="O4" s="38"/>
    </row>
    <row r="5" spans="2:15" s="36" customFormat="1" ht="13.5" hidden="1" customHeight="1" outlineLevel="1">
      <c r="D5" s="39" t="s">
        <v>14</v>
      </c>
      <c r="E5" s="38">
        <f t="array" ref="E5">SUM(IFERROR(IF((LEFT(check_cell)="○") * (VALUE(RIGHT(check_cell,6))&gt;=VALUE(start_date)), 1), 0))</f>
        <v>0</v>
      </c>
      <c r="F5" s="39">
        <f ca="1">SUM(OFFSET(P21,0, 0, ROWS(check_cell),1))</f>
        <v>0</v>
      </c>
      <c r="G5" s="38"/>
      <c r="H5" s="39"/>
      <c r="I5" s="38"/>
      <c r="J5" s="38"/>
      <c r="K5" s="38"/>
      <c r="L5" s="38"/>
      <c r="M5" s="38"/>
      <c r="N5" s="38"/>
      <c r="O5" s="38"/>
    </row>
    <row r="6" spans="2:15" s="36" customFormat="1" ht="13.5" hidden="1" customHeight="1" outlineLevel="1">
      <c r="D6" s="40" t="s">
        <v>15</v>
      </c>
      <c r="E6" s="38">
        <f>COUNTIF(check_cell,"×*")</f>
        <v>0</v>
      </c>
      <c r="F6" s="38"/>
      <c r="G6" s="38"/>
      <c r="H6" s="40"/>
      <c r="I6" s="38"/>
      <c r="J6" s="38"/>
      <c r="K6" s="38"/>
      <c r="L6" s="38"/>
      <c r="M6" s="38"/>
      <c r="N6" s="38"/>
      <c r="O6" s="38"/>
    </row>
    <row r="7" spans="2:15" s="36" customFormat="1" ht="13.5" hidden="1" customHeight="1" outlineLevel="1">
      <c r="D7" s="41" t="s">
        <v>18</v>
      </c>
      <c r="E7" s="38">
        <f>E4-(E5+E6)</f>
        <v>1</v>
      </c>
      <c r="F7" s="38"/>
      <c r="G7" s="38"/>
      <c r="H7" s="41"/>
      <c r="I7" s="38"/>
      <c r="J7" s="38"/>
      <c r="K7" s="38"/>
      <c r="L7" s="38"/>
      <c r="M7" s="38"/>
      <c r="N7" s="38"/>
      <c r="O7" s="38"/>
    </row>
    <row r="8" spans="2:15" s="36" customFormat="1" ht="13.5" hidden="1" customHeight="1" outlineLevel="1">
      <c r="D8" s="41" t="s">
        <v>27</v>
      </c>
      <c r="E8" s="38">
        <f t="array" aca="1" ref="E8" ca="1">SUM(OFFSET(O21,0, 0, ROWS(check_cell),1)*OFFSET(Q21,0, 0, ROWS(check_cell),1))</f>
        <v>0</v>
      </c>
      <c r="F8" s="38"/>
      <c r="G8" s="38"/>
      <c r="H8" s="41"/>
      <c r="I8" s="38"/>
      <c r="J8" s="38"/>
      <c r="K8" s="38"/>
      <c r="L8" s="38"/>
      <c r="M8" s="38"/>
      <c r="N8" s="38"/>
      <c r="O8" s="38"/>
    </row>
    <row r="9" spans="2:15" s="36" customFormat="1" ht="13.5" hidden="1" customHeight="1" outlineLevel="1">
      <c r="D9" s="41" t="s">
        <v>28</v>
      </c>
      <c r="E9" s="38">
        <f ca="1">SUM(OFFSET(G21,0, 0, ROWS(check_cell),1))</f>
        <v>0</v>
      </c>
      <c r="F9" s="38"/>
      <c r="G9" s="38"/>
      <c r="H9" s="41"/>
      <c r="I9" s="38"/>
      <c r="J9" s="38"/>
      <c r="K9" s="38"/>
      <c r="L9" s="38"/>
      <c r="M9" s="38"/>
      <c r="N9" s="38"/>
      <c r="O9" s="38"/>
    </row>
    <row r="10" spans="2:15" s="36" customFormat="1" ht="13.5" hidden="1" customHeight="1" outlineLevel="1">
      <c r="D10" s="41" t="s">
        <v>50</v>
      </c>
      <c r="E10" s="38">
        <f ca="1">COUNTIF(OFFSET(M21,0, 0, ROWS(check_cell),1), "チェック可")</f>
        <v>1</v>
      </c>
      <c r="F10" s="38"/>
      <c r="G10" s="38"/>
      <c r="H10" s="41"/>
      <c r="I10" s="38"/>
      <c r="J10" s="38"/>
      <c r="K10" s="38"/>
      <c r="L10" s="38"/>
      <c r="M10" s="38"/>
      <c r="N10" s="38"/>
      <c r="O10" s="38"/>
    </row>
    <row r="11" spans="2:15" s="36" customFormat="1" ht="13.5" hidden="1" customHeight="1" outlineLevel="1">
      <c r="D11" s="41" t="s">
        <v>49</v>
      </c>
      <c r="E11" s="38">
        <f ca="1">COUNTIF(OFFSET(M21,0, 0, ROWS(check_cell),1), "*チェック*可")</f>
        <v>1</v>
      </c>
      <c r="F11" s="38"/>
      <c r="G11" s="38"/>
      <c r="H11" s="41"/>
      <c r="I11" s="38"/>
      <c r="J11" s="38"/>
      <c r="K11" s="38"/>
      <c r="L11" s="38"/>
      <c r="M11" s="38"/>
      <c r="N11" s="38"/>
      <c r="O11" s="38"/>
    </row>
    <row r="12" spans="2:15" s="36" customFormat="1" ht="13.5" hidden="1" customHeight="1" outlineLevel="1">
      <c r="D12" s="41" t="s">
        <v>48</v>
      </c>
      <c r="E12" s="38" t="str">
        <f ca="1">IF(E11=0, "チェック完了", IF(E10=E11, "チェック可", IF(E10+COUNTIF(OFFSET(M21,0, 0, ROWS(check_cell),1), "一部チェック可")=0, "チェック不可", "一部チェック可")))</f>
        <v>チェック可</v>
      </c>
      <c r="F12" s="38"/>
      <c r="G12" s="38"/>
      <c r="H12" s="41"/>
      <c r="I12" s="38"/>
      <c r="J12" s="38"/>
      <c r="K12" s="38"/>
      <c r="L12" s="38"/>
      <c r="M12" s="38"/>
      <c r="N12" s="38"/>
      <c r="O12" s="38"/>
    </row>
    <row r="13" spans="2:15" s="36" customFormat="1" ht="13.5" hidden="1" customHeight="1" outlineLevel="1">
      <c r="D13" s="41" t="s">
        <v>4</v>
      </c>
      <c r="E13" s="45" t="str">
        <f t="array" ref="E13">IF(last_update &gt; 0, last_update, "-")</f>
        <v>-</v>
      </c>
      <c r="F13" s="38"/>
      <c r="G13" s="38"/>
      <c r="H13" s="41"/>
      <c r="I13" s="38"/>
      <c r="J13" s="38"/>
      <c r="K13" s="38"/>
      <c r="L13" s="38"/>
      <c r="M13" s="38"/>
      <c r="N13" s="38"/>
      <c r="O13" s="38"/>
    </row>
    <row r="14" spans="2:15" s="36" customFormat="1" ht="13.5" hidden="1" customHeight="1" outlineLevel="1">
      <c r="D14" s="41" t="s">
        <v>55</v>
      </c>
      <c r="E14" s="38">
        <f t="array" aca="1" ref="E14" ca="1">SUM(OFFSET(R21,0, 0, ROWS(check_cell),1))</f>
        <v>0</v>
      </c>
      <c r="F14" s="38"/>
      <c r="G14" s="38"/>
      <c r="H14" s="41"/>
      <c r="I14" s="38"/>
      <c r="J14" s="38"/>
      <c r="K14" s="38"/>
      <c r="L14" s="38"/>
      <c r="M14" s="38"/>
      <c r="N14" s="38"/>
      <c r="O14" s="38"/>
    </row>
    <row r="15" spans="2:15" s="36" customFormat="1" ht="13.5" hidden="1" customHeight="1" outlineLevel="1">
      <c r="D15" s="41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38"/>
    </row>
    <row r="16" spans="2:15" s="36" customFormat="1" ht="13.5" hidden="1" customHeight="1" outlineLevel="1">
      <c r="D16" s="41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38"/>
    </row>
    <row r="17" spans="2:18" s="36" customFormat="1" ht="13.5" hidden="1" customHeight="1" outlineLevel="1">
      <c r="D17" s="41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38"/>
    </row>
    <row r="18" spans="2:18" s="36" customFormat="1" collapsed="1">
      <c r="D18" s="37"/>
      <c r="E18" s="37"/>
    </row>
    <row r="19" spans="2:18" s="36" customFormat="1">
      <c r="D19" s="37"/>
      <c r="E19" s="37"/>
    </row>
    <row r="20" spans="2:18">
      <c r="B20" s="78"/>
      <c r="C20" s="78"/>
      <c r="D20" s="43" t="s">
        <v>16</v>
      </c>
      <c r="E20" s="44" t="s">
        <v>17</v>
      </c>
      <c r="F20" s="44" t="s">
        <v>66</v>
      </c>
      <c r="G20" s="44" t="s">
        <v>67</v>
      </c>
      <c r="H20" s="44" t="s">
        <v>25</v>
      </c>
      <c r="I20" s="44" t="s">
        <v>26</v>
      </c>
      <c r="J20" s="44" t="s">
        <v>70</v>
      </c>
      <c r="K20" s="44" t="s">
        <v>69</v>
      </c>
      <c r="L20" s="44" t="s">
        <v>68</v>
      </c>
      <c r="M20" s="44" t="s">
        <v>48</v>
      </c>
      <c r="O20" s="42" t="s">
        <v>57</v>
      </c>
      <c r="P20" s="42" t="s">
        <v>58</v>
      </c>
      <c r="Q20" s="42" t="s">
        <v>59</v>
      </c>
      <c r="R20" s="42" t="s">
        <v>55</v>
      </c>
    </row>
    <row r="21" spans="2:18">
      <c r="B21" s="78"/>
      <c r="C21" s="78"/>
      <c r="D21" s="77" t="s">
        <v>31</v>
      </c>
      <c r="E21" s="76"/>
      <c r="F21" s="71"/>
      <c r="G21" s="72"/>
      <c r="H21" s="71"/>
      <c r="I21" s="71"/>
      <c r="J21" s="46" t="str">
        <f>IFERROR(MID(checksheet!check_cell, 5, FIND(K21,checksheet!check_cell)-5-3),"")</f>
        <v/>
      </c>
      <c r="K21" s="69" t="str">
        <f>IF(ISERROR(VALUE(RIGHT(checksheet!check_cell,6))),"",MID(LEFT(checksheet!check_cell, LEN(checksheet!check_cell) - 9),FIND("/", checksheet!check_cell, 5)+2,LEN(checksheet!check_cell)))</f>
        <v/>
      </c>
      <c r="L21" s="70" t="str">
        <f>IF(ISERROR(VALUE(RIGHT(checksheet!check_cell,6))),"",DATE("20"&amp;LEFT(RIGHT(checksheet!check_cell,6),2),LEFT(RIGHT(checksheet!check_cell,4),2),RIGHT(checksheet!check_cell,2)))</f>
        <v/>
      </c>
      <c r="M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2">
        <f t="array" aca="1" ref="O21" ca="1">COUNTIF(check_cell_row,"&lt;&gt;-*") - SUM(IFERROR(IF((LEFT(check_cell_row)="○")*(VALUE(RIGHT(check_cell_row,6))&lt;VALUE(start_date)), 1), 0))</f>
        <v>1</v>
      </c>
      <c r="P21" s="42">
        <f t="array" aca="1" ref="P21" ca="1">SUM(IFERROR(IF((LEFT(check_cell_row)="○") * (VALUE(RIGHT(check_cell_row,6))&gt;=VALUE(start_date)), 1), 0))</f>
        <v>0</v>
      </c>
      <c r="Q21" s="42">
        <f t="array" aca="1" ref="Q21" ca="1">IF(COUNTIF(check_cell_row,"&lt;&gt;-")=0, 0, F21/COUNTIF(check_cell_row,"&lt;&gt;-"))</f>
        <v>0</v>
      </c>
      <c r="R21" s="42">
        <f ca="1">(O21-P21)*Q21</f>
        <v>0</v>
      </c>
    </row>
  </sheetData>
  <sheetProtection selectLockedCells="1"/>
  <phoneticPr fontId="3"/>
  <conditionalFormatting sqref="M21">
    <cfRule type="containsText" dxfId="47" priority="6" stopIfTrue="1" operator="containsText" text="チェック可">
      <formula>NOT(ISERROR(SEARCH("チェック可",M21)))</formula>
    </cfRule>
    <cfRule type="containsText" dxfId="46" priority="20" stopIfTrue="1" operator="containsText" text="チェック完了">
      <formula>NOT(ISERROR(SEARCH("チェック完了",M21)))</formula>
    </cfRule>
    <cfRule type="containsText" dxfId="45" priority="21" stopIfTrue="1" operator="containsText" text="*-">
      <formula>NOT(ISERROR(SEARCH("*-",M21)))</formula>
    </cfRule>
    <cfRule type="containsText" dxfId="44" priority="23" stopIfTrue="1" operator="containsText" text="チェック不可">
      <formula>NOT(ISERROR(SEARCH("チェック不可",M21)))</formula>
    </cfRule>
    <cfRule type="containsText" dxfId="43" priority="29" stopIfTrue="1" operator="containsText" text="一部チェック可">
      <formula>NOT(ISERROR(SEARCH("一部チェック可",M21)))</formula>
    </cfRule>
  </conditionalFormatting>
  <conditionalFormatting sqref="D21">
    <cfRule type="expression" dxfId="28" priority="1" stopIfTrue="1">
      <formula>COUNTIF(D21,"*※※*")</formula>
    </cfRule>
    <cfRule type="expression" dxfId="27" priority="2" stopIfTrue="1">
      <formula>COUNTIF(D21,"【*】*")</formula>
    </cfRule>
    <cfRule type="expression" dxfId="26" priority="8" stopIfTrue="1">
      <formula>AND(COUNTIF(D21,"*低優先度*"),$M21&lt;&gt;"-")</formula>
    </cfRule>
    <cfRule type="expression" priority="10" stopIfTrue="1">
      <formula>TRUE</formula>
    </cfRule>
    <cfRule type="expression" dxfId="25" priority="3" stopIfTrue="1">
      <formula>$M21="チェック不可"</formula>
    </cfRule>
    <cfRule type="expression" dxfId="24" priority="7" stopIfTrue="1">
      <formula>IF(MID(OFFSET($D21,0,-1),COLUMNS($D21:D21),1)="-",FALSE,     IF(MID(OFFSET($D21,0,-1),COLUMNS($D21:D21),1)="x",COUNTIF($M21,"*チェック可")=0,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"*チェック可"         )=0     ) )</formula>
    </cfRule>
  </conditionalFormatting>
  <conditionalFormatting sqref="A2:XFD2">
    <cfRule type="expression" priority="51" stopIfTrue="1">
      <formula>$E$4=$E$5</formula>
    </cfRule>
    <cfRule type="expression" dxfId="42" priority="52" stopIfTrue="1">
      <formula>COUNTIF($E$12,"*チェック可")&gt;0</formula>
    </cfRule>
    <cfRule type="expression" dxfId="41" priority="54" stopIfTrue="1">
      <formula>$E$12="チェック不可"</formula>
    </cfRule>
  </conditionalFormatting>
  <conditionalFormatting sqref="G21">
    <cfRule type="expression" dxfId="40" priority="71">
      <formula>AND($G21="",COUNTIFS($E21,"○*")&gt;0)</formula>
    </cfRule>
  </conditionalFormatting>
  <conditionalFormatting sqref="F21">
    <cfRule type="expression" dxfId="39" priority="72">
      <formula>AND($F21="",COUNTIFS($E21,"-*")=0)</formula>
    </cfRule>
  </conditionalFormatting>
  <conditionalFormatting sqref="E21">
    <cfRule type="containsText" dxfId="38" priority="17" operator="containsText" text="チェック不可">
      <formula>NOT(ISERROR(SEARCH("チェック不可",E21)))</formula>
    </cfRule>
    <cfRule type="expression" dxfId="37" priority="19" stopIfTrue="1">
      <formula>AND(COUNTIF(E21,"○*"),VALUE(RIGHT(E21,6))&lt; VALUE(start_date))</formula>
    </cfRule>
    <cfRule type="expression" dxfId="36" priority="22">
      <formula>COUNTIF(E21,"*" &amp; check_today)</formula>
    </cfRule>
    <cfRule type="containsText" dxfId="35" priority="25" stopIfTrue="1" operator="containsText" text="×*">
      <formula>NOT(ISERROR(SEARCH("×*",E21)))</formula>
    </cfRule>
    <cfRule type="containsText" dxfId="34" priority="26" stopIfTrue="1" operator="containsText" text="○*">
      <formula>NOT(ISERROR(SEARCH("○*",E21)))</formula>
    </cfRule>
    <cfRule type="expression" dxfId="33" priority="27">
      <formula>COUNTIF(E21,"*" &amp; tester)</formula>
    </cfRule>
    <cfRule type="containsText" dxfId="32" priority="32" stopIfTrue="1" operator="containsText" text="検証中">
      <formula>NOT(ISERROR(SEARCH("検証中",E21)))</formula>
    </cfRule>
    <cfRule type="containsText" dxfId="31" priority="48" stopIfTrue="1" operator="containsText" text="*低優先度*">
      <formula>NOT(ISERROR(SEARCH("*低優先度*",E21)))</formula>
    </cfRule>
    <cfRule type="expression" dxfId="30" priority="49" stopIfTrue="1">
      <formula>LEFT(E21,1)="-"</formula>
    </cfRule>
    <cfRule type="containsText" dxfId="29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47</v>
      </c>
    </row>
    <row r="3" spans="2:2">
      <c r="B3" s="33" t="str">
        <f>index!D13</f>
        <v>$_TESTER$</v>
      </c>
    </row>
    <row r="5" spans="2:2">
      <c r="B5" s="33" t="s">
        <v>19</v>
      </c>
    </row>
    <row r="6" spans="2:2">
      <c r="B6" s="51" t="str">
        <f ca="1">TEXT(index!D12,"yymmdd")</f>
        <v>200708</v>
      </c>
    </row>
    <row r="8" spans="2:2">
      <c r="B8" s="33" t="s">
        <v>35</v>
      </c>
    </row>
    <row r="9" spans="2:2">
      <c r="B9" s="51" t="str">
        <f>TEXT(IF(ISNUMBER(index!D11), index!D11,1),"yymmdd")</f>
        <v>000101</v>
      </c>
    </row>
    <row r="11" spans="2:2">
      <c r="B11" s="33" t="s">
        <v>42</v>
      </c>
    </row>
    <row r="12" spans="2:2">
      <c r="B12" s="33" t="str">
        <f>"- 対象外（" &amp; index!D6 &amp;"） -"</f>
        <v>- 対象外（$VERSION$） -</v>
      </c>
    </row>
    <row r="14" spans="2:2">
      <c r="B14" s="33" t="s">
        <v>43</v>
      </c>
    </row>
    <row r="15" spans="2:2">
      <c r="B15" s="33" t="str">
        <f>"- 低優先度 -"</f>
        <v>- 低優先度 -</v>
      </c>
    </row>
    <row r="17" spans="2:2">
      <c r="B17" s="33" t="s">
        <v>46</v>
      </c>
    </row>
    <row r="18" spans="2:2">
      <c r="B18" s="33" t="str">
        <f>"検証中 / " &amp; index!D13</f>
        <v>検証中 / $_TESTER$</v>
      </c>
    </row>
    <row r="20" spans="2:2">
      <c r="B20" s="33" t="s">
        <v>44</v>
      </c>
    </row>
    <row r="21" spans="2:2">
      <c r="B21" s="33" t="s">
        <v>45</v>
      </c>
    </row>
    <row r="23" spans="2:2">
      <c r="B23" s="33" t="s">
        <v>73</v>
      </c>
    </row>
    <row r="24" spans="2:2">
      <c r="B24" s="33" t="str">
        <f>"MN:(" &amp; index!D7 &amp;"), STA:(" &amp;  index!D8  &amp; ")"</f>
        <v>MN:($_VERSION_MAIN$), STA:($_VERSION_STATION$)</v>
      </c>
    </row>
    <row r="25" spans="2:2">
      <c r="B25" s="33" t="str">
        <f>IF( index!D7="",  index!D8, B24)</f>
        <v>MN:($_VERSION_MAIN$), STA:($_VERSION_STATION$)</v>
      </c>
    </row>
    <row r="27" spans="2:2">
      <c r="B27" s="33" t="s">
        <v>74</v>
      </c>
    </row>
    <row r="28" spans="2:2">
      <c r="B28" s="33" t="str">
        <f ca="1">" / " &amp; B25 &amp;  " / " &amp; index!D13 &amp; " / " &amp; B6</f>
        <v xml:space="preserve"> / MN:($_VERSION_MAIN$), STA:($_VERSION_STATION$) / $_TESTER$ / 200708</v>
      </c>
    </row>
    <row r="30" spans="2:2">
      <c r="B30" s="33" t="s">
        <v>12</v>
      </c>
    </row>
    <row r="31" spans="2:2">
      <c r="B31" s="33" t="str">
        <f ca="1">"○" &amp; B28</f>
        <v>○ / MN:($_VERSION_MAIN$), STA:($_VERSION_STATION$) / $_TESTER$ / 200708</v>
      </c>
    </row>
    <row r="32" spans="2:2">
      <c r="B32" s="33" t="str">
        <f ca="1">"×" &amp; B28</f>
        <v>× / MN:($_VERSION_MAIN$), STA:($_VERSION_STATION$) / $_TESTER$ / 200708</v>
      </c>
    </row>
    <row r="33" spans="2:2">
      <c r="B33" s="33" t="str">
        <f>B18</f>
        <v>検証中 / $_TESTER$</v>
      </c>
    </row>
    <row r="34" spans="2:2">
      <c r="B34" s="33" t="str">
        <f>B21</f>
        <v>&lt; 未実装 &gt;</v>
      </c>
    </row>
    <row r="35" spans="2:2">
      <c r="B35" s="33" t="str">
        <f>B12</f>
        <v>- 対象外（$VERSION$）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2020-07-08T14:38:40Z</dcterms:modified>
</cp:coreProperties>
</file>