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2CB90501-8841-43E6-8E1E-07D82AE969C8}" xr6:coauthVersionLast="45" xr6:coauthVersionMax="45" xr10:uidLastSave="{00000000-0000-0000-0000-000000000000}"/>
  <bookViews>
    <workbookView xWindow="1500" yWindow="555" windowWidth="26190" windowHeight="1404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checksheet!$C$20:$C$20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5" l="1"/>
  <c r="B25" i="5" s="1"/>
  <c r="O20" i="6" l="1" a="1"/>
  <c r="O20" i="6" s="1"/>
  <c r="I20" i="6" l="1"/>
  <c r="H20" i="6" s="1"/>
  <c r="J20" i="6"/>
  <c r="C5" i="6" l="1"/>
  <c r="I16" i="4"/>
  <c r="K20" i="6" l="1"/>
  <c r="B9" i="5"/>
  <c r="M20" i="6" s="1" a="1"/>
  <c r="M20" i="6" s="1"/>
  <c r="D3" i="6" s="1"/>
  <c r="C7" i="6" l="1" a="1"/>
  <c r="C7" i="6" s="1"/>
  <c r="N20" i="6" a="1"/>
  <c r="N20" i="6" s="1"/>
  <c r="D4" i="6" s="1"/>
  <c r="C3" i="6" a="1"/>
  <c r="C3" i="6" s="1"/>
  <c r="C10" i="6"/>
  <c r="G16" i="4"/>
  <c r="N16" i="4"/>
  <c r="P20" i="6" l="1"/>
  <c r="C13" i="6" s="1" a="1"/>
  <c r="C13" i="6" s="1"/>
  <c r="D12" i="4"/>
  <c r="P16" i="4"/>
  <c r="Q16" i="4" l="1"/>
  <c r="B3" i="5"/>
  <c r="B18" i="5"/>
  <c r="B33" i="5" s="1"/>
  <c r="B34" i="5"/>
  <c r="B12" i="5"/>
  <c r="B15" i="5"/>
  <c r="C8" i="6"/>
  <c r="O16" i="4"/>
  <c r="R16" i="4" l="1"/>
  <c r="O17" i="4"/>
  <c r="N17" i="4"/>
  <c r="C4" i="6" a="1"/>
  <c r="C4" i="6" s="1"/>
  <c r="C9" i="6"/>
  <c r="C11" i="6" s="1"/>
  <c r="C12" i="6" a="1"/>
  <c r="C12" i="6" s="1"/>
  <c r="F16" i="4"/>
  <c r="H16" i="4"/>
  <c r="C16" i="4"/>
  <c r="L16" i="4" l="1"/>
  <c r="T16" i="4" s="1"/>
  <c r="K16" i="4"/>
  <c r="R17" i="4"/>
  <c r="Q17" i="4"/>
  <c r="P17" i="4"/>
  <c r="I17" i="4"/>
  <c r="H17" i="4"/>
  <c r="G17" i="4"/>
  <c r="C6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sharedStrings.xml><?xml version="1.0" encoding="utf-8"?>
<sst xmlns="http://schemas.openxmlformats.org/spreadsheetml/2006/main" count="79" uniqueCount="76">
  <si>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</si>
  <si>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</si>
  <si>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</si>
  <si>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</si>
  <si>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</si>
  <si>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</si>
  <si>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</si>
  <si>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</si>
  <si>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</si>
  <si>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</si>
  <si>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</si>
  <si>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</si>
  <si>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</si>
  <si>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</si>
  <si>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</si>
  <si>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</si>
  <si>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</si>
  <si>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</si>
  <si>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</si>
  <si>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</si>
  <si>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</si>
  <si>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</si>
  <si>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</si>
  <si>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$AUTHOR$</t>
    <phoneticPr fontId="3"/>
  </si>
  <si>
    <t>$TITLE$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</si>
  <si>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</si>
  <si>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</si>
  <si>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</si>
  <si>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</si>
  <si>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</si>
  <si>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$H_ITEM$</t>
    <phoneticPr fontId="3"/>
  </si>
  <si>
    <t>[UL]</t>
    <phoneticPr fontId="3"/>
  </si>
  <si>
    <t>$_VERSION_STATION$</t>
    <phoneticPr fontId="3"/>
  </si>
  <si>
    <t>$_CONFIRMOR$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</si>
  <si>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</si>
  <si>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</si>
  <si>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$START_DATE$</t>
    <phoneticPr fontId="3"/>
  </si>
  <si>
    <t>集計</t>
  </si>
  <si>
    <t>!ID!</t>
    <phoneticPr fontId="3"/>
  </si>
  <si>
    <t>$_VERSION_MAIN$</t>
  </si>
  <si>
    <t>バージョン</t>
    <phoneticPr fontId="3"/>
  </si>
  <si>
    <t>$VERSION$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</si>
  <si>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</si>
  <si>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</si>
  <si>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</si>
  <si>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</si>
  <si>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</si>
  <si>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</si>
  <si>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</si>
  <si>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</si>
  <si>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</si>
  <si>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</si>
  <si>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</si>
  <si>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</si>
  <si>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</si>
  <si>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</si>
  <si>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</si>
  <si>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</si>
  <si>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</si>
  <si>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残務時間</t>
    <rPh sb="0" eb="2">
      <t>ザンム</t>
    </rPh>
    <rPh sb="2" eb="4">
      <t>ジカン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</si>
  <si>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</si>
  <si>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</si>
  <si>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</si>
  <si>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</si>
  <si>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</si>
  <si>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</si>
  <si>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</si>
  <si>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</si>
  <si>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</si>
  <si>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</si>
  <si>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</si>
  <si>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</si>
  <si>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</si>
  <si>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$_TESTER$</t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</si>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</sst>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6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75" tableBorderDxfId="74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73" totalsRowDxfId="55">
      <calculatedColumnFormula>INDIRECT("'"&amp;テーブル1[$H_ITEM$]&amp;"'"&amp;"!C$12")</calculatedColumnFormula>
      <totalsRowFormula>IF(MAX(last_update_range)&gt;0, MAX(last_update_range), "-")</totalsRowFormula>
    </tableColumn>
    <tableColumn id="3" xr3:uid="{00000000-0010-0000-0000-000003000000}" name="$H_ITEM$" dataDxfId="72" totalsRowDxfId="54" dataCellStyle="ハイパーリンク"/>
    <tableColumn id="4" xr3:uid="{00000000-0010-0000-0000-000004000000}" name="対象外" dataDxfId="71" totalsRowDxfId="53" dataCellStyle="ハイパーリンク"/>
    <tableColumn id="5" xr3:uid="{00000000-0010-0000-0000-000005000000}" name="ステータス" dataDxfId="70" totalsRowDxfId="52" dataCellStyle="ハイパーリンク">
      <calculatedColumnFormula>IF($E16&lt;&gt;"","-",INDIRECT("'"&amp;テーブル1[$H_ITEM$]&amp;"'"&amp;"!C$11"))</calculatedColumnFormula>
    </tableColumn>
    <tableColumn id="6" xr3:uid="{00000000-0010-0000-0000-000006000000}" name="総項目数" totalsRowFunction="sum" dataDxfId="69" totalsRowDxfId="51">
      <calculatedColumnFormula>IF($E16&lt;&gt;"","-",INDIRECT("'"&amp;テーブル1[$H_ITEM$]&amp;"'"&amp;"!C$3"))</calculatedColumnFormula>
    </tableColumn>
    <tableColumn id="7" xr3:uid="{00000000-0010-0000-0000-000007000000}" name="問題なし" totalsRowFunction="sum" dataDxfId="68" totalsRowDxfId="50">
      <calculatedColumnFormula>IF($E16&lt;&gt;"","-",INDIRECT("'"&amp;テーブル1[$H_ITEM$]&amp;"'"&amp;"!C$4"))</calculatedColumnFormula>
    </tableColumn>
    <tableColumn id="8" xr3:uid="{00000000-0010-0000-0000-000008000000}" name="問題あり" totalsRowFunction="sum" dataDxfId="67" totalsRowDxfId="49">
      <calculatedColumnFormula>IF($E16&lt;&gt;"","-",INDIRECT("'"&amp;テーブル1[$H_ITEM$]&amp;"'"&amp;"!C$5"))</calculatedColumnFormula>
    </tableColumn>
    <tableColumn id="9" xr3:uid="{00000000-0010-0000-0000-000009000000}" name="未確認数" totalsRowFunction="sum" dataDxfId="66" totalsRowDxfId="48">
      <calculatedColumnFormula>IF($E16&lt;&gt;"","-",INDIRECT("'"&amp;テーブル1[$H_ITEM$]&amp;"'"&amp;"!C$6"))</calculatedColumnFormula>
    </tableColumn>
    <tableColumn id="14" xr3:uid="{00000000-0010-0000-0000-00000E000000}" name="消化率" totalsRowFunction="custom" dataDxfId="65" totalsRowDxfId="47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64" totalsRowDxfId="46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63" totalsRowDxfId="45"/>
    <tableColumn id="12" xr3:uid="{00000000-0010-0000-0000-00000C000000}" name="作業時間（計画）" totalsRowFunction="sum" dataDxfId="62" totalsRowDxfId="44" dataCellStyle="ハイパーリンク">
      <calculatedColumnFormula>IF($E16&lt;&gt;"","-",INDIRECT("'"&amp;テーブル1[$H_ITEM$]&amp;"'"&amp;"!C$7")/1440)</calculatedColumnFormula>
    </tableColumn>
    <tableColumn id="16" xr3:uid="{00000000-0010-0000-0000-000010000000}" name="作業時間（実績）" totalsRowFunction="sum" dataDxfId="61" totalsRowDxfId="43" dataCellStyle="ハイパーリンク">
      <calculatedColumnFormula>IF($E16&lt;&gt;"","-",INDIRECT("'"&amp;テーブル1[$H_ITEM$]&amp;"'"&amp;"!C$8")/1440)</calculatedColumnFormula>
    </tableColumn>
    <tableColumn id="18" xr3:uid="{00000000-0010-0000-0000-000012000000}" name="残務時間" totalsRowFunction="custom" dataDxfId="60" totalsRowDxfId="42" dataCellStyle="ハイパーリンク">
      <calculatedColumnFormula>IF($E16&lt;&gt;"","-",INDIRECT("'"&amp;テーブル1[$H_ITEM$]&amp;"'"&amp;"!C$13")/1440)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59" totalsRowDxfId="41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58" totalsRowDxfId="40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57" totalsRowDxfId="39" dataCellStyle="ハイパーリンク"/>
    <tableColumn id="13" xr3:uid="{00000000-0010-0000-0000-00000D000000}" name="進捗" dataDxfId="56" totalsRowDxfId="38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 x14ac:dyDescent="0.1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 x14ac:dyDescent="0.15">
      <c r="C1" s="58" t="s">
        <v>51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 x14ac:dyDescent="0.15">
      <c r="A2" s="1"/>
      <c r="B2" s="1"/>
      <c r="C2" s="2" t="s">
        <v>24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 x14ac:dyDescent="0.15">
      <c r="C4" s="49" t="s">
        <v>11</v>
      </c>
    </row>
    <row r="5" spans="1:20" ht="14.25" thickBot="1" x14ac:dyDescent="0.2"/>
    <row r="6" spans="1:20" ht="13.5" customHeight="1" x14ac:dyDescent="0.15">
      <c r="C6" s="14" t="s">
        <v>40</v>
      </c>
      <c r="D6" s="15" t="s">
        <v>41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 x14ac:dyDescent="0.15">
      <c r="C7" s="55" t="s">
        <v>63</v>
      </c>
      <c r="D7" s="56" t="s">
        <v>39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 x14ac:dyDescent="0.15">
      <c r="C8" s="16" t="s">
        <v>64</v>
      </c>
      <c r="D8" s="17" t="s">
        <v>32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 x14ac:dyDescent="0.15">
      <c r="C9" s="18" t="s">
        <v>1</v>
      </c>
      <c r="D9" s="19" t="s">
        <v>23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 x14ac:dyDescent="0.15">
      <c r="C10" s="18" t="s">
        <v>2</v>
      </c>
      <c r="D10" s="75" t="s">
        <v>33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 x14ac:dyDescent="0.15">
      <c r="C11" s="18" t="s">
        <v>34</v>
      </c>
      <c r="D11" s="50" t="s">
        <v>36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 x14ac:dyDescent="0.15">
      <c r="C12" s="18" t="s">
        <v>20</v>
      </c>
      <c r="D12" s="50">
        <f ca="1">TODAY()</f>
        <v>43978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 x14ac:dyDescent="0.2">
      <c r="C13" s="20" t="s">
        <v>3</v>
      </c>
      <c r="D13" s="21" t="s">
        <v>73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 x14ac:dyDescent="0.2"/>
    <row r="15" spans="1:20" s="9" customFormat="1" ht="14.25" thickBot="1" x14ac:dyDescent="0.2">
      <c r="B15" s="9" t="s">
        <v>38</v>
      </c>
      <c r="C15" s="22" t="s">
        <v>4</v>
      </c>
      <c r="D15" s="23" t="s">
        <v>30</v>
      </c>
      <c r="E15" s="23" t="s">
        <v>72</v>
      </c>
      <c r="F15" s="23" t="s">
        <v>48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65</v>
      </c>
      <c r="L15" s="26" t="s">
        <v>66</v>
      </c>
      <c r="M15" s="23" t="s">
        <v>9</v>
      </c>
      <c r="N15" s="23" t="s">
        <v>29</v>
      </c>
      <c r="O15" s="62" t="s">
        <v>54</v>
      </c>
      <c r="P15" s="62" t="s">
        <v>52</v>
      </c>
      <c r="Q15" s="62" t="s">
        <v>61</v>
      </c>
      <c r="R15" s="62" t="s">
        <v>62</v>
      </c>
      <c r="S15" s="62" t="s">
        <v>53</v>
      </c>
      <c r="T15" s="23" t="s">
        <v>56</v>
      </c>
    </row>
    <row r="16" spans="1:20" x14ac:dyDescent="0.15">
      <c r="B16">
        <v>1</v>
      </c>
      <c r="C16" s="27" t="str">
        <f ca="1">INDIRECT("'"&amp;テーブル1[$H_ITEM$]&amp;"'"&amp;"!C$12")</f>
        <v>-</v>
      </c>
      <c r="D16" s="32" t="s">
        <v>22</v>
      </c>
      <c r="E16" s="73"/>
      <c r="F16" s="48" t="str">
        <f ca="1">IF($E16&lt;&gt;"","-",INDIRECT("'"&amp;テーブル1[$H_ITEM$]&amp;"'"&amp;"!C$11"))</f>
        <v>チェック可</v>
      </c>
      <c r="G16" s="28">
        <f ca="1">IF($E16&lt;&gt;"","-",INDIRECT("'"&amp;テーブル1[$H_ITEM$]&amp;"'"&amp;"!C$3"))</f>
        <v>1</v>
      </c>
      <c r="H16" s="28">
        <f ca="1">IF($E16&lt;&gt;"","-",INDIRECT("'"&amp;テーブル1[$H_ITEM$]&amp;"'"&amp;"!C$4"))</f>
        <v>0</v>
      </c>
      <c r="I16" s="28">
        <f ca="1">IF($E16&lt;&gt;"","-",INDIRECT("'"&amp;テーブル1[$H_ITEM$]&amp;"'"&amp;"!C$5"))</f>
        <v>0</v>
      </c>
      <c r="J16" s="28">
        <f ca="1">IF($E16&lt;&gt;"","-",INDIRECT("'"&amp;テーブル1[$H_ITEM$]&amp;"'"&amp;"!C$6"))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IF($E16&lt;&gt;"","-",INDIRECT("'"&amp;テーブル1[$H_ITEM$]&amp;"'"&amp;"!C$7")/1440)</f>
        <v>6.9444444444444447E-4</v>
      </c>
      <c r="O16" s="65">
        <f ca="1">IF($E16&lt;&gt;"","-",INDIRECT("'"&amp;テーブル1[$H_ITEM$]&amp;"'"&amp;"!C$8")/1440)</f>
        <v>0</v>
      </c>
      <c r="P16" s="65">
        <f ca="1">IF($E16&lt;&gt;"","-",INDIRECT("'"&amp;テーブル1[$H_ITEM$]&amp;"'"&amp;"!C$13")/1440)</f>
        <v>6.9444444444444447E-4</v>
      </c>
      <c r="Q16" s="66">
        <f ca="1">IF($E16&lt;&gt;"","-",IF(テーブル1[作業時間（計画）]&gt;0, 1-テーブル1[残務時間]/テーブル1[作業時間（計画）],"-"))</f>
        <v>0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 x14ac:dyDescent="0.2">
      <c r="B17" t="s">
        <v>37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6.9444444444444447E-4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0:01 (0人日)</v>
      </c>
      <c r="Q17" s="67">
        <f ca="1">IF(テーブル1[[#Totals],[作業時間（計画）]]&gt;0,1-SUBTOTAL(109,テーブル1[残務時間])/テーブル1[[#Totals],[作業時間（計画）]],"-")</f>
        <v>0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 x14ac:dyDescent="0.15"/>
  </sheetData>
  <sheetProtection selectLockedCells="1"/>
  <phoneticPr fontId="3"/>
  <conditionalFormatting sqref="C16:L16 N16:T16">
    <cfRule type="expression" dxfId="37" priority="1" stopIfTrue="1">
      <formula>$E16&lt;&gt;""</formula>
    </cfRule>
  </conditionalFormatting>
  <conditionalFormatting sqref="C16:K16 N16:T16">
    <cfRule type="expression" dxfId="36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35" priority="8" timePeriod="today">
      <formula>FLOOR(C16,1)=TODAY()</formula>
    </cfRule>
  </conditionalFormatting>
  <conditionalFormatting sqref="I16:I17">
    <cfRule type="cellIs" dxfId="34" priority="22" stopIfTrue="1" operator="greaterThan">
      <formula>0</formula>
    </cfRule>
  </conditionalFormatting>
  <conditionalFormatting sqref="F16">
    <cfRule type="cellIs" dxfId="33" priority="10" stopIfTrue="1" operator="equal">
      <formula>"チェック完了"</formula>
    </cfRule>
    <cfRule type="cellIs" dxfId="32" priority="11" stopIfTrue="1" operator="equal">
      <formula>"チェック不可"</formula>
    </cfRule>
    <cfRule type="cellIs" dxfId="31" priority="18" stopIfTrue="1" operator="equal">
      <formula>"-"</formula>
    </cfRule>
  </conditionalFormatting>
  <conditionalFormatting sqref="J16:J17">
    <cfRule type="cellIs" dxfId="30" priority="32" stopIfTrue="1" operator="equal">
      <formula>0</formula>
    </cfRule>
  </conditionalFormatting>
  <conditionalFormatting sqref="H16:I17">
    <cfRule type="expression" dxfId="29" priority="41" stopIfTrue="1">
      <formula>$H16=$G16</formula>
    </cfRule>
  </conditionalFormatting>
  <conditionalFormatting sqref="T16">
    <cfRule type="containsText" dxfId="28" priority="6" stopIfTrue="1" operator="containsText" text="完了">
      <formula>NOT(ISERROR(SEARCH("完了",T16)))</formula>
    </cfRule>
    <cfRule type="containsText" dxfId="27" priority="7" stopIfTrue="1" operator="containsText" text="遅延">
      <formula>NOT(ISERROR(SEARCH("遅延",T16)))</formula>
    </cfRule>
  </conditionalFormatting>
  <conditionalFormatting sqref="R16:R17">
    <cfRule type="cellIs" dxfId="26" priority="3" stopIfTrue="1" operator="greaterThanOrEqual">
      <formula>1</formula>
    </cfRule>
    <cfRule type="cellIs" dxfId="25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A1:P20"/>
  <sheetViews>
    <sheetView showGridLines="0" zoomScale="85" zoomScaleNormal="85" workbookViewId="0">
      <pane xSplit="2" ySplit="19" topLeftCell="C20" activePane="bottomRight" state="frozen"/>
      <selection pane="topRight" activeCell="C1" sqref="C1"/>
      <selection pane="bottomLeft" activeCell="A17" sqref="A17"/>
      <selection pane="bottomRight" activeCell="C20" sqref="C20"/>
    </sheetView>
  </sheetViews>
  <sheetFormatPr defaultColWidth="9" defaultRowHeight="13.5" outlineLevelRow="1" x14ac:dyDescent="0.15"/>
  <cols>
    <col min="1" max="1" width="2.5" style="42" customWidth="1"/>
    <col min="2" max="2" width="33.625" style="42" customWidth="1"/>
    <col min="3" max="3" width="20.625" style="42" customWidth="1"/>
    <col min="4" max="5" width="14.375" style="42" bestFit="1" customWidth="1"/>
    <col min="6" max="6" width="8.375" style="42" bestFit="1" customWidth="1"/>
    <col min="7" max="7" width="33" style="42" customWidth="1"/>
    <col min="8" max="8" width="21.25" style="42" customWidth="1"/>
    <col min="9" max="9" width="9.625" style="42" bestFit="1" customWidth="1"/>
    <col min="10" max="10" width="10.5" style="42" bestFit="1" customWidth="1"/>
    <col min="11" max="11" width="12" style="42" bestFit="1" customWidth="1"/>
    <col min="12" max="13" width="15.125" style="42" customWidth="1"/>
    <col min="14" max="15" width="17.25" style="42" customWidth="1"/>
    <col min="16" max="16" width="9" style="42" customWidth="1"/>
    <col min="17" max="16384" width="9" style="42"/>
  </cols>
  <sheetData>
    <row r="1" spans="1:13" s="35" customFormat="1" ht="18.75" x14ac:dyDescent="0.15">
      <c r="A1" s="4"/>
      <c r="B1" s="34" t="s">
        <v>21</v>
      </c>
    </row>
    <row r="2" spans="1:13" s="36" customFormat="1" x14ac:dyDescent="0.15">
      <c r="B2" s="37"/>
      <c r="C2" s="37"/>
    </row>
    <row r="3" spans="1:13" s="36" customFormat="1" ht="13.5" hidden="1" customHeight="1" outlineLevel="1" x14ac:dyDescent="0.15">
      <c r="B3" s="38" t="s">
        <v>13</v>
      </c>
      <c r="C3" s="38">
        <f t="array" ref="C3">COUNTIF(check_cell,"&lt;&gt;-*") - SUM(IFERROR(IF((LEFT(check_cell)="○")*(VALUE(RIGHT(check_cell,6))&lt;VALUE(start_date)), 1), 0))</f>
        <v>1</v>
      </c>
      <c r="D3" s="38">
        <f ca="1">SUM(OFFSET(M20,0, 0, ROWS(check_cell),1))</f>
        <v>1</v>
      </c>
      <c r="E3" s="38"/>
      <c r="F3" s="38"/>
      <c r="G3" s="38"/>
      <c r="H3" s="38"/>
      <c r="I3" s="38"/>
      <c r="J3" s="38"/>
      <c r="K3" s="38"/>
      <c r="L3" s="38"/>
      <c r="M3" s="38"/>
    </row>
    <row r="4" spans="1:13" s="36" customFormat="1" ht="13.5" hidden="1" customHeight="1" outlineLevel="1" x14ac:dyDescent="0.15">
      <c r="B4" s="39" t="s">
        <v>14</v>
      </c>
      <c r="C4" s="38">
        <f t="array" ref="C4">SUM(IFERROR(IF((LEFT(check_cell)="○") * (VALUE(RIGHT(check_cell,6))&gt;=VALUE(start_date)), 1), 0))</f>
        <v>0</v>
      </c>
      <c r="D4" s="39">
        <f ca="1">SUM(OFFSET(N20,0, 0, ROWS(check_cell),1))</f>
        <v>0</v>
      </c>
      <c r="E4" s="38"/>
      <c r="F4" s="39"/>
      <c r="G4" s="38"/>
      <c r="H4" s="38"/>
      <c r="I4" s="38"/>
      <c r="J4" s="38"/>
      <c r="K4" s="38"/>
      <c r="L4" s="38"/>
      <c r="M4" s="38"/>
    </row>
    <row r="5" spans="1:13" s="36" customFormat="1" ht="13.5" hidden="1" customHeight="1" outlineLevel="1" x14ac:dyDescent="0.15">
      <c r="B5" s="40" t="s">
        <v>15</v>
      </c>
      <c r="C5" s="38">
        <f>COUNTIF(check_cell,"×*")</f>
        <v>0</v>
      </c>
      <c r="D5" s="38"/>
      <c r="E5" s="38"/>
      <c r="F5" s="40"/>
      <c r="G5" s="38"/>
      <c r="H5" s="38"/>
      <c r="I5" s="38"/>
      <c r="J5" s="38"/>
      <c r="K5" s="38"/>
      <c r="L5" s="38"/>
      <c r="M5" s="38"/>
    </row>
    <row r="6" spans="1:13" s="36" customFormat="1" ht="13.5" hidden="1" customHeight="1" outlineLevel="1" x14ac:dyDescent="0.15">
      <c r="B6" s="41" t="s">
        <v>18</v>
      </c>
      <c r="C6" s="38">
        <f>C3-(C4+C5)</f>
        <v>1</v>
      </c>
      <c r="D6" s="38"/>
      <c r="E6" s="38"/>
      <c r="F6" s="41"/>
      <c r="G6" s="38"/>
      <c r="H6" s="38"/>
      <c r="I6" s="38"/>
      <c r="J6" s="38"/>
      <c r="K6" s="38"/>
      <c r="L6" s="38"/>
      <c r="M6" s="38"/>
    </row>
    <row r="7" spans="1:13" s="36" customFormat="1" ht="13.5" hidden="1" customHeight="1" outlineLevel="1" x14ac:dyDescent="0.15">
      <c r="B7" s="41" t="s">
        <v>27</v>
      </c>
      <c r="C7" s="38">
        <f t="array" aca="1" ref="C7" ca="1">SUM(OFFSET(M20,0, 0, ROWS(check_cell),1)*OFFSET(O20,0, 0, ROWS(check_cell),1))</f>
        <v>1</v>
      </c>
      <c r="D7" s="38"/>
      <c r="E7" s="38"/>
      <c r="F7" s="41"/>
      <c r="G7" s="38"/>
      <c r="H7" s="38"/>
      <c r="I7" s="38"/>
      <c r="J7" s="38"/>
      <c r="K7" s="38"/>
      <c r="L7" s="38"/>
      <c r="M7" s="38"/>
    </row>
    <row r="8" spans="1:13" s="36" customFormat="1" ht="13.5" hidden="1" customHeight="1" outlineLevel="1" x14ac:dyDescent="0.15">
      <c r="B8" s="41" t="s">
        <v>28</v>
      </c>
      <c r="C8" s="38">
        <f ca="1">SUM(OFFSET(E20,0, 0, ROWS(check_cell),1))</f>
        <v>0</v>
      </c>
      <c r="D8" s="38"/>
      <c r="E8" s="38"/>
      <c r="F8" s="41"/>
      <c r="G8" s="38"/>
      <c r="H8" s="38"/>
      <c r="I8" s="38"/>
      <c r="J8" s="38"/>
      <c r="K8" s="38"/>
      <c r="L8" s="38"/>
      <c r="M8" s="38"/>
    </row>
    <row r="9" spans="1:13" s="36" customFormat="1" ht="13.5" hidden="1" customHeight="1" outlineLevel="1" x14ac:dyDescent="0.15">
      <c r="B9" s="41" t="s">
        <v>50</v>
      </c>
      <c r="C9" s="38">
        <f ca="1">COUNTIF(OFFSET(K20,0, 0, ROWS(check_cell),1), "チェック可")</f>
        <v>1</v>
      </c>
      <c r="D9" s="38"/>
      <c r="E9" s="38"/>
      <c r="F9" s="41"/>
      <c r="G9" s="38"/>
      <c r="H9" s="38"/>
      <c r="I9" s="38"/>
      <c r="J9" s="38"/>
      <c r="K9" s="38"/>
      <c r="L9" s="38"/>
      <c r="M9" s="38"/>
    </row>
    <row r="10" spans="1:13" s="36" customFormat="1" ht="13.5" hidden="1" customHeight="1" outlineLevel="1" x14ac:dyDescent="0.15">
      <c r="B10" s="41" t="s">
        <v>49</v>
      </c>
      <c r="C10" s="38">
        <f ca="1">COUNTIF(OFFSET(K20,0, 0, ROWS(check_cell),1), "*チェック*可")</f>
        <v>1</v>
      </c>
      <c r="D10" s="38"/>
      <c r="E10" s="38"/>
      <c r="F10" s="41"/>
      <c r="G10" s="38"/>
      <c r="H10" s="38"/>
      <c r="I10" s="38"/>
      <c r="J10" s="38"/>
      <c r="K10" s="38"/>
      <c r="L10" s="38"/>
      <c r="M10" s="38"/>
    </row>
    <row r="11" spans="1:13" s="36" customFormat="1" ht="13.5" hidden="1" customHeight="1" outlineLevel="1" x14ac:dyDescent="0.15">
      <c r="B11" s="41" t="s">
        <v>48</v>
      </c>
      <c r="C11" s="38" t="str">
        <f ca="1">IF(C10=0, "チェック完了", IF(C9=C10, "チェック可", IF(C9+COUNTIF(OFFSET(K20,0, 0, ROWS(check_cell),1), "一部チェック可")=0, "チェック不可", "一部チェック可")))</f>
        <v>チェック可</v>
      </c>
      <c r="D11" s="38"/>
      <c r="E11" s="38"/>
      <c r="F11" s="41"/>
      <c r="G11" s="38"/>
      <c r="H11" s="38"/>
      <c r="I11" s="38"/>
      <c r="J11" s="38"/>
      <c r="K11" s="38"/>
      <c r="L11" s="38"/>
      <c r="M11" s="38"/>
    </row>
    <row r="12" spans="1:13" s="36" customFormat="1" ht="13.5" hidden="1" customHeight="1" outlineLevel="1" x14ac:dyDescent="0.15">
      <c r="B12" s="41" t="s">
        <v>4</v>
      </c>
      <c r="C12" s="45" t="str">
        <f t="array" ref="C12">IF(last_update &gt; 0, last_update, "-")</f>
        <v>-</v>
      </c>
      <c r="D12" s="38"/>
      <c r="E12" s="38"/>
      <c r="F12" s="41"/>
      <c r="G12" s="38"/>
      <c r="H12" s="38"/>
      <c r="I12" s="38"/>
      <c r="J12" s="38"/>
      <c r="K12" s="38"/>
      <c r="L12" s="38"/>
      <c r="M12" s="38"/>
    </row>
    <row r="13" spans="1:13" s="36" customFormat="1" ht="13.5" hidden="1" customHeight="1" outlineLevel="1" x14ac:dyDescent="0.15">
      <c r="B13" s="41" t="s">
        <v>55</v>
      </c>
      <c r="C13" s="38">
        <f t="array" aca="1" ref="C13" ca="1">SUM(OFFSET(P20,0, 0, ROWS(check_cell),1))</f>
        <v>1</v>
      </c>
      <c r="D13" s="38"/>
      <c r="E13" s="38"/>
      <c r="F13" s="41"/>
      <c r="G13" s="38"/>
      <c r="H13" s="38"/>
      <c r="I13" s="38"/>
      <c r="J13" s="38"/>
      <c r="K13" s="38"/>
      <c r="L13" s="38"/>
      <c r="M13" s="38"/>
    </row>
    <row r="14" spans="1:13" s="36" customFormat="1" ht="13.5" hidden="1" customHeight="1" outlineLevel="1" x14ac:dyDescent="0.15">
      <c r="B14" s="41"/>
      <c r="C14" s="38"/>
      <c r="D14" s="38"/>
      <c r="E14" s="38"/>
      <c r="F14" s="41"/>
      <c r="G14" s="38"/>
      <c r="H14" s="38"/>
      <c r="I14" s="38"/>
      <c r="J14" s="38"/>
      <c r="K14" s="38"/>
      <c r="L14" s="38"/>
      <c r="M14" s="38"/>
    </row>
    <row r="15" spans="1:13" s="36" customFormat="1" ht="13.5" hidden="1" customHeight="1" outlineLevel="1" x14ac:dyDescent="0.15">
      <c r="B15" s="41"/>
      <c r="C15" s="38"/>
      <c r="D15" s="38"/>
      <c r="E15" s="38"/>
      <c r="F15" s="41"/>
      <c r="G15" s="38"/>
      <c r="H15" s="38"/>
      <c r="I15" s="38"/>
      <c r="J15" s="38"/>
      <c r="K15" s="38"/>
      <c r="L15" s="38"/>
      <c r="M15" s="38"/>
    </row>
    <row r="16" spans="1:13" s="36" customFormat="1" ht="13.5" hidden="1" customHeight="1" outlineLevel="1" x14ac:dyDescent="0.15">
      <c r="B16" s="41"/>
      <c r="C16" s="38"/>
      <c r="D16" s="38"/>
      <c r="E16" s="38"/>
      <c r="F16" s="41"/>
      <c r="G16" s="38"/>
      <c r="H16" s="38"/>
      <c r="I16" s="38"/>
      <c r="J16" s="38"/>
      <c r="K16" s="38"/>
      <c r="L16" s="38"/>
      <c r="M16" s="38"/>
    </row>
    <row r="17" spans="2:16" s="36" customFormat="1" collapsed="1" x14ac:dyDescent="0.15">
      <c r="B17" s="37"/>
      <c r="C17" s="37"/>
    </row>
    <row r="18" spans="2:16" s="36" customFormat="1" x14ac:dyDescent="0.15">
      <c r="B18" s="37"/>
      <c r="C18" s="37"/>
    </row>
    <row r="19" spans="2:16" x14ac:dyDescent="0.15">
      <c r="B19" s="43" t="s">
        <v>16</v>
      </c>
      <c r="C19" s="44" t="s">
        <v>17</v>
      </c>
      <c r="D19" s="44" t="s">
        <v>67</v>
      </c>
      <c r="E19" s="44" t="s">
        <v>68</v>
      </c>
      <c r="F19" s="44" t="s">
        <v>25</v>
      </c>
      <c r="G19" s="44" t="s">
        <v>26</v>
      </c>
      <c r="H19" s="44" t="s">
        <v>71</v>
      </c>
      <c r="I19" s="44" t="s">
        <v>70</v>
      </c>
      <c r="J19" s="44" t="s">
        <v>69</v>
      </c>
      <c r="K19" s="44" t="s">
        <v>48</v>
      </c>
      <c r="M19" s="42" t="s">
        <v>57</v>
      </c>
      <c r="N19" s="42" t="s">
        <v>58</v>
      </c>
      <c r="O19" s="42" t="s">
        <v>60</v>
      </c>
      <c r="P19" s="42" t="s">
        <v>59</v>
      </c>
    </row>
    <row r="20" spans="2:16" x14ac:dyDescent="0.15">
      <c r="B20" s="77" t="s">
        <v>31</v>
      </c>
      <c r="C20" s="76"/>
      <c r="D20" s="71">
        <v>1</v>
      </c>
      <c r="E20" s="72"/>
      <c r="F20" s="71"/>
      <c r="G20" s="71"/>
      <c r="H20" s="46" t="str">
        <f>IFERROR(MID(checksheet!check_cell, 5, FIND(I20,checksheet!check_cell)-5-3),"")</f>
        <v/>
      </c>
      <c r="I20" s="69" t="str">
        <f>IF(ISERROR(VALUE(RIGHT(checksheet!check_cell,6))),"",MID(LEFT(checksheet!check_cell, LEN(checksheet!check_cell) - 9),FIND("/", checksheet!check_cell, 5)+2,LEN(checksheet!check_cell)))</f>
        <v/>
      </c>
      <c r="J20" s="70" t="str">
        <f>IF(ISERROR(VALUE(RIGHT(checksheet!check_cell,6))),"",DATE("20"&amp;LEFT(RIGHT(checksheet!check_cell,6),2),LEFT(RIGHT(checksheet!check_cell,4),2),RIGHT(checksheet!check_cell,2)))</f>
        <v/>
      </c>
      <c r="K20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M20" s="42">
        <f t="array" aca="1" ref="M20" ca="1">COUNTIF(check_cell_row,"&lt;&gt;-*") - SUM(IFERROR(IF((LEFT(check_cell_row)="○")*(VALUE(RIGHT(check_cell_row,6))&lt;VALUE(start_date)), 1), 0))</f>
        <v>1</v>
      </c>
      <c r="N20" s="42">
        <f t="array" aca="1" ref="N20" ca="1">SUM(IFERROR(IF((LEFT(check_cell_row)="○") * (VALUE(RIGHT(check_cell_row,6))&gt;=VALUE(start_date)), 1), 0))</f>
        <v>0</v>
      </c>
      <c r="O20" s="42">
        <f t="array" aca="1" ref="O20" ca="1">IF(COUNTIF(check_cell_row,"&lt;&gt;-")=0, 0, D20/COUNTIF(check_cell_row,"&lt;&gt;-"))</f>
        <v>1</v>
      </c>
      <c r="P20" s="42">
        <f ca="1">(M20-N20)*O20</f>
        <v>1</v>
      </c>
    </row>
  </sheetData>
  <sheetProtection selectLockedCells="1"/>
  <phoneticPr fontId="3"/>
  <conditionalFormatting sqref="K20">
    <cfRule type="containsText" dxfId="23" priority="6" stopIfTrue="1" operator="containsText" text="チェック可">
      <formula>NOT(ISERROR(SEARCH("チェック可",K20)))</formula>
    </cfRule>
    <cfRule type="containsText" dxfId="22" priority="20" stopIfTrue="1" operator="containsText" text="チェック完了">
      <formula>NOT(ISERROR(SEARCH("チェック完了",K20)))</formula>
    </cfRule>
    <cfRule type="containsText" dxfId="21" priority="21" stopIfTrue="1" operator="containsText" text="*-">
      <formula>NOT(ISERROR(SEARCH("*-",K20)))</formula>
    </cfRule>
    <cfRule type="containsText" dxfId="20" priority="23" stopIfTrue="1" operator="containsText" text="チェック不可">
      <formula>NOT(ISERROR(SEARCH("チェック不可",K20)))</formula>
    </cfRule>
    <cfRule type="containsText" dxfId="19" priority="29" stopIfTrue="1" operator="containsText" text="一部チェック可">
      <formula>NOT(ISERROR(SEARCH("一部チェック可",K20)))</formula>
    </cfRule>
  </conditionalFormatting>
  <conditionalFormatting sqref="B20">
    <cfRule type="expression" dxfId="18" priority="1" stopIfTrue="1">
      <formula>COUNTIF(B20,"*※※*")</formula>
    </cfRule>
    <cfRule type="expression" dxfId="17" priority="2" stopIfTrue="1">
      <formula>COUNTIF(B20,"【*】*")</formula>
    </cfRule>
    <cfRule type="expression" dxfId="16" priority="3" stopIfTrue="1">
      <formula>AND(COUNTIF(B20,"*低優先度*"),$K20&lt;&gt;"-")</formula>
    </cfRule>
    <cfRule type="expression" priority="7" stopIfTrue="1">
      <formula>COUNTIF($K20,"*チェック可")&gt;0</formula>
    </cfRule>
    <cfRule type="expression" dxfId="15" priority="8" stopIfTrue="1">
      <formula>$K20="チェック不可"</formula>
    </cfRule>
    <cfRule type="expression" dxfId="14" priority="10" stopIfTrue="1">
      <formula>TRUE</formula>
    </cfRule>
  </conditionalFormatting>
  <conditionalFormatting sqref="A1:XFD1">
    <cfRule type="expression" priority="51" stopIfTrue="1">
      <formula>$C$3=$C$4</formula>
    </cfRule>
    <cfRule type="expression" dxfId="13" priority="52" stopIfTrue="1">
      <formula>COUNTIF($C$11,"*チェック可")&gt;0</formula>
    </cfRule>
    <cfRule type="expression" dxfId="12" priority="54" stopIfTrue="1">
      <formula>$C$11="チェック不可"</formula>
    </cfRule>
  </conditionalFormatting>
  <conditionalFormatting sqref="E20">
    <cfRule type="expression" dxfId="11" priority="71">
      <formula>AND($E20="",COUNTIFS($C20,"○*")&gt;0)</formula>
    </cfRule>
  </conditionalFormatting>
  <conditionalFormatting sqref="D20">
    <cfRule type="expression" dxfId="10" priority="72">
      <formula>AND($D20="",COUNTIFS($C20,"-*")=0)</formula>
    </cfRule>
  </conditionalFormatting>
  <conditionalFormatting sqref="C20">
    <cfRule type="containsText" dxfId="9" priority="17" operator="containsText" text="チェック不可">
      <formula>NOT(ISERROR(SEARCH("チェック不可",C20)))</formula>
    </cfRule>
    <cfRule type="expression" dxfId="8" priority="19" stopIfTrue="1">
      <formula>AND(COUNTIF(C20,"○*"),VALUE(RIGHT(C20,6))&lt; VALUE(start_date))</formula>
    </cfRule>
    <cfRule type="expression" dxfId="7" priority="22">
      <formula>COUNTIF(C20,"*" &amp; check_today)</formula>
    </cfRule>
    <cfRule type="containsText" dxfId="6" priority="25" stopIfTrue="1" operator="containsText" text="×*">
      <formula>NOT(ISERROR(SEARCH("×*",C20)))</formula>
    </cfRule>
    <cfRule type="containsText" dxfId="5" priority="26" stopIfTrue="1" operator="containsText" text="○*">
      <formula>NOT(ISERROR(SEARCH("○*",C20)))</formula>
    </cfRule>
    <cfRule type="expression" dxfId="4" priority="27">
      <formula>COUNTIF(C20,"*" &amp; tester)</formula>
    </cfRule>
    <cfRule type="containsText" dxfId="3" priority="32" stopIfTrue="1" operator="containsText" text="検証中">
      <formula>NOT(ISERROR(SEARCH("検証中",C20)))</formula>
    </cfRule>
    <cfRule type="containsText" dxfId="2" priority="48" stopIfTrue="1" operator="containsText" text="*低優先度*">
      <formula>NOT(ISERROR(SEARCH("*低優先度*",C20)))</formula>
    </cfRule>
    <cfRule type="expression" dxfId="1" priority="49" stopIfTrue="1">
      <formula>LEFT(C20,1)="-"</formula>
    </cfRule>
    <cfRule type="containsText" dxfId="0" priority="50" stopIfTrue="1" operator="containsText" text="*未実装*">
      <formula>NOT(ISERROR(SEARCH("*未実装*",C20)))</formula>
    </cfRule>
  </conditionalFormatting>
  <dataValidations count="4">
    <dataValidation type="list" allowBlank="1" showInputMessage="1" showErrorMessage="1" sqref="C20" xr:uid="{00000000-0002-0000-0100-000000000000}">
      <formula1>check_item</formula1>
    </dataValidation>
    <dataValidation allowBlank="1" showInputMessage="1" showErrorMessage="1" prompt="半角でID（番号）のみをコンマ区切りで記載" sqref="F20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G20" xr:uid="{00000000-0002-0000-0100-000002000000}"/>
    <dataValidation type="decimal" operator="greaterThanOrEqual" allowBlank="1" showInputMessage="1" showErrorMessage="1" sqref="D20:E20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37" sqref="B37"/>
    </sheetView>
  </sheetViews>
  <sheetFormatPr defaultColWidth="9" defaultRowHeight="13.5" x14ac:dyDescent="0.1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 x14ac:dyDescent="0.15">
      <c r="B2" s="33" t="s">
        <v>47</v>
      </c>
    </row>
    <row r="3" spans="2:2" x14ac:dyDescent="0.15">
      <c r="B3" s="33" t="str">
        <f>index!D13</f>
        <v>$_TESTER$</v>
      </c>
    </row>
    <row r="5" spans="2:2" x14ac:dyDescent="0.15">
      <c r="B5" s="33" t="s">
        <v>19</v>
      </c>
    </row>
    <row r="6" spans="2:2" x14ac:dyDescent="0.15">
      <c r="B6" s="51" t="str">
        <f ca="1">TEXT(index!D12,"yymmdd")</f>
        <v>200527</v>
      </c>
    </row>
    <row r="8" spans="2:2" x14ac:dyDescent="0.15">
      <c r="B8" s="33" t="s">
        <v>35</v>
      </c>
    </row>
    <row r="9" spans="2:2" x14ac:dyDescent="0.15">
      <c r="B9" s="51" t="str">
        <f>TEXT(IF(ISNUMBER(index!D11), index!D11,1),"yymmdd")</f>
        <v>000101</v>
      </c>
    </row>
    <row r="11" spans="2:2" x14ac:dyDescent="0.15">
      <c r="B11" s="33" t="s">
        <v>42</v>
      </c>
    </row>
    <row r="12" spans="2:2" x14ac:dyDescent="0.15">
      <c r="B12" s="33" t="str">
        <f>"- 対象外（" &amp; index!D6 &amp;"） -"</f>
        <v>- 対象外（$VERSION$） -</v>
      </c>
    </row>
    <row r="14" spans="2:2" x14ac:dyDescent="0.15">
      <c r="B14" s="33" t="s">
        <v>43</v>
      </c>
    </row>
    <row r="15" spans="2:2" x14ac:dyDescent="0.15">
      <c r="B15" s="33" t="str">
        <f>"- 低優先度 -"</f>
        <v>- 低優先度 -</v>
      </c>
    </row>
    <row r="17" spans="2:2" x14ac:dyDescent="0.15">
      <c r="B17" s="33" t="s">
        <v>46</v>
      </c>
    </row>
    <row r="18" spans="2:2" x14ac:dyDescent="0.15">
      <c r="B18" s="33" t="str">
        <f>"検証中 / " &amp; index!D13</f>
        <v>検証中 / $_TESTER$</v>
      </c>
    </row>
    <row r="20" spans="2:2" x14ac:dyDescent="0.15">
      <c r="B20" s="33" t="s">
        <v>44</v>
      </c>
    </row>
    <row r="21" spans="2:2" x14ac:dyDescent="0.15">
      <c r="B21" s="33" t="s">
        <v>45</v>
      </c>
    </row>
    <row r="23" spans="2:2" x14ac:dyDescent="0.15">
      <c r="B23" s="33" t="s">
        <v>74</v>
      </c>
    </row>
    <row r="24" spans="2:2" x14ac:dyDescent="0.15">
      <c r="B24" s="33" t="str">
        <f>"MN:(" &amp; index!D7 &amp;"), STA:(" &amp;  index!D8  &amp; ")"</f>
        <v>MN:($_VERSION_MAIN$), STA:($_VERSION_STATION$)</v>
      </c>
    </row>
    <row r="25" spans="2:2" x14ac:dyDescent="0.15">
      <c r="B25" s="33" t="str">
        <f>IF( index!D7="",  index!D8, B24)</f>
        <v>MN:($_VERSION_MAIN$), STA:($_VERSION_STATION$)</v>
      </c>
    </row>
    <row r="27" spans="2:2" x14ac:dyDescent="0.15">
      <c r="B27" s="33" t="s">
        <v>75</v>
      </c>
    </row>
    <row r="28" spans="2:2" x14ac:dyDescent="0.15">
      <c r="B28" s="33" t="str">
        <f ca="1">" / " &amp; B25 &amp;  " / " &amp; index!D13 &amp; " / " &amp; B6</f>
        <v xml:space="preserve"> / MN:($_VERSION_MAIN$), STA:($_VERSION_STATION$) / $_TESTER$ / 200527</v>
      </c>
    </row>
    <row r="30" spans="2:2" x14ac:dyDescent="0.15">
      <c r="B30" s="33" t="s">
        <v>12</v>
      </c>
    </row>
    <row r="31" spans="2:2" x14ac:dyDescent="0.15">
      <c r="B31" s="33" t="str">
        <f ca="1">"○" &amp; B28</f>
        <v>○ / MN:($_VERSION_MAIN$), STA:($_VERSION_STATION$) / $_TESTER$ / 200527</v>
      </c>
    </row>
    <row r="32" spans="2:2" x14ac:dyDescent="0.15">
      <c r="B32" s="33" t="str">
        <f ca="1">"×" &amp; B28</f>
        <v>× / MN:($_VERSION_MAIN$), STA:($_VERSION_STATION$) / $_TESTER$ / 200527</v>
      </c>
    </row>
    <row r="33" spans="2:2" x14ac:dyDescent="0.15">
      <c r="B33" s="33" t="str">
        <f>B18</f>
        <v>検証中 / $_TESTER$</v>
      </c>
    </row>
    <row r="34" spans="2:2" x14ac:dyDescent="0.15">
      <c r="B34" s="33" t="str">
        <f>B21</f>
        <v>&lt; 未実装 &gt;</v>
      </c>
    </row>
    <row r="35" spans="2:2" x14ac:dyDescent="0.15">
      <c r="B35" s="33" t="str">
        <f>B12</f>
        <v>- 対象外（$VERSION$） -</v>
      </c>
    </row>
    <row r="36" spans="2:2" x14ac:dyDescent="0.15">
      <c r="B36" s="33" t="str">
        <f>B15</f>
        <v>- 低優先度 -</v>
      </c>
    </row>
    <row r="37" spans="2:2" x14ac:dyDescent="0.15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2020-05-27T13:08:23Z</dcterms:modified>
</cp:coreProperties>
</file>